
<file path=[Content_Types].xml><?xml version="1.0" encoding="utf-8"?>
<Types xmlns="http://schemas.openxmlformats.org/package/2006/content-types">
  <Default Extension="vml" ContentType="application/vnd.openxmlformats-officedocument.vmlDrawing"/>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16960" windowHeight="12580"/>
  </bookViews>
  <sheets>
    <sheet name="STOCK" sheetId="1" r:id="rId1"/>
    <sheet name="VENTAS" sheetId="3" r:id="rId2"/>
    <sheet name="FOTOS" sheetId="12" r:id="rId3"/>
    <sheet name="Sheet1" sheetId="13" r:id="rId4"/>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C05C05881E274DF5803BEC4F6C227727" descr="YILHM0025_2"/>
        <xdr:cNvPicPr>
          <a:picLocks noChangeAspect="1"/>
        </xdr:cNvPicPr>
      </xdr:nvPicPr>
      <xdr:blipFill>
        <a:blip r:embed="rId1"/>
        <a:stretch>
          <a:fillRect/>
        </a:stretch>
      </xdr:blipFill>
      <xdr:spPr>
        <a:xfrm>
          <a:off x="984250" y="982961585"/>
          <a:ext cx="381000" cy="577850"/>
        </a:xfrm>
        <a:prstGeom prst="rect">
          <a:avLst/>
        </a:prstGeom>
      </xdr:spPr>
    </xdr:pic>
  </etc:cellImage>
  <etc:cellImage>
    <xdr:pic>
      <xdr:nvPicPr>
        <xdr:cNvPr id="74" name="ID_A226EDE5909E4F87B1E614E6A87D6A8A" descr="YILHM0030_2"/>
        <xdr:cNvPicPr>
          <a:picLocks noChangeAspect="1"/>
        </xdr:cNvPicPr>
      </xdr:nvPicPr>
      <xdr:blipFill>
        <a:blip r:embed="rId2"/>
        <a:srcRect t="8118" b="5974"/>
        <a:stretch>
          <a:fillRect/>
        </a:stretch>
      </xdr:blipFill>
      <xdr:spPr>
        <a:xfrm>
          <a:off x="986790" y="986094675"/>
          <a:ext cx="515620" cy="608965"/>
        </a:xfrm>
        <a:prstGeom prst="rect">
          <a:avLst/>
        </a:prstGeom>
      </xdr:spPr>
    </xdr:pic>
  </etc:cellImage>
  <etc:cellImage>
    <xdr:pic>
      <xdr:nvPicPr>
        <xdr:cNvPr id="73" name="ID_EED211429BA64BACA72B7F2FF9873304" descr="YILHM0031_1"/>
        <xdr:cNvPicPr>
          <a:picLocks noChangeAspect="1"/>
        </xdr:cNvPicPr>
      </xdr:nvPicPr>
      <xdr:blipFill>
        <a:blip r:embed="rId3"/>
        <a:srcRect t="12228"/>
        <a:stretch>
          <a:fillRect/>
        </a:stretch>
      </xdr:blipFill>
      <xdr:spPr>
        <a:xfrm>
          <a:off x="969010" y="986732850"/>
          <a:ext cx="471170" cy="591185"/>
        </a:xfrm>
        <a:prstGeom prst="rect">
          <a:avLst/>
        </a:prstGeom>
      </xdr:spPr>
    </xdr:pic>
  </etc:cellImage>
  <etc:cellImage>
    <xdr:pic>
      <xdr:nvPicPr>
        <xdr:cNvPr id="58" name="ID_D60116D6E0C0406A8C0F939D86334CF9" descr="IMG_1790"/>
        <xdr:cNvPicPr>
          <a:picLocks noChangeAspect="1"/>
        </xdr:cNvPicPr>
      </xdr:nvPicPr>
      <xdr:blipFill>
        <a:blip r:embed="rId4"/>
        <a:stretch>
          <a:fillRect/>
        </a:stretch>
      </xdr:blipFill>
      <xdr:spPr>
        <a:xfrm>
          <a:off x="987425" y="987381185"/>
          <a:ext cx="458470" cy="631190"/>
        </a:xfrm>
        <a:prstGeom prst="rect">
          <a:avLst/>
        </a:prstGeom>
      </xdr:spPr>
    </xdr:pic>
  </etc:cellImage>
  <etc:cellImage>
    <xdr:pic>
      <xdr:nvPicPr>
        <xdr:cNvPr id="59" name="ID_611E317D4601404D973F1AA71F19BB1B" descr="IMG_1790"/>
        <xdr:cNvPicPr>
          <a:picLocks noChangeAspect="1"/>
        </xdr:cNvPicPr>
      </xdr:nvPicPr>
      <xdr:blipFill>
        <a:blip r:embed="rId4"/>
        <a:stretch>
          <a:fillRect/>
        </a:stretch>
      </xdr:blipFill>
      <xdr:spPr>
        <a:xfrm>
          <a:off x="1031875" y="988002215"/>
          <a:ext cx="458470" cy="631190"/>
        </a:xfrm>
        <a:prstGeom prst="rect">
          <a:avLst/>
        </a:prstGeom>
      </xdr:spPr>
    </xdr:pic>
  </etc:cellImage>
  <etc:cellImage>
    <xdr:pic>
      <xdr:nvPicPr>
        <xdr:cNvPr id="60" name="ID_2F46D2B8CA1649B9AE80B0FC68C14A3A" descr="YILHM0034_1"/>
        <xdr:cNvPicPr>
          <a:picLocks noChangeAspect="1"/>
        </xdr:cNvPicPr>
      </xdr:nvPicPr>
      <xdr:blipFill>
        <a:blip r:embed="rId5"/>
        <a:srcRect t="15720" b="13433"/>
        <a:stretch>
          <a:fillRect/>
        </a:stretch>
      </xdr:blipFill>
      <xdr:spPr>
        <a:xfrm>
          <a:off x="1012190" y="988656265"/>
          <a:ext cx="607695" cy="597535"/>
        </a:xfrm>
        <a:prstGeom prst="rect">
          <a:avLst/>
        </a:prstGeom>
      </xdr:spPr>
    </xdr:pic>
  </etc:cellImage>
  <etc:cellImage>
    <xdr:pic>
      <xdr:nvPicPr>
        <xdr:cNvPr id="71" name="ID_FBD24FC94EB94F35BE3094CDBAF42CDD" descr="YILHM0035_1"/>
        <xdr:cNvPicPr>
          <a:picLocks noChangeAspect="1"/>
        </xdr:cNvPicPr>
      </xdr:nvPicPr>
      <xdr:blipFill>
        <a:blip r:embed="rId6"/>
        <a:srcRect t="12504" b="14577"/>
        <a:stretch>
          <a:fillRect/>
        </a:stretch>
      </xdr:blipFill>
      <xdr:spPr>
        <a:xfrm>
          <a:off x="960755" y="989286820"/>
          <a:ext cx="523875" cy="575310"/>
        </a:xfrm>
        <a:prstGeom prst="rect">
          <a:avLst/>
        </a:prstGeom>
      </xdr:spPr>
    </xdr:pic>
  </etc:cellImage>
  <etc:cellImage>
    <xdr:pic>
      <xdr:nvPicPr>
        <xdr:cNvPr id="72" name="ID_07AD7DA15D69462BADBED3B2588A0DA3" descr="IMG_2377"/>
        <xdr:cNvPicPr>
          <a:picLocks noChangeAspect="1"/>
        </xdr:cNvPicPr>
      </xdr:nvPicPr>
      <xdr:blipFill>
        <a:blip r:embed="rId7"/>
        <a:srcRect t="14439" b="13493"/>
        <a:stretch>
          <a:fillRect/>
        </a:stretch>
      </xdr:blipFill>
      <xdr:spPr>
        <a:xfrm>
          <a:off x="988060" y="989936425"/>
          <a:ext cx="555625" cy="567055"/>
        </a:xfrm>
        <a:prstGeom prst="rect">
          <a:avLst/>
        </a:prstGeom>
      </xdr:spPr>
    </xdr:pic>
  </etc:cellImage>
  <etc:cellImage>
    <xdr:pic>
      <xdr:nvPicPr>
        <xdr:cNvPr id="76" name="ID_6C1C0962176A4D4BB45C4944FB24CA50" descr="YILHM0026_1"/>
        <xdr:cNvPicPr>
          <a:picLocks noChangeAspect="1"/>
        </xdr:cNvPicPr>
      </xdr:nvPicPr>
      <xdr:blipFill>
        <a:blip r:embed="rId8"/>
        <a:stretch>
          <a:fillRect/>
        </a:stretch>
      </xdr:blipFill>
      <xdr:spPr>
        <a:xfrm>
          <a:off x="1013460" y="983569915"/>
          <a:ext cx="396240" cy="609600"/>
        </a:xfrm>
        <a:prstGeom prst="rect">
          <a:avLst/>
        </a:prstGeom>
      </xdr:spPr>
    </xdr:pic>
  </etc:cellImage>
  <etc:cellImage>
    <xdr:pic>
      <xdr:nvPicPr>
        <xdr:cNvPr id="56" name="ID_08DEA944CCB84E22963C11C45A954510" descr="IMG_1840"/>
        <xdr:cNvPicPr>
          <a:picLocks noChangeAspect="1"/>
        </xdr:cNvPicPr>
      </xdr:nvPicPr>
      <xdr:blipFill>
        <a:blip r:embed="rId9"/>
        <a:stretch>
          <a:fillRect/>
        </a:stretch>
      </xdr:blipFill>
      <xdr:spPr>
        <a:xfrm>
          <a:off x="968375" y="981654120"/>
          <a:ext cx="406400" cy="608330"/>
        </a:xfrm>
        <a:prstGeom prst="rect">
          <a:avLst/>
        </a:prstGeom>
      </xdr:spPr>
    </xdr:pic>
  </etc:cellImage>
  <etc:cellImage>
    <xdr:pic>
      <xdr:nvPicPr>
        <xdr:cNvPr id="54" name="ID_236FDEE0D44C44AE9993C59484124512" descr="IMG_1875 copy"/>
        <xdr:cNvPicPr>
          <a:picLocks noChangeAspect="1"/>
        </xdr:cNvPicPr>
      </xdr:nvPicPr>
      <xdr:blipFill>
        <a:blip r:embed="rId10"/>
        <a:stretch>
          <a:fillRect/>
        </a:stretch>
      </xdr:blipFill>
      <xdr:spPr>
        <a:xfrm>
          <a:off x="948055" y="978494995"/>
          <a:ext cx="316865" cy="612140"/>
        </a:xfrm>
        <a:prstGeom prst="rect">
          <a:avLst/>
        </a:prstGeom>
      </xdr:spPr>
    </xdr:pic>
  </etc:cellImage>
  <etc:cellImage>
    <xdr:pic>
      <xdr:nvPicPr>
        <xdr:cNvPr id="53" name="ID_061452DA8F694CDB87AE347AEBFE0C0A" descr="YILHM0017_1"/>
        <xdr:cNvPicPr>
          <a:picLocks noChangeAspect="1"/>
        </xdr:cNvPicPr>
      </xdr:nvPicPr>
      <xdr:blipFill>
        <a:blip r:embed="rId11"/>
        <a:stretch>
          <a:fillRect/>
        </a:stretch>
      </xdr:blipFill>
      <xdr:spPr>
        <a:xfrm>
          <a:off x="975360" y="977848565"/>
          <a:ext cx="396240" cy="582930"/>
        </a:xfrm>
        <a:prstGeom prst="rect">
          <a:avLst/>
        </a:prstGeom>
      </xdr:spPr>
    </xdr:pic>
  </etc:cellImage>
  <etc:cellImage>
    <xdr:pic>
      <xdr:nvPicPr>
        <xdr:cNvPr id="2" name="ID_C8E00973D2C44AA99B70C7D6EAFA12E9" descr="YILHM0015_1"/>
        <xdr:cNvPicPr>
          <a:picLocks noChangeAspect="1"/>
        </xdr:cNvPicPr>
      </xdr:nvPicPr>
      <xdr:blipFill>
        <a:blip r:embed="rId12"/>
        <a:stretch>
          <a:fillRect/>
        </a:stretch>
      </xdr:blipFill>
      <xdr:spPr>
        <a:xfrm>
          <a:off x="1043940" y="976581740"/>
          <a:ext cx="407670" cy="605790"/>
        </a:xfrm>
        <a:prstGeom prst="rect">
          <a:avLst/>
        </a:prstGeom>
      </xdr:spPr>
    </xdr:pic>
  </etc:cellImage>
  <etc:cellImage>
    <xdr:pic>
      <xdr:nvPicPr>
        <xdr:cNvPr id="3" name="ID_95BDB41B40814921ADDFD45140CB4D91" descr="YILHM0007_3"/>
        <xdr:cNvPicPr>
          <a:picLocks noChangeAspect="1"/>
        </xdr:cNvPicPr>
      </xdr:nvPicPr>
      <xdr:blipFill>
        <a:blip r:embed="rId13"/>
        <a:srcRect t="20739" b="15638"/>
        <a:stretch>
          <a:fillRect/>
        </a:stretch>
      </xdr:blipFill>
      <xdr:spPr>
        <a:xfrm>
          <a:off x="969645" y="974050630"/>
          <a:ext cx="655320" cy="593090"/>
        </a:xfrm>
        <a:prstGeom prst="rect">
          <a:avLst/>
        </a:prstGeom>
      </xdr:spPr>
    </xdr:pic>
  </etc:cellImage>
  <etc:cellImage>
    <xdr:pic>
      <xdr:nvPicPr>
        <xdr:cNvPr id="4" name="ID_155C3A022F474F2A990DD77E86CB57AD" descr="YILHM0006_1"/>
        <xdr:cNvPicPr>
          <a:picLocks noChangeAspect="1"/>
        </xdr:cNvPicPr>
      </xdr:nvPicPr>
      <xdr:blipFill>
        <a:blip r:embed="rId14"/>
        <a:srcRect t="16802" b="16303"/>
        <a:stretch>
          <a:fillRect/>
        </a:stretch>
      </xdr:blipFill>
      <xdr:spPr>
        <a:xfrm>
          <a:off x="959485" y="974720555"/>
          <a:ext cx="607695" cy="564515"/>
        </a:xfrm>
        <a:prstGeom prst="rect">
          <a:avLst/>
        </a:prstGeom>
      </xdr:spPr>
    </xdr:pic>
  </etc:cellImage>
  <etc:cellImage>
    <xdr:pic>
      <xdr:nvPicPr>
        <xdr:cNvPr id="5" name="ID_7FBA60068A874CDB82993402BC5DEF69" descr="YILHM0010_1"/>
        <xdr:cNvPicPr>
          <a:picLocks noChangeAspect="1"/>
        </xdr:cNvPicPr>
      </xdr:nvPicPr>
      <xdr:blipFill>
        <a:blip r:embed="rId15"/>
        <a:srcRect t="17183" b="15054"/>
        <a:stretch>
          <a:fillRect/>
        </a:stretch>
      </xdr:blipFill>
      <xdr:spPr>
        <a:xfrm>
          <a:off x="990600" y="975330155"/>
          <a:ext cx="657860" cy="582930"/>
        </a:xfrm>
        <a:prstGeom prst="rect">
          <a:avLst/>
        </a:prstGeom>
      </xdr:spPr>
    </xdr:pic>
  </etc:cellImage>
  <etc:cellImage>
    <xdr:pic>
      <xdr:nvPicPr>
        <xdr:cNvPr id="6" name="ID_77562D2FB091404BBDC136380EDDC670" descr="YILHM0007_3"/>
        <xdr:cNvPicPr>
          <a:picLocks noChangeAspect="1"/>
        </xdr:cNvPicPr>
      </xdr:nvPicPr>
      <xdr:blipFill>
        <a:blip r:embed="rId13"/>
        <a:srcRect t="20739" b="15638"/>
        <a:stretch>
          <a:fillRect/>
        </a:stretch>
      </xdr:blipFill>
      <xdr:spPr>
        <a:xfrm>
          <a:off x="960120" y="973405470"/>
          <a:ext cx="655320" cy="593090"/>
        </a:xfrm>
        <a:prstGeom prst="rect">
          <a:avLst/>
        </a:prstGeom>
      </xdr:spPr>
    </xdr:pic>
  </etc:cellImage>
  <etc:cellImage>
    <xdr:pic>
      <xdr:nvPicPr>
        <xdr:cNvPr id="47" name="ID_CEC879C0EFD145C5A9BB614C361D7625" descr="YILHM0006_1"/>
        <xdr:cNvPicPr>
          <a:picLocks noChangeAspect="1"/>
        </xdr:cNvPicPr>
      </xdr:nvPicPr>
      <xdr:blipFill>
        <a:blip r:embed="rId14"/>
        <a:srcRect t="16802" b="16303"/>
        <a:stretch>
          <a:fillRect/>
        </a:stretch>
      </xdr:blipFill>
      <xdr:spPr>
        <a:xfrm>
          <a:off x="981075" y="972784440"/>
          <a:ext cx="607695" cy="564515"/>
        </a:xfrm>
        <a:prstGeom prst="rect">
          <a:avLst/>
        </a:prstGeom>
      </xdr:spPr>
    </xdr:pic>
  </etc:cellImage>
  <etc:cellImage>
    <xdr:pic>
      <xdr:nvPicPr>
        <xdr:cNvPr id="7" name="ID_993DE42165354B1EA401FCCCF2F045B5" descr="YILHM0003_3"/>
        <xdr:cNvPicPr>
          <a:picLocks noChangeAspect="1"/>
        </xdr:cNvPicPr>
      </xdr:nvPicPr>
      <xdr:blipFill>
        <a:blip r:embed="rId16"/>
        <a:srcRect t="14949" b="19248"/>
        <a:stretch>
          <a:fillRect/>
        </a:stretch>
      </xdr:blipFill>
      <xdr:spPr>
        <a:xfrm>
          <a:off x="1020445" y="970901030"/>
          <a:ext cx="562610" cy="544195"/>
        </a:xfrm>
        <a:prstGeom prst="rect">
          <a:avLst/>
        </a:prstGeom>
      </xdr:spPr>
    </xdr:pic>
  </etc:cellImage>
  <etc:cellImage>
    <xdr:pic>
      <xdr:nvPicPr>
        <xdr:cNvPr id="8" name="ID_AC221203CCA54983BF820E257DAA06D8" descr="YILHM0002_2"/>
        <xdr:cNvPicPr>
          <a:picLocks noChangeAspect="1"/>
        </xdr:cNvPicPr>
      </xdr:nvPicPr>
      <xdr:blipFill>
        <a:blip r:embed="rId17"/>
        <a:srcRect t="22209" b="17130"/>
        <a:stretch>
          <a:fillRect/>
        </a:stretch>
      </xdr:blipFill>
      <xdr:spPr>
        <a:xfrm>
          <a:off x="995680" y="970253330"/>
          <a:ext cx="668655" cy="568960"/>
        </a:xfrm>
        <a:prstGeom prst="rect">
          <a:avLst/>
        </a:prstGeom>
      </xdr:spPr>
    </xdr:pic>
  </etc:cellImage>
  <etc:cellImage>
    <xdr:pic>
      <xdr:nvPicPr>
        <xdr:cNvPr id="9" name="ID_D1E073E4129E4171A9BB6D3B66D1B537" descr="YILHM0001_1"/>
        <xdr:cNvPicPr>
          <a:picLocks noChangeAspect="1"/>
        </xdr:cNvPicPr>
      </xdr:nvPicPr>
      <xdr:blipFill>
        <a:blip r:embed="rId18"/>
        <a:stretch>
          <a:fillRect/>
        </a:stretch>
      </xdr:blipFill>
      <xdr:spPr>
        <a:xfrm>
          <a:off x="986790" y="969612615"/>
          <a:ext cx="488315" cy="561340"/>
        </a:xfrm>
        <a:prstGeom prst="rect">
          <a:avLst/>
        </a:prstGeom>
      </xdr:spPr>
    </xdr:pic>
  </etc:cellImage>
  <etc:cellImage>
    <xdr:pic>
      <xdr:nvPicPr>
        <xdr:cNvPr id="10" name="ID_211C81173A9244828AAC5353B2385B31" descr="YILHM0004_1"/>
        <xdr:cNvPicPr>
          <a:picLocks noChangeAspect="1"/>
        </xdr:cNvPicPr>
      </xdr:nvPicPr>
      <xdr:blipFill>
        <a:blip r:embed="rId19"/>
        <a:stretch>
          <a:fillRect/>
        </a:stretch>
      </xdr:blipFill>
      <xdr:spPr>
        <a:xfrm>
          <a:off x="994410" y="972149440"/>
          <a:ext cx="465455" cy="577850"/>
        </a:xfrm>
        <a:prstGeom prst="rect">
          <a:avLst/>
        </a:prstGeom>
      </xdr:spPr>
    </xdr:pic>
  </etc:cellImage>
  <etc:cellImage>
    <xdr:pic>
      <xdr:nvPicPr>
        <xdr:cNvPr id="11" name="ID_0FF41747A0794EE98C5DCDF1FA378C04" descr="YILHM0004_1"/>
        <xdr:cNvPicPr>
          <a:picLocks noChangeAspect="1"/>
        </xdr:cNvPicPr>
      </xdr:nvPicPr>
      <xdr:blipFill>
        <a:blip r:embed="rId19"/>
        <a:stretch>
          <a:fillRect/>
        </a:stretch>
      </xdr:blipFill>
      <xdr:spPr>
        <a:xfrm>
          <a:off x="985520" y="971527140"/>
          <a:ext cx="465455" cy="577850"/>
        </a:xfrm>
        <a:prstGeom prst="rect">
          <a:avLst/>
        </a:prstGeom>
      </xdr:spPr>
    </xdr:pic>
  </etc:cellImage>
  <etc:cellImage>
    <xdr:pic>
      <xdr:nvPicPr>
        <xdr:cNvPr id="61" name="ID_21BE528AF4714D5CB2946E28AE2B61F6" descr="YILHM0107_1"/>
        <xdr:cNvPicPr>
          <a:picLocks noChangeAspect="1"/>
        </xdr:cNvPicPr>
      </xdr:nvPicPr>
      <xdr:blipFill>
        <a:blip r:embed="rId20"/>
        <a:stretch>
          <a:fillRect/>
        </a:stretch>
      </xdr:blipFill>
      <xdr:spPr>
        <a:xfrm>
          <a:off x="983615" y="1035621500"/>
          <a:ext cx="436880" cy="641350"/>
        </a:xfrm>
        <a:prstGeom prst="rect">
          <a:avLst/>
        </a:prstGeom>
      </xdr:spPr>
    </xdr:pic>
  </etc:cellImage>
  <etc:cellImage>
    <xdr:pic>
      <xdr:nvPicPr>
        <xdr:cNvPr id="62" name="ID_0A7224B17DBC46D78E3CFBA92FF16148" descr="IMG_2187"/>
        <xdr:cNvPicPr>
          <a:picLocks noChangeAspect="1"/>
        </xdr:cNvPicPr>
      </xdr:nvPicPr>
      <xdr:blipFill>
        <a:blip r:embed="rId21"/>
        <a:stretch>
          <a:fillRect/>
        </a:stretch>
      </xdr:blipFill>
      <xdr:spPr>
        <a:xfrm>
          <a:off x="959485" y="1036278725"/>
          <a:ext cx="417195" cy="604520"/>
        </a:xfrm>
        <a:prstGeom prst="rect">
          <a:avLst/>
        </a:prstGeom>
      </xdr:spPr>
    </xdr:pic>
  </etc:cellImage>
  <etc:cellImage>
    <xdr:pic>
      <xdr:nvPicPr>
        <xdr:cNvPr id="63" name="ID_10BC08E7CE7C4BF4BAFC2397BD828897" descr="IMG_2237"/>
        <xdr:cNvPicPr>
          <a:picLocks noChangeAspect="1"/>
        </xdr:cNvPicPr>
      </xdr:nvPicPr>
      <xdr:blipFill>
        <a:blip r:embed="rId22"/>
        <a:srcRect t="7807" b="9885"/>
        <a:stretch>
          <a:fillRect/>
        </a:stretch>
      </xdr:blipFill>
      <xdr:spPr>
        <a:xfrm>
          <a:off x="991870" y="1036939760"/>
          <a:ext cx="455930" cy="547370"/>
        </a:xfrm>
        <a:prstGeom prst="rect">
          <a:avLst/>
        </a:prstGeom>
      </xdr:spPr>
    </xdr:pic>
  </etc:cellImage>
  <etc:cellImage>
    <xdr:pic>
      <xdr:nvPicPr>
        <xdr:cNvPr id="64" name="ID_10D057D68DAE4E4B8C0E6236A387883F" descr="IMG_2193 2"/>
        <xdr:cNvPicPr>
          <a:picLocks noChangeAspect="1"/>
        </xdr:cNvPicPr>
      </xdr:nvPicPr>
      <xdr:blipFill>
        <a:blip r:embed="rId23"/>
        <a:stretch>
          <a:fillRect/>
        </a:stretch>
      </xdr:blipFill>
      <xdr:spPr>
        <a:xfrm>
          <a:off x="975995" y="1037562060"/>
          <a:ext cx="387985" cy="570230"/>
        </a:xfrm>
        <a:prstGeom prst="rect">
          <a:avLst/>
        </a:prstGeom>
      </xdr:spPr>
    </xdr:pic>
  </etc:cellImage>
  <etc:cellImage>
    <xdr:pic>
      <xdr:nvPicPr>
        <xdr:cNvPr id="70" name="ID_BE20E88A6FB349A6927548A6F0EDC81B" descr="YILHM0118_1"/>
        <xdr:cNvPicPr>
          <a:picLocks noChangeAspect="1"/>
        </xdr:cNvPicPr>
      </xdr:nvPicPr>
      <xdr:blipFill>
        <a:blip r:embed="rId24"/>
        <a:stretch>
          <a:fillRect/>
        </a:stretch>
      </xdr:blipFill>
      <xdr:spPr>
        <a:xfrm>
          <a:off x="944880" y="1043241500"/>
          <a:ext cx="390525" cy="604520"/>
        </a:xfrm>
        <a:prstGeom prst="rect">
          <a:avLst/>
        </a:prstGeom>
      </xdr:spPr>
    </xdr:pic>
  </etc:cellImage>
  <etc:cellImage>
    <xdr:pic>
      <xdr:nvPicPr>
        <xdr:cNvPr id="69" name="ID_252A756DF14448CB950ADF167E6B2F36" descr="YILHM0118_1"/>
        <xdr:cNvPicPr>
          <a:picLocks noChangeAspect="1"/>
        </xdr:cNvPicPr>
      </xdr:nvPicPr>
      <xdr:blipFill>
        <a:blip r:embed="rId24"/>
        <a:stretch>
          <a:fillRect/>
        </a:stretch>
      </xdr:blipFill>
      <xdr:spPr>
        <a:xfrm>
          <a:off x="967740" y="1042630630"/>
          <a:ext cx="390525" cy="604520"/>
        </a:xfrm>
        <a:prstGeom prst="rect">
          <a:avLst/>
        </a:prstGeom>
      </xdr:spPr>
    </xdr:pic>
  </etc:cellImage>
  <etc:cellImage>
    <xdr:pic>
      <xdr:nvPicPr>
        <xdr:cNvPr id="68" name="ID_F0D76E3F1A9C42489C4E2DA0176D3388" descr="YILHM0117_1"/>
        <xdr:cNvPicPr>
          <a:picLocks noChangeAspect="1"/>
        </xdr:cNvPicPr>
      </xdr:nvPicPr>
      <xdr:blipFill>
        <a:blip r:embed="rId25"/>
        <a:stretch>
          <a:fillRect/>
        </a:stretch>
      </xdr:blipFill>
      <xdr:spPr>
        <a:xfrm>
          <a:off x="975360" y="1041982930"/>
          <a:ext cx="435610" cy="643890"/>
        </a:xfrm>
        <a:prstGeom prst="rect">
          <a:avLst/>
        </a:prstGeom>
      </xdr:spPr>
    </xdr:pic>
  </etc:cellImage>
  <etc:cellImage>
    <xdr:pic>
      <xdr:nvPicPr>
        <xdr:cNvPr id="67" name="ID_E78F5D080EDD475DAA7CB176C965852E" descr="YILHM0116_1"/>
        <xdr:cNvPicPr>
          <a:picLocks noChangeAspect="1"/>
        </xdr:cNvPicPr>
      </xdr:nvPicPr>
      <xdr:blipFill>
        <a:blip r:embed="rId26"/>
        <a:stretch>
          <a:fillRect/>
        </a:stretch>
      </xdr:blipFill>
      <xdr:spPr>
        <a:xfrm>
          <a:off x="962660" y="1041348565"/>
          <a:ext cx="401955" cy="596265"/>
        </a:xfrm>
        <a:prstGeom prst="rect">
          <a:avLst/>
        </a:prstGeom>
      </xdr:spPr>
    </xdr:pic>
  </etc:cellImage>
  <etc:cellImage>
    <xdr:pic>
      <xdr:nvPicPr>
        <xdr:cNvPr id="66" name="ID_2D0D706DB7AE40C6B6E6EC219AB5C027" descr="YILHM0114_1"/>
        <xdr:cNvPicPr>
          <a:picLocks noChangeAspect="1"/>
        </xdr:cNvPicPr>
      </xdr:nvPicPr>
      <xdr:blipFill>
        <a:blip r:embed="rId27"/>
        <a:stretch>
          <a:fillRect/>
        </a:stretch>
      </xdr:blipFill>
      <xdr:spPr>
        <a:xfrm>
          <a:off x="958850" y="1040088725"/>
          <a:ext cx="440055" cy="610870"/>
        </a:xfrm>
        <a:prstGeom prst="rect">
          <a:avLst/>
        </a:prstGeom>
      </xdr:spPr>
    </xdr:pic>
  </etc:cellImage>
  <etc:cellImage>
    <xdr:pic>
      <xdr:nvPicPr>
        <xdr:cNvPr id="65" name="ID_27B5E98B571C49E7944C572ACCBD5B70" descr="YILHM0115_1"/>
        <xdr:cNvPicPr>
          <a:picLocks noChangeAspect="1"/>
        </xdr:cNvPicPr>
      </xdr:nvPicPr>
      <xdr:blipFill>
        <a:blip r:embed="rId28"/>
        <a:stretch>
          <a:fillRect/>
        </a:stretch>
      </xdr:blipFill>
      <xdr:spPr>
        <a:xfrm>
          <a:off x="988695" y="1040720550"/>
          <a:ext cx="412750" cy="599440"/>
        </a:xfrm>
        <a:prstGeom prst="rect">
          <a:avLst/>
        </a:prstGeom>
      </xdr:spPr>
    </xdr:pic>
  </etc:cellImage>
  <etc:cellImage>
    <xdr:pic>
      <xdr:nvPicPr>
        <xdr:cNvPr id="78" name="ID_E147D2FEB55342439B78D68CD73568BA" descr="IMG_2366"/>
        <xdr:cNvPicPr>
          <a:picLocks noChangeAspect="1"/>
        </xdr:cNvPicPr>
      </xdr:nvPicPr>
      <xdr:blipFill>
        <a:blip r:embed="rId29"/>
        <a:stretch>
          <a:fillRect/>
        </a:stretch>
      </xdr:blipFill>
      <xdr:spPr>
        <a:xfrm>
          <a:off x="971550" y="975961345"/>
          <a:ext cx="398145" cy="589915"/>
        </a:xfrm>
        <a:prstGeom prst="rect">
          <a:avLst/>
        </a:prstGeom>
      </xdr:spPr>
    </xdr:pic>
  </etc:cellImage>
  <etc:cellImage>
    <xdr:pic>
      <xdr:nvPicPr>
        <xdr:cNvPr id="79" name="ID_55313014813345A0B08CAA51D07E216F" descr="IMG_2259"/>
        <xdr:cNvPicPr>
          <a:picLocks noChangeAspect="1"/>
        </xdr:cNvPicPr>
      </xdr:nvPicPr>
      <xdr:blipFill>
        <a:blip r:embed="rId30"/>
        <a:srcRect t="25818" b="27351"/>
        <a:stretch>
          <a:fillRect/>
        </a:stretch>
      </xdr:blipFill>
      <xdr:spPr>
        <a:xfrm>
          <a:off x="977265" y="1045233495"/>
          <a:ext cx="729615" cy="483870"/>
        </a:xfrm>
        <a:prstGeom prst="rect">
          <a:avLst/>
        </a:prstGeom>
      </xdr:spPr>
    </xdr:pic>
  </etc:cellImage>
  <etc:cellImage>
    <xdr:pic>
      <xdr:nvPicPr>
        <xdr:cNvPr id="80" name="ID_3D450F2A6B7C47C59B1BC9781F1455B8" descr="YILHM0145_1"/>
        <xdr:cNvPicPr>
          <a:picLocks noChangeAspect="1"/>
        </xdr:cNvPicPr>
      </xdr:nvPicPr>
      <xdr:blipFill>
        <a:blip r:embed="rId31"/>
        <a:stretch>
          <a:fillRect/>
        </a:stretch>
      </xdr:blipFill>
      <xdr:spPr>
        <a:xfrm>
          <a:off x="1005205" y="1047720790"/>
          <a:ext cx="394970" cy="583565"/>
        </a:xfrm>
        <a:prstGeom prst="rect">
          <a:avLst/>
        </a:prstGeom>
      </xdr:spPr>
    </xdr:pic>
  </etc:cellImage>
  <etc:cellImage>
    <xdr:pic>
      <xdr:nvPicPr>
        <xdr:cNvPr id="81" name="ID_FEA31DA4C4624707BACE85D4A3AE66F3" descr="YILHM0146_1"/>
        <xdr:cNvPicPr>
          <a:picLocks noChangeAspect="1"/>
        </xdr:cNvPicPr>
      </xdr:nvPicPr>
      <xdr:blipFill>
        <a:blip r:embed="rId32"/>
        <a:stretch>
          <a:fillRect/>
        </a:stretch>
      </xdr:blipFill>
      <xdr:spPr>
        <a:xfrm>
          <a:off x="1008380" y="1048327215"/>
          <a:ext cx="393065" cy="595630"/>
        </a:xfrm>
        <a:prstGeom prst="rect">
          <a:avLst/>
        </a:prstGeom>
      </xdr:spPr>
    </xdr:pic>
  </etc:cellImage>
  <etc:cellImage>
    <xdr:pic>
      <xdr:nvPicPr>
        <xdr:cNvPr id="82" name="ID_22CAB55638B04FF8A0B296359D1A0FC6" descr="YILHM0147_1"/>
        <xdr:cNvPicPr>
          <a:picLocks noChangeAspect="1"/>
        </xdr:cNvPicPr>
      </xdr:nvPicPr>
      <xdr:blipFill>
        <a:blip r:embed="rId33"/>
        <a:stretch>
          <a:fillRect/>
        </a:stretch>
      </xdr:blipFill>
      <xdr:spPr>
        <a:xfrm>
          <a:off x="1019810" y="1048993330"/>
          <a:ext cx="375920" cy="565785"/>
        </a:xfrm>
        <a:prstGeom prst="rect">
          <a:avLst/>
        </a:prstGeom>
      </xdr:spPr>
    </xdr:pic>
  </etc:cellImage>
  <etc:cellImage>
    <xdr:pic>
      <xdr:nvPicPr>
        <xdr:cNvPr id="84" name="ID_889E5EDE8DBF42C6AEB0EA24F37D82AF" descr="YILHM0061_5"/>
        <xdr:cNvPicPr>
          <a:picLocks noChangeAspect="1"/>
        </xdr:cNvPicPr>
      </xdr:nvPicPr>
      <xdr:blipFill>
        <a:blip r:embed="rId34"/>
        <a:srcRect t="10692" b="10692"/>
        <a:stretch>
          <a:fillRect/>
        </a:stretch>
      </xdr:blipFill>
      <xdr:spPr>
        <a:xfrm>
          <a:off x="974725" y="1004550950"/>
          <a:ext cx="526415" cy="573405"/>
        </a:xfrm>
        <a:prstGeom prst="rect">
          <a:avLst/>
        </a:prstGeom>
      </xdr:spPr>
    </xdr:pic>
  </etc:cellImage>
  <etc:cellImage>
    <xdr:pic>
      <xdr:nvPicPr>
        <xdr:cNvPr id="83" name="ID_677C6FEC13954461A125BE698441BF2E" descr="YILHM0060_1"/>
        <xdr:cNvPicPr>
          <a:picLocks noChangeAspect="1"/>
        </xdr:cNvPicPr>
      </xdr:nvPicPr>
      <xdr:blipFill>
        <a:blip r:embed="rId35"/>
        <a:stretch>
          <a:fillRect/>
        </a:stretch>
      </xdr:blipFill>
      <xdr:spPr>
        <a:xfrm>
          <a:off x="1003300" y="1003878485"/>
          <a:ext cx="406400" cy="605155"/>
        </a:xfrm>
        <a:prstGeom prst="rect">
          <a:avLst/>
        </a:prstGeom>
      </xdr:spPr>
    </xdr:pic>
  </etc:cellImage>
  <etc:cellImage>
    <xdr:pic>
      <xdr:nvPicPr>
        <xdr:cNvPr id="12" name="ID_C124F5B9512D4E3CA04E0645BE99C60D" descr="YILHM0062_1"/>
        <xdr:cNvPicPr>
          <a:picLocks noChangeAspect="1"/>
        </xdr:cNvPicPr>
      </xdr:nvPicPr>
      <xdr:blipFill>
        <a:blip r:embed="rId36"/>
        <a:srcRect t="14095" b="11738"/>
        <a:stretch>
          <a:fillRect/>
        </a:stretch>
      </xdr:blipFill>
      <xdr:spPr>
        <a:xfrm>
          <a:off x="1030605" y="1005167535"/>
          <a:ext cx="527685" cy="581660"/>
        </a:xfrm>
        <a:prstGeom prst="rect">
          <a:avLst/>
        </a:prstGeom>
      </xdr:spPr>
    </xdr:pic>
  </etc:cellImage>
  <etc:cellImage>
    <xdr:pic>
      <xdr:nvPicPr>
        <xdr:cNvPr id="87" name="ID_315F63E0D5474F3D9FF9A5DDC0C4A126" descr="YILHM0059_2"/>
        <xdr:cNvPicPr>
          <a:picLocks noChangeAspect="1"/>
        </xdr:cNvPicPr>
      </xdr:nvPicPr>
      <xdr:blipFill>
        <a:blip r:embed="rId37"/>
        <a:stretch>
          <a:fillRect/>
        </a:stretch>
      </xdr:blipFill>
      <xdr:spPr>
        <a:xfrm>
          <a:off x="986790" y="1003243485"/>
          <a:ext cx="450850" cy="620395"/>
        </a:xfrm>
        <a:prstGeom prst="rect">
          <a:avLst/>
        </a:prstGeom>
      </xdr:spPr>
    </xdr:pic>
  </etc:cellImage>
  <etc:cellImage>
    <xdr:pic>
      <xdr:nvPicPr>
        <xdr:cNvPr id="86" name="ID_894A73110135420E8DEE306F1483BDB8" descr="YILHM0063_1"/>
        <xdr:cNvPicPr>
          <a:picLocks noChangeAspect="1"/>
        </xdr:cNvPicPr>
      </xdr:nvPicPr>
      <xdr:blipFill>
        <a:blip r:embed="rId38"/>
        <a:srcRect t="7723" b="12071"/>
        <a:stretch>
          <a:fillRect/>
        </a:stretch>
      </xdr:blipFill>
      <xdr:spPr>
        <a:xfrm>
          <a:off x="985520" y="1005824125"/>
          <a:ext cx="440690" cy="532130"/>
        </a:xfrm>
        <a:prstGeom prst="rect">
          <a:avLst/>
        </a:prstGeom>
      </xdr:spPr>
    </xdr:pic>
  </etc:cellImage>
  <etc:cellImage>
    <xdr:pic>
      <xdr:nvPicPr>
        <xdr:cNvPr id="88" name="ID_F6391F3813FA4E8FA4EC1E07ADF257DE" descr="YILHM0057_2"/>
        <xdr:cNvPicPr>
          <a:picLocks noChangeAspect="1"/>
        </xdr:cNvPicPr>
      </xdr:nvPicPr>
      <xdr:blipFill>
        <a:blip r:embed="rId39"/>
        <a:srcRect t="9312" b="9312"/>
        <a:stretch>
          <a:fillRect/>
        </a:stretch>
      </xdr:blipFill>
      <xdr:spPr>
        <a:xfrm>
          <a:off x="988060" y="1002000155"/>
          <a:ext cx="423545" cy="506730"/>
        </a:xfrm>
        <a:prstGeom prst="rect">
          <a:avLst/>
        </a:prstGeom>
      </xdr:spPr>
    </xdr:pic>
  </etc:cellImage>
  <etc:cellImage>
    <xdr:pic>
      <xdr:nvPicPr>
        <xdr:cNvPr id="89" name="ID_EFB0578B518248C1B857153ADB5E7172" descr="YILHM0073_1"/>
        <xdr:cNvPicPr>
          <a:picLocks noChangeAspect="1"/>
        </xdr:cNvPicPr>
      </xdr:nvPicPr>
      <xdr:blipFill>
        <a:blip r:embed="rId40"/>
        <a:stretch>
          <a:fillRect/>
        </a:stretch>
      </xdr:blipFill>
      <xdr:spPr>
        <a:xfrm>
          <a:off x="982345" y="1012174760"/>
          <a:ext cx="324485" cy="492125"/>
        </a:xfrm>
        <a:prstGeom prst="rect">
          <a:avLst/>
        </a:prstGeom>
      </xdr:spPr>
    </xdr:pic>
  </etc:cellImage>
  <etc:cellImage>
    <xdr:pic>
      <xdr:nvPicPr>
        <xdr:cNvPr id="91" name="ID_97E71C483F3C4CBC88BA1DD756B0EB14" descr="YILHM0075_1"/>
        <xdr:cNvPicPr>
          <a:picLocks noChangeAspect="1"/>
        </xdr:cNvPicPr>
      </xdr:nvPicPr>
      <xdr:blipFill>
        <a:blip r:embed="rId41"/>
        <a:stretch>
          <a:fillRect/>
        </a:stretch>
      </xdr:blipFill>
      <xdr:spPr>
        <a:xfrm>
          <a:off x="1010920" y="1013431425"/>
          <a:ext cx="426085" cy="558800"/>
        </a:xfrm>
        <a:prstGeom prst="rect">
          <a:avLst/>
        </a:prstGeom>
      </xdr:spPr>
    </xdr:pic>
  </etc:cellImage>
  <etc:cellImage>
    <xdr:pic>
      <xdr:nvPicPr>
        <xdr:cNvPr id="13" name="ID_08EB29356B4D4141A7357EF1ABF5545E" descr="YILHM0074_1"/>
        <xdr:cNvPicPr>
          <a:picLocks noChangeAspect="1"/>
        </xdr:cNvPicPr>
      </xdr:nvPicPr>
      <xdr:blipFill>
        <a:blip r:embed="rId42"/>
        <a:stretch>
          <a:fillRect/>
        </a:stretch>
      </xdr:blipFill>
      <xdr:spPr>
        <a:xfrm>
          <a:off x="1090295" y="1012784995"/>
          <a:ext cx="403225" cy="589280"/>
        </a:xfrm>
        <a:prstGeom prst="rect">
          <a:avLst/>
        </a:prstGeom>
      </xdr:spPr>
    </xdr:pic>
  </etc:cellImage>
  <etc:cellImage>
    <xdr:pic>
      <xdr:nvPicPr>
        <xdr:cNvPr id="92" name="ID_6FB794C641B84A03B4564E8FDD724AD0" descr="YILHM0076_1"/>
        <xdr:cNvPicPr>
          <a:picLocks noChangeAspect="1"/>
        </xdr:cNvPicPr>
      </xdr:nvPicPr>
      <xdr:blipFill>
        <a:blip r:embed="rId43"/>
        <a:srcRect t="12003" b="10099"/>
        <a:stretch>
          <a:fillRect/>
        </a:stretch>
      </xdr:blipFill>
      <xdr:spPr>
        <a:xfrm>
          <a:off x="987425" y="1014044835"/>
          <a:ext cx="502920" cy="589280"/>
        </a:xfrm>
        <a:prstGeom prst="rect">
          <a:avLst/>
        </a:prstGeom>
      </xdr:spPr>
    </xdr:pic>
  </etc:cellImage>
  <etc:cellImage>
    <xdr:pic>
      <xdr:nvPicPr>
        <xdr:cNvPr id="15" name="ID_A91DFB2CBB434112A64908E008E8E85E" descr="IMG_2398"/>
        <xdr:cNvPicPr>
          <a:picLocks noChangeAspect="1"/>
        </xdr:cNvPicPr>
      </xdr:nvPicPr>
      <xdr:blipFill>
        <a:blip r:embed="rId44"/>
        <a:stretch>
          <a:fillRect/>
        </a:stretch>
      </xdr:blipFill>
      <xdr:spPr>
        <a:xfrm>
          <a:off x="1007110" y="981673805"/>
          <a:ext cx="376555" cy="565150"/>
        </a:xfrm>
        <a:prstGeom prst="rect">
          <a:avLst/>
        </a:prstGeom>
      </xdr:spPr>
    </xdr:pic>
  </etc:cellImage>
  <etc:cellImage>
    <xdr:pic>
      <xdr:nvPicPr>
        <xdr:cNvPr id="94" name="ID_331F02D25F0A44B3BA958E8D17162AD4" descr="IMG_2357"/>
        <xdr:cNvPicPr>
          <a:picLocks noChangeAspect="1"/>
        </xdr:cNvPicPr>
      </xdr:nvPicPr>
      <xdr:blipFill>
        <a:blip r:embed="rId45"/>
        <a:stretch>
          <a:fillRect/>
        </a:stretch>
      </xdr:blipFill>
      <xdr:spPr>
        <a:xfrm>
          <a:off x="987425" y="976615395"/>
          <a:ext cx="378460" cy="556260"/>
        </a:xfrm>
        <a:prstGeom prst="rect">
          <a:avLst/>
        </a:prstGeom>
      </xdr:spPr>
    </xdr:pic>
  </etc:cellImage>
  <etc:cellImage>
    <xdr:pic>
      <xdr:nvPicPr>
        <xdr:cNvPr id="16" name="ID_B2F0DA59D3134DF5852A0AA32494D198" descr="IMG_2471"/>
        <xdr:cNvPicPr>
          <a:picLocks noChangeAspect="1"/>
        </xdr:cNvPicPr>
      </xdr:nvPicPr>
      <xdr:blipFill>
        <a:blip r:embed="rId46"/>
        <a:stretch>
          <a:fillRect/>
        </a:stretch>
      </xdr:blipFill>
      <xdr:spPr>
        <a:xfrm>
          <a:off x="988060" y="999535720"/>
          <a:ext cx="350520" cy="524510"/>
        </a:xfrm>
        <a:prstGeom prst="rect">
          <a:avLst/>
        </a:prstGeom>
      </xdr:spPr>
    </xdr:pic>
  </etc:cellImage>
  <etc:cellImage>
    <xdr:pic>
      <xdr:nvPicPr>
        <xdr:cNvPr id="96" name="ID_A13CCF7F3F7A4E1CAD293BF92EEFFC56" descr="IMG_2455"/>
        <xdr:cNvPicPr>
          <a:picLocks noChangeAspect="1"/>
        </xdr:cNvPicPr>
      </xdr:nvPicPr>
      <xdr:blipFill>
        <a:blip r:embed="rId47"/>
        <a:srcRect t="13251" b="8878"/>
        <a:stretch>
          <a:fillRect/>
        </a:stretch>
      </xdr:blipFill>
      <xdr:spPr>
        <a:xfrm>
          <a:off x="977900" y="1002016665"/>
          <a:ext cx="548005" cy="621665"/>
        </a:xfrm>
        <a:prstGeom prst="rect">
          <a:avLst/>
        </a:prstGeom>
      </xdr:spPr>
    </xdr:pic>
  </etc:cellImage>
  <etc:cellImage>
    <xdr:pic>
      <xdr:nvPicPr>
        <xdr:cNvPr id="97" name="ID_DEAF5ABB441341CA9DA766385E1F6670" descr="YILHM0055_2"/>
        <xdr:cNvPicPr>
          <a:picLocks noChangeAspect="1"/>
        </xdr:cNvPicPr>
      </xdr:nvPicPr>
      <xdr:blipFill>
        <a:blip r:embed="rId48"/>
        <a:srcRect t="6807" b="7883"/>
        <a:stretch>
          <a:fillRect/>
        </a:stretch>
      </xdr:blipFill>
      <xdr:spPr>
        <a:xfrm>
          <a:off x="993775" y="1001361345"/>
          <a:ext cx="468630" cy="605155"/>
        </a:xfrm>
        <a:prstGeom prst="rect">
          <a:avLst/>
        </a:prstGeom>
      </xdr:spPr>
    </xdr:pic>
  </etc:cellImage>
  <etc:cellImage>
    <xdr:pic>
      <xdr:nvPicPr>
        <xdr:cNvPr id="98" name="ID_4D2FA45FDD8342C79F793CEA60F59338" descr="IMG_2449"/>
        <xdr:cNvPicPr>
          <a:picLocks noChangeAspect="1"/>
        </xdr:cNvPicPr>
      </xdr:nvPicPr>
      <xdr:blipFill>
        <a:blip r:embed="rId49"/>
        <a:srcRect t="10349" b="11462"/>
        <a:stretch>
          <a:fillRect/>
        </a:stretch>
      </xdr:blipFill>
      <xdr:spPr>
        <a:xfrm>
          <a:off x="971550" y="1007718330"/>
          <a:ext cx="473075" cy="548640"/>
        </a:xfrm>
        <a:prstGeom prst="rect">
          <a:avLst/>
        </a:prstGeom>
      </xdr:spPr>
    </xdr:pic>
  </etc:cellImage>
  <etc:cellImage>
    <xdr:pic>
      <xdr:nvPicPr>
        <xdr:cNvPr id="17" name="ID_8C79A6110A4E40D1B23FEFB3281A788B" descr="YILHM0064_3"/>
        <xdr:cNvPicPr>
          <a:picLocks noChangeAspect="1"/>
        </xdr:cNvPicPr>
      </xdr:nvPicPr>
      <xdr:blipFill>
        <a:blip r:embed="rId50"/>
        <a:srcRect t="4693" b="7400"/>
        <a:stretch>
          <a:fillRect/>
        </a:stretch>
      </xdr:blipFill>
      <xdr:spPr>
        <a:xfrm>
          <a:off x="993775" y="1007083330"/>
          <a:ext cx="419100" cy="547370"/>
        </a:xfrm>
        <a:prstGeom prst="rect">
          <a:avLst/>
        </a:prstGeom>
      </xdr:spPr>
    </xdr:pic>
  </etc:cellImage>
  <etc:cellImage>
    <xdr:pic>
      <xdr:nvPicPr>
        <xdr:cNvPr id="75" name="ID_983CBCE8D4A04C1791520403A9BA8D8D" descr="YILHM0029_1"/>
        <xdr:cNvPicPr>
          <a:picLocks noChangeAspect="1"/>
        </xdr:cNvPicPr>
      </xdr:nvPicPr>
      <xdr:blipFill>
        <a:blip r:embed="rId51"/>
        <a:stretch>
          <a:fillRect/>
        </a:stretch>
      </xdr:blipFill>
      <xdr:spPr>
        <a:xfrm>
          <a:off x="1090295" y="984209995"/>
          <a:ext cx="397510" cy="594360"/>
        </a:xfrm>
        <a:prstGeom prst="rect">
          <a:avLst/>
        </a:prstGeom>
      </xdr:spPr>
    </xdr:pic>
  </etc:cellImage>
  <etc:cellImage>
    <xdr:pic>
      <xdr:nvPicPr>
        <xdr:cNvPr id="100" name="ID_C90935565D5E4AF5AC176886EF0D4DF7" descr="IMG_2402"/>
        <xdr:cNvPicPr>
          <a:picLocks noChangeAspect="1"/>
        </xdr:cNvPicPr>
      </xdr:nvPicPr>
      <xdr:blipFill>
        <a:blip r:embed="rId52"/>
        <a:stretch>
          <a:fillRect/>
        </a:stretch>
      </xdr:blipFill>
      <xdr:spPr>
        <a:xfrm>
          <a:off x="1125855" y="979827860"/>
          <a:ext cx="351155" cy="528320"/>
        </a:xfrm>
        <a:prstGeom prst="rect">
          <a:avLst/>
        </a:prstGeom>
      </xdr:spPr>
    </xdr:pic>
  </etc:cellImage>
  <etc:cellImage>
    <xdr:pic>
      <xdr:nvPicPr>
        <xdr:cNvPr id="101" name="ID_31956D4F45564DECB64E4FB538B7E2E8" descr="YILHM0053_5"/>
        <xdr:cNvPicPr>
          <a:picLocks noChangeAspect="1"/>
        </xdr:cNvPicPr>
      </xdr:nvPicPr>
      <xdr:blipFill>
        <a:blip r:embed="rId53"/>
        <a:srcRect t="6581" b="6954"/>
        <a:stretch>
          <a:fillRect/>
        </a:stretch>
      </xdr:blipFill>
      <xdr:spPr>
        <a:xfrm>
          <a:off x="1040130" y="1000116110"/>
          <a:ext cx="448310" cy="582295"/>
        </a:xfrm>
        <a:prstGeom prst="rect">
          <a:avLst/>
        </a:prstGeom>
      </xdr:spPr>
    </xdr:pic>
  </etc:cellImage>
  <etc:cellImage>
    <xdr:pic>
      <xdr:nvPicPr>
        <xdr:cNvPr id="102" name="ID_7AEEF701FAF24EDD84CFF723A4E24DAF" descr="YILHM0067_3"/>
        <xdr:cNvPicPr>
          <a:picLocks noChangeAspect="1"/>
        </xdr:cNvPicPr>
      </xdr:nvPicPr>
      <xdr:blipFill>
        <a:blip r:embed="rId54"/>
        <a:srcRect t="11170" b="12985"/>
        <a:stretch>
          <a:fillRect/>
        </a:stretch>
      </xdr:blipFill>
      <xdr:spPr>
        <a:xfrm>
          <a:off x="980440" y="1008973725"/>
          <a:ext cx="532765" cy="601980"/>
        </a:xfrm>
        <a:prstGeom prst="rect">
          <a:avLst/>
        </a:prstGeom>
      </xdr:spPr>
    </xdr:pic>
  </etc:cellImage>
  <etc:cellImage>
    <xdr:pic>
      <xdr:nvPicPr>
        <xdr:cNvPr id="103" name="ID_CA59C52944AC4C77A7772C624B61C434" descr="IMG_2515"/>
        <xdr:cNvPicPr>
          <a:picLocks noChangeAspect="1"/>
        </xdr:cNvPicPr>
      </xdr:nvPicPr>
      <xdr:blipFill>
        <a:blip r:embed="rId55"/>
        <a:stretch>
          <a:fillRect/>
        </a:stretch>
      </xdr:blipFill>
      <xdr:spPr>
        <a:xfrm>
          <a:off x="996950" y="1043908250"/>
          <a:ext cx="356235" cy="535305"/>
        </a:xfrm>
        <a:prstGeom prst="rect">
          <a:avLst/>
        </a:prstGeom>
      </xdr:spPr>
    </xdr:pic>
  </etc:cellImage>
  <etc:cellImage>
    <xdr:pic>
      <xdr:nvPicPr>
        <xdr:cNvPr id="104" name="ID_0505384F87244B17A5F12EC5E5CE6025" descr="YILHM0139_1"/>
        <xdr:cNvPicPr>
          <a:picLocks noChangeAspect="1"/>
        </xdr:cNvPicPr>
      </xdr:nvPicPr>
      <xdr:blipFill>
        <a:blip r:embed="rId56"/>
        <a:stretch>
          <a:fillRect/>
        </a:stretch>
      </xdr:blipFill>
      <xdr:spPr>
        <a:xfrm>
          <a:off x="1027430" y="1044555315"/>
          <a:ext cx="382905" cy="576580"/>
        </a:xfrm>
        <a:prstGeom prst="rect">
          <a:avLst/>
        </a:prstGeom>
      </xdr:spPr>
    </xdr:pic>
  </etc:cellImage>
  <etc:cellImage>
    <xdr:pic>
      <xdr:nvPicPr>
        <xdr:cNvPr id="105" name="ID_EBBCEBED0DC34FFB89EBAF2545A36AD1" descr="YILHM0099_1"/>
        <xdr:cNvPicPr>
          <a:picLocks noChangeAspect="1"/>
        </xdr:cNvPicPr>
      </xdr:nvPicPr>
      <xdr:blipFill>
        <a:blip r:embed="rId57"/>
        <a:stretch>
          <a:fillRect/>
        </a:stretch>
      </xdr:blipFill>
      <xdr:spPr>
        <a:xfrm>
          <a:off x="996950" y="1029314680"/>
          <a:ext cx="387350" cy="575945"/>
        </a:xfrm>
        <a:prstGeom prst="rect">
          <a:avLst/>
        </a:prstGeom>
      </xdr:spPr>
    </xdr:pic>
  </etc:cellImage>
  <etc:cellImage>
    <xdr:pic>
      <xdr:nvPicPr>
        <xdr:cNvPr id="106" name="ID_32237752924347C9958963C7F053ED96" descr="YILHM0097_1"/>
        <xdr:cNvPicPr>
          <a:picLocks noChangeAspect="1"/>
        </xdr:cNvPicPr>
      </xdr:nvPicPr>
      <xdr:blipFill>
        <a:blip r:embed="rId58"/>
        <a:srcRect t="16574" b="17180"/>
        <a:stretch>
          <a:fillRect/>
        </a:stretch>
      </xdr:blipFill>
      <xdr:spPr>
        <a:xfrm>
          <a:off x="1005840" y="1028033250"/>
          <a:ext cx="549275" cy="540385"/>
        </a:xfrm>
        <a:prstGeom prst="rect">
          <a:avLst/>
        </a:prstGeom>
      </xdr:spPr>
    </xdr:pic>
  </etc:cellImage>
  <etc:cellImage>
    <xdr:pic>
      <xdr:nvPicPr>
        <xdr:cNvPr id="107" name="ID_8CDF2E94ACBF49349E7B534C668F72E1" descr="IMG_2494"/>
        <xdr:cNvPicPr>
          <a:picLocks noChangeAspect="1"/>
        </xdr:cNvPicPr>
      </xdr:nvPicPr>
      <xdr:blipFill>
        <a:blip r:embed="rId59"/>
        <a:srcRect t="13787" b="10754"/>
        <a:stretch>
          <a:fillRect/>
        </a:stretch>
      </xdr:blipFill>
      <xdr:spPr>
        <a:xfrm>
          <a:off x="1009650" y="1026808970"/>
          <a:ext cx="459105" cy="521335"/>
        </a:xfrm>
        <a:prstGeom prst="rect">
          <a:avLst/>
        </a:prstGeom>
      </xdr:spPr>
    </xdr:pic>
  </etc:cellImage>
  <etc:cellImage>
    <xdr:pic>
      <xdr:nvPicPr>
        <xdr:cNvPr id="108" name="ID_AA724A023AFC4FB18C89A785789FBDC6" descr="IMG_2490"/>
        <xdr:cNvPicPr>
          <a:picLocks noChangeAspect="1"/>
        </xdr:cNvPicPr>
      </xdr:nvPicPr>
      <xdr:blipFill>
        <a:blip r:embed="rId60"/>
        <a:srcRect t="15070" b="8190"/>
        <a:stretch>
          <a:fillRect/>
        </a:stretch>
      </xdr:blipFill>
      <xdr:spPr>
        <a:xfrm>
          <a:off x="1057910" y="1025476105"/>
          <a:ext cx="517525" cy="594995"/>
        </a:xfrm>
        <a:prstGeom prst="rect">
          <a:avLst/>
        </a:prstGeom>
      </xdr:spPr>
    </xdr:pic>
  </etc:cellImage>
  <etc:cellImage>
    <xdr:pic>
      <xdr:nvPicPr>
        <xdr:cNvPr id="109" name="ID_9D86C42268174E569F1B44CA83A94651" descr="IMG_2500"/>
        <xdr:cNvPicPr>
          <a:picLocks noChangeAspect="1"/>
        </xdr:cNvPicPr>
      </xdr:nvPicPr>
      <xdr:blipFill>
        <a:blip r:embed="rId61"/>
        <a:srcRect t="19231" b="18709"/>
        <a:stretch>
          <a:fillRect/>
        </a:stretch>
      </xdr:blipFill>
      <xdr:spPr>
        <a:xfrm>
          <a:off x="977900" y="1024214995"/>
          <a:ext cx="582295" cy="540385"/>
        </a:xfrm>
        <a:prstGeom prst="rect">
          <a:avLst/>
        </a:prstGeom>
      </xdr:spPr>
    </xdr:pic>
  </etc:cellImage>
  <etc:cellImage>
    <xdr:pic>
      <xdr:nvPicPr>
        <xdr:cNvPr id="110" name="ID_6192ED3DEF4E40E0B9CB7A8B01908DF1" descr="IMG_2501"/>
        <xdr:cNvPicPr>
          <a:picLocks noChangeAspect="1"/>
        </xdr:cNvPicPr>
      </xdr:nvPicPr>
      <xdr:blipFill>
        <a:blip r:embed="rId62"/>
        <a:srcRect t="11797" b="12186"/>
        <a:stretch>
          <a:fillRect/>
        </a:stretch>
      </xdr:blipFill>
      <xdr:spPr>
        <a:xfrm>
          <a:off x="1010920" y="1024869680"/>
          <a:ext cx="488950" cy="554990"/>
        </a:xfrm>
        <a:prstGeom prst="rect">
          <a:avLst/>
        </a:prstGeom>
      </xdr:spPr>
    </xdr:pic>
  </etc:cellImage>
  <etc:cellImage>
    <xdr:pic>
      <xdr:nvPicPr>
        <xdr:cNvPr id="111" name="ID_CC98686D60D34BF997D1F5A2805BB1F6" descr="IMG_2160"/>
        <xdr:cNvPicPr>
          <a:picLocks noChangeAspect="1"/>
        </xdr:cNvPicPr>
      </xdr:nvPicPr>
      <xdr:blipFill>
        <a:blip r:embed="rId63"/>
        <a:stretch>
          <a:fillRect/>
        </a:stretch>
      </xdr:blipFill>
      <xdr:spPr>
        <a:xfrm>
          <a:off x="1019810" y="1023599045"/>
          <a:ext cx="374015" cy="555625"/>
        </a:xfrm>
        <a:prstGeom prst="rect">
          <a:avLst/>
        </a:prstGeom>
      </xdr:spPr>
    </xdr:pic>
  </etc:cellImage>
  <etc:cellImage>
    <xdr:pic>
      <xdr:nvPicPr>
        <xdr:cNvPr id="112" name="ID_9E5F345CDF4048A9AE9AE714630F08C6" descr="IMG_1861"/>
        <xdr:cNvPicPr>
          <a:picLocks noChangeAspect="1"/>
        </xdr:cNvPicPr>
      </xdr:nvPicPr>
      <xdr:blipFill>
        <a:blip r:embed="rId64"/>
        <a:srcRect t="14933" b="15232"/>
        <a:stretch>
          <a:fillRect/>
        </a:stretch>
      </xdr:blipFill>
      <xdr:spPr>
        <a:xfrm>
          <a:off x="986790" y="1021673725"/>
          <a:ext cx="513080" cy="514985"/>
        </a:xfrm>
        <a:prstGeom prst="rect">
          <a:avLst/>
        </a:prstGeom>
      </xdr:spPr>
    </xdr:pic>
  </etc:cellImage>
  <etc:cellImage>
    <xdr:pic>
      <xdr:nvPicPr>
        <xdr:cNvPr id="113" name="ID_432F0E6BF5384984B222667A7B5EA4C8" descr="IMG_2158"/>
        <xdr:cNvPicPr>
          <a:picLocks noChangeAspect="1"/>
        </xdr:cNvPicPr>
      </xdr:nvPicPr>
      <xdr:blipFill>
        <a:blip r:embed="rId65"/>
        <a:stretch>
          <a:fillRect/>
        </a:stretch>
      </xdr:blipFill>
      <xdr:spPr>
        <a:xfrm>
          <a:off x="960120" y="1021032375"/>
          <a:ext cx="434975" cy="608330"/>
        </a:xfrm>
        <a:prstGeom prst="rect">
          <a:avLst/>
        </a:prstGeom>
      </xdr:spPr>
    </xdr:pic>
  </etc:cellImage>
  <etc:cellImage>
    <xdr:pic>
      <xdr:nvPicPr>
        <xdr:cNvPr id="114" name="ID_2975DE62BF5641D3941654633AA53440" descr="YILHM0085_2"/>
        <xdr:cNvPicPr>
          <a:picLocks noChangeAspect="1"/>
        </xdr:cNvPicPr>
      </xdr:nvPicPr>
      <xdr:blipFill>
        <a:blip r:embed="rId66"/>
        <a:srcRect t="14549" b="11712"/>
        <a:stretch>
          <a:fillRect/>
        </a:stretch>
      </xdr:blipFill>
      <xdr:spPr>
        <a:xfrm>
          <a:off x="985520" y="1020414520"/>
          <a:ext cx="626110" cy="600710"/>
        </a:xfrm>
        <a:prstGeom prst="rect">
          <a:avLst/>
        </a:prstGeom>
      </xdr:spPr>
    </xdr:pic>
  </etc:cellImage>
  <etc:cellImage>
    <xdr:pic>
      <xdr:nvPicPr>
        <xdr:cNvPr id="18" name="ID_7F752E326DE9458E9D3971BF2B070137" descr="IMG_2149"/>
        <xdr:cNvPicPr>
          <a:picLocks noChangeAspect="1"/>
        </xdr:cNvPicPr>
      </xdr:nvPicPr>
      <xdr:blipFill>
        <a:blip r:embed="rId67"/>
        <a:stretch>
          <a:fillRect/>
        </a:stretch>
      </xdr:blipFill>
      <xdr:spPr>
        <a:xfrm>
          <a:off x="1045845" y="1019164840"/>
          <a:ext cx="418465" cy="584200"/>
        </a:xfrm>
        <a:prstGeom prst="rect">
          <a:avLst/>
        </a:prstGeom>
      </xdr:spPr>
    </xdr:pic>
  </etc:cellImage>
  <etc:cellImage>
    <xdr:pic>
      <xdr:nvPicPr>
        <xdr:cNvPr id="116" name="ID_369D3B6160B245A482A99DEFA0E3400D" descr="IMG_1865"/>
        <xdr:cNvPicPr>
          <a:picLocks noChangeAspect="1"/>
        </xdr:cNvPicPr>
      </xdr:nvPicPr>
      <xdr:blipFill>
        <a:blip r:embed="rId68"/>
        <a:srcRect t="15286" b="14663"/>
        <a:stretch>
          <a:fillRect/>
        </a:stretch>
      </xdr:blipFill>
      <xdr:spPr>
        <a:xfrm>
          <a:off x="1003935" y="1017238250"/>
          <a:ext cx="557530" cy="572770"/>
        </a:xfrm>
        <a:prstGeom prst="rect">
          <a:avLst/>
        </a:prstGeom>
      </xdr:spPr>
    </xdr:pic>
  </etc:cellImage>
</etc:cellImages>
</file>

<file path=xl/comments1.xml><?xml version="1.0" encoding="utf-8"?>
<comments xmlns="http://schemas.openxmlformats.org/spreadsheetml/2006/main">
  <authors>
    <author>Microsoft Office User</author>
  </authors>
  <commentList>
    <comment ref="C752" authorId="0">
      <text>
        <r>
          <rPr>
            <b/>
            <sz val="10"/>
            <color rgb="FF000000"/>
            <rFont val="Tahoma"/>
            <charset val="134"/>
          </rPr>
          <t>Microsoft Office User:</t>
        </r>
        <r>
          <rPr>
            <sz val="10"/>
            <color rgb="FF000000"/>
            <rFont val="Tahoma"/>
            <charset val="134"/>
          </rPr>
          <t xml:space="preserve">
por cobrar</t>
        </r>
      </text>
    </comment>
  </commentList>
</comments>
</file>

<file path=xl/sharedStrings.xml><?xml version="1.0" encoding="utf-8"?>
<sst xmlns="http://schemas.openxmlformats.org/spreadsheetml/2006/main" count="14896" uniqueCount="3749">
  <si>
    <t>Code</t>
  </si>
  <si>
    <t>Foto</t>
  </si>
  <si>
    <t>Type</t>
  </si>
  <si>
    <t>Category</t>
  </si>
  <si>
    <t>Nombre del artículo</t>
  </si>
  <si>
    <t>Talla</t>
  </si>
  <si>
    <t>Brand</t>
  </si>
  <si>
    <t>Precio</t>
  </si>
  <si>
    <t>Pricing 1</t>
  </si>
  <si>
    <t>Entradas</t>
  </si>
  <si>
    <t>Salidas</t>
  </si>
  <si>
    <t>Stock Actual</t>
  </si>
  <si>
    <t>Comisión 10%</t>
  </si>
  <si>
    <t>Costo Unitario (MXN)</t>
  </si>
  <si>
    <t>USD -&gt; MXN</t>
  </si>
  <si>
    <t>Costo Unitario (USD)</t>
  </si>
  <si>
    <t>Peso (g)</t>
  </si>
  <si>
    <t>Precio Envío Kilogramo (USD)</t>
  </si>
  <si>
    <t>Costo Envío (USD)</t>
  </si>
  <si>
    <t>Costo total</t>
  </si>
  <si>
    <t>Precio Venta Ideal (x1.5)</t>
  </si>
  <si>
    <t>Precio Final</t>
  </si>
  <si>
    <t>Ganancia Unitaria</t>
  </si>
  <si>
    <t>Ganancia x Cant Ventas</t>
  </si>
  <si>
    <t>Detalles de la Compra</t>
  </si>
  <si>
    <t>Comisión Bazar 25%</t>
  </si>
  <si>
    <t>Gastos totales</t>
  </si>
  <si>
    <t>Valor Stock Actual</t>
  </si>
  <si>
    <t>Precio Promocion</t>
  </si>
  <si>
    <t>UB0001</t>
  </si>
  <si>
    <t>PRODUCT</t>
  </si>
  <si>
    <t>trajes-de-bano /ofertas</t>
  </si>
  <si>
    <t xml:space="preserve">Pareo falda </t>
  </si>
  <si>
    <t>Talla Única Marca SHEIN</t>
  </si>
  <si>
    <t>SHEIN</t>
  </si>
  <si>
    <t>UB0002</t>
  </si>
  <si>
    <t>Trajes de baño</t>
  </si>
  <si>
    <t>Bikini Floral</t>
  </si>
  <si>
    <t>Talla XS</t>
  </si>
  <si>
    <t>UB0003</t>
  </si>
  <si>
    <t>Talla XL</t>
  </si>
  <si>
    <t>UB0004</t>
  </si>
  <si>
    <t>Vestidos</t>
  </si>
  <si>
    <t>Vestido camisero elegante</t>
  </si>
  <si>
    <t>Talla L</t>
  </si>
  <si>
    <t>UB0005</t>
  </si>
  <si>
    <t>Vestido Camisero Elegante</t>
  </si>
  <si>
    <t>Talla M</t>
  </si>
  <si>
    <t>V0003</t>
  </si>
  <si>
    <t>PA0001</t>
  </si>
  <si>
    <t>Pareo Pantalón</t>
  </si>
  <si>
    <t>Inventario Enero 2024</t>
  </si>
  <si>
    <t>PA0002</t>
  </si>
  <si>
    <t>Pareo pantalón</t>
  </si>
  <si>
    <t>PA0003</t>
  </si>
  <si>
    <t>Pareo pantalón en malla</t>
  </si>
  <si>
    <t>T0001</t>
  </si>
  <si>
    <t xml:space="preserve">Bañador con cremallera </t>
  </si>
  <si>
    <t>UB0006</t>
  </si>
  <si>
    <t>Bikini Mangas Fuccia</t>
  </si>
  <si>
    <t>Talla S</t>
  </si>
  <si>
    <t>UB0007</t>
  </si>
  <si>
    <t>UB0008</t>
  </si>
  <si>
    <t>Enguatada con protección UV</t>
  </si>
  <si>
    <t>UB0009</t>
  </si>
  <si>
    <t>Bañador Elegante con Lazo</t>
  </si>
  <si>
    <t>UB0010</t>
  </si>
  <si>
    <t>Bikini Elegante con Herrajes</t>
  </si>
  <si>
    <t>BI0004</t>
  </si>
  <si>
    <t>T0003</t>
  </si>
  <si>
    <t>Bañador de una pieza con degradado</t>
  </si>
  <si>
    <t>T0004</t>
  </si>
  <si>
    <t>Bañador con estampado floral</t>
  </si>
  <si>
    <t>UB0011</t>
  </si>
  <si>
    <t xml:space="preserve">Bañador floral </t>
  </si>
  <si>
    <t>UB0012</t>
  </si>
  <si>
    <t>Pareo pantalón de malla</t>
  </si>
  <si>
    <t>UB0013</t>
  </si>
  <si>
    <t>Bikini con cordón lateral</t>
  </si>
  <si>
    <t>UB0014</t>
  </si>
  <si>
    <t>trajes-de-bano /Curvy</t>
  </si>
  <si>
    <t>Talla XL Marca SHEIN</t>
  </si>
  <si>
    <t>UB0015</t>
  </si>
  <si>
    <t>Enguatada solera sin parte de abajo</t>
  </si>
  <si>
    <t>UB0016</t>
  </si>
  <si>
    <t>Bikini elegante con herrajes color humo</t>
  </si>
  <si>
    <t>Talla S Marca SHEIN</t>
  </si>
  <si>
    <t>UB0017</t>
  </si>
  <si>
    <t>UB0018</t>
  </si>
  <si>
    <t>Bañador con Cremallera</t>
  </si>
  <si>
    <t>Talla 2XL</t>
  </si>
  <si>
    <t>T0008</t>
  </si>
  <si>
    <t>Bañador una pieza de malla en contraste</t>
  </si>
  <si>
    <t>BI0008</t>
  </si>
  <si>
    <t>Sets de Bikini Casual</t>
  </si>
  <si>
    <t>T0009</t>
  </si>
  <si>
    <t xml:space="preserve">Bañador estampado de planta </t>
  </si>
  <si>
    <t>T0010</t>
  </si>
  <si>
    <t>Bañador estampado de planta</t>
  </si>
  <si>
    <t>T0011</t>
  </si>
  <si>
    <t>UB0019</t>
  </si>
  <si>
    <t>trajes-de-bano</t>
  </si>
  <si>
    <t>T0012</t>
  </si>
  <si>
    <t xml:space="preserve">Bañador con tira cruzada </t>
  </si>
  <si>
    <t>UB0020</t>
  </si>
  <si>
    <t>UB0021</t>
  </si>
  <si>
    <t>Bikini elegante con herrajes color negro</t>
  </si>
  <si>
    <t>T0013</t>
  </si>
  <si>
    <t>Bañador color combinado</t>
  </si>
  <si>
    <t>T0014</t>
  </si>
  <si>
    <t>Bañador de zíper en color combinado</t>
  </si>
  <si>
    <t>UB0022</t>
  </si>
  <si>
    <t>UB0023</t>
  </si>
  <si>
    <t>Bikini Mangas Negro</t>
  </si>
  <si>
    <t>BI0012</t>
  </si>
  <si>
    <t>T0017</t>
  </si>
  <si>
    <t>T0018</t>
  </si>
  <si>
    <t>Bañador en contraste con cremallera</t>
  </si>
  <si>
    <t>T0019</t>
  </si>
  <si>
    <t>Bañador color combinado con cremallera_S</t>
  </si>
  <si>
    <t>UB0024</t>
  </si>
  <si>
    <t>Bañador una pieza tropical</t>
  </si>
  <si>
    <t>TN0001</t>
  </si>
  <si>
    <t>Traje de baño niñas</t>
  </si>
  <si>
    <t>Bikini chicas estampado tropical</t>
  </si>
  <si>
    <t>Talla 11_Años</t>
  </si>
  <si>
    <t>TN0002</t>
  </si>
  <si>
    <t>Bañador chicas con estampado de letra con cremallera</t>
  </si>
  <si>
    <t>Talla 10_11Años</t>
  </si>
  <si>
    <t>UB0025</t>
  </si>
  <si>
    <t>Trajes de baño niñas /ofertas</t>
  </si>
  <si>
    <t>Bibiki niñita Pez</t>
  </si>
  <si>
    <t>Talla 4_Años</t>
  </si>
  <si>
    <t>UB0026</t>
  </si>
  <si>
    <t>Trajes de baño niñas</t>
  </si>
  <si>
    <t>Traje de baño Mariposa</t>
  </si>
  <si>
    <t>Talla 14_Años</t>
  </si>
  <si>
    <t>TN0005</t>
  </si>
  <si>
    <t>Bañador con estampado de girasol con cover up</t>
  </si>
  <si>
    <t>Talla 10_Años</t>
  </si>
  <si>
    <t>UB0027</t>
  </si>
  <si>
    <t>Bikini niñitas Sandía</t>
  </si>
  <si>
    <t>UB0028</t>
  </si>
  <si>
    <t>Talla 6_Años</t>
  </si>
  <si>
    <t>UB0029</t>
  </si>
  <si>
    <t>Traje de baño niñitas Pastel con diadema</t>
  </si>
  <si>
    <t>Talla 4_Años Marca SHEIN</t>
  </si>
  <si>
    <t>UB0030</t>
  </si>
  <si>
    <t>Bikini niñitas unicornio con Diadema</t>
  </si>
  <si>
    <t>Talla 7_Años Marca SHEIN</t>
  </si>
  <si>
    <t>UB0031</t>
  </si>
  <si>
    <t>Partes-de-abajo</t>
  </si>
  <si>
    <t>Jean Boyfriend con rotos</t>
  </si>
  <si>
    <t>UB0032</t>
  </si>
  <si>
    <t>Jeans</t>
  </si>
  <si>
    <t>Jeans de pierna recta desgarro</t>
  </si>
  <si>
    <t>UB0033</t>
  </si>
  <si>
    <t>P0004</t>
  </si>
  <si>
    <t>UB0034</t>
  </si>
  <si>
    <t>UB0035</t>
  </si>
  <si>
    <t>Bikini niñita Arcoíris</t>
  </si>
  <si>
    <t>UB0036</t>
  </si>
  <si>
    <t>Bañador una pieza con adorno de mariposas</t>
  </si>
  <si>
    <t>UB0037</t>
  </si>
  <si>
    <t>Traje de baño niñitas malla protectora</t>
  </si>
  <si>
    <t>V0004</t>
  </si>
  <si>
    <t>Vestido de manga farol con cordón delantero</t>
  </si>
  <si>
    <t>Yenma 19 Mayo</t>
  </si>
  <si>
    <t>UB0038</t>
  </si>
  <si>
    <t>Vestido con estampado floral con abertura alta</t>
  </si>
  <si>
    <t>V0006</t>
  </si>
  <si>
    <t>Vestido floral de cuello cuadrado</t>
  </si>
  <si>
    <t>B0001</t>
  </si>
  <si>
    <t>Tops</t>
  </si>
  <si>
    <t>Camiseta unicolor de malla</t>
  </si>
  <si>
    <t>UB0039</t>
  </si>
  <si>
    <t xml:space="preserve">Vestido cruzado con abertura con nudo delantero </t>
  </si>
  <si>
    <t>UB0040</t>
  </si>
  <si>
    <t>Vestido cruzado con abertura con nudo delantero</t>
  </si>
  <si>
    <t>UB0041</t>
  </si>
  <si>
    <t>Top de manga farol con abertura en espalda</t>
  </si>
  <si>
    <t>UB0042</t>
  </si>
  <si>
    <t>B0004</t>
  </si>
  <si>
    <t>Top de manga farol con abertura en espald</t>
  </si>
  <si>
    <t>UB0043</t>
  </si>
  <si>
    <t>Blusa espalda cruzada color rosa</t>
  </si>
  <si>
    <t>Talla XS Marca SHEIN</t>
  </si>
  <si>
    <t>UB0044</t>
  </si>
  <si>
    <t xml:space="preserve"> Top de espalda cruzada</t>
  </si>
  <si>
    <t>Talla M Color Rosa_Pálido</t>
  </si>
  <si>
    <t>P0005</t>
  </si>
  <si>
    <t>Pantalones de pierna ancha de talle alto con abertura</t>
  </si>
  <si>
    <t>UB0045</t>
  </si>
  <si>
    <t>UB0046</t>
  </si>
  <si>
    <t>UB0047</t>
  </si>
  <si>
    <t>Partes-de-abajo /ofertas</t>
  </si>
  <si>
    <t>Falda de trabajo entallada</t>
  </si>
  <si>
    <t>UB0048</t>
  </si>
  <si>
    <t>Partes-de-abajo /ofertas /curvy</t>
  </si>
  <si>
    <t>V0009</t>
  </si>
  <si>
    <t>Vestido ajustado de tirantes</t>
  </si>
  <si>
    <t>UB0049</t>
  </si>
  <si>
    <t>Vestidos /Curvy /ofertas</t>
  </si>
  <si>
    <t>Vestido moca ajustado</t>
  </si>
  <si>
    <t>Talla L Marca SHEIN</t>
  </si>
  <si>
    <t>UB0050</t>
  </si>
  <si>
    <t>Vestido de satén ajustado de tirantes fruncido</t>
  </si>
  <si>
    <t>UB0055</t>
  </si>
  <si>
    <t>Maxi vestido de bajo floral</t>
  </si>
  <si>
    <t>UB0056</t>
  </si>
  <si>
    <t>Talla M Marca SHEIN</t>
  </si>
  <si>
    <t>UB0057</t>
  </si>
  <si>
    <t>Vestidos /Curvy</t>
  </si>
  <si>
    <t>Maxi vestido con bajo floral</t>
  </si>
  <si>
    <t>UB0058</t>
  </si>
  <si>
    <t>Vestidos /ofertas</t>
  </si>
  <si>
    <t>Vestido de solapa y abertura</t>
  </si>
  <si>
    <t>UB0059</t>
  </si>
  <si>
    <t>UB0060</t>
  </si>
  <si>
    <t>Camisetaen contraste tejido canalé</t>
  </si>
  <si>
    <t>UB0061</t>
  </si>
  <si>
    <t>Vestido slip abertura de espalda abierta de cuello desbocado</t>
  </si>
  <si>
    <t>UB0062</t>
  </si>
  <si>
    <t>Vestido ajustado de tirantes con abertura</t>
  </si>
  <si>
    <t>UB0063</t>
  </si>
  <si>
    <t>UB0064</t>
  </si>
  <si>
    <t xml:space="preserve"> Pantalón ancho con cinturón</t>
  </si>
  <si>
    <t>Talla S Color Negro</t>
  </si>
  <si>
    <t>UB0065</t>
  </si>
  <si>
    <t>Pantalón pierna ancha con cinturón</t>
  </si>
  <si>
    <t>V0020</t>
  </si>
  <si>
    <t>Vestido Esmeralda Fruncido</t>
  </si>
  <si>
    <t>B0008</t>
  </si>
  <si>
    <t>Top estampado de cuello con cordón</t>
  </si>
  <si>
    <t>UB0066</t>
  </si>
  <si>
    <t>Top de cuello con cordón de lunares</t>
  </si>
  <si>
    <t>B0010</t>
  </si>
  <si>
    <t>UB0067</t>
  </si>
  <si>
    <t>Vestido tank tejido de canalé con cinturón</t>
  </si>
  <si>
    <t>UB0068</t>
  </si>
  <si>
    <t>UB0069</t>
  </si>
  <si>
    <t>Vestido de cuello cuadrado de espalda abierta</t>
  </si>
  <si>
    <t>V0025</t>
  </si>
  <si>
    <t>UB0070</t>
  </si>
  <si>
    <t>Blusa de manga mariposa escote V</t>
  </si>
  <si>
    <t>UB0071</t>
  </si>
  <si>
    <t>Tops /Curvy</t>
  </si>
  <si>
    <t>Top de mangas anchas y lentejuelas amarillo</t>
  </si>
  <si>
    <t>UB0072</t>
  </si>
  <si>
    <t>Vestido con abertura con botón floral de margarita</t>
  </si>
  <si>
    <t>UB0073</t>
  </si>
  <si>
    <t>Vestido flor y botones</t>
  </si>
  <si>
    <t>UB0074</t>
  </si>
  <si>
    <t>UB0075</t>
  </si>
  <si>
    <t>Blusa espalda cruzada blanca</t>
  </si>
  <si>
    <t>UB0076</t>
  </si>
  <si>
    <t>Top de espalda cruzada</t>
  </si>
  <si>
    <t>Talla M Color Blanco</t>
  </si>
  <si>
    <t>UB0077</t>
  </si>
  <si>
    <t>Top unicolor de hombros con almohadilla</t>
  </si>
  <si>
    <t>UB0078</t>
  </si>
  <si>
    <t>Blusas Botón Floral Casual</t>
  </si>
  <si>
    <t>UB0079</t>
  </si>
  <si>
    <t>UB0080</t>
  </si>
  <si>
    <t>V0029</t>
  </si>
  <si>
    <t>Vestido de  lunares de cintura con cordó</t>
  </si>
  <si>
    <t>UB0081</t>
  </si>
  <si>
    <t>Vestido Malla en contraste Lunares Elegante</t>
  </si>
  <si>
    <t>UB0082</t>
  </si>
  <si>
    <t>UB0083</t>
  </si>
  <si>
    <t>Vestido playera oversize</t>
  </si>
  <si>
    <t>UB0084</t>
  </si>
  <si>
    <t>Vestido camiseta bajo con abertura</t>
  </si>
  <si>
    <t>UB0085</t>
  </si>
  <si>
    <t>V0035</t>
  </si>
  <si>
    <t>UB0086</t>
  </si>
  <si>
    <t>Falda larga viniletto</t>
  </si>
  <si>
    <t>recibido yenma correos 8mayo</t>
  </si>
  <si>
    <t>UB0087</t>
  </si>
  <si>
    <t>Top de cuello V media manga</t>
  </si>
  <si>
    <t>Talla XXL</t>
  </si>
  <si>
    <t>UB0088</t>
  </si>
  <si>
    <t>Conjuntos /ofertas</t>
  </si>
  <si>
    <t>Conjunto cuadros</t>
  </si>
  <si>
    <t>UB0089</t>
  </si>
  <si>
    <t>Vestido lápiz de manga con malla fina</t>
  </si>
  <si>
    <t>C0002</t>
  </si>
  <si>
    <t>Conjuntos</t>
  </si>
  <si>
    <t>Conjunto de cuello profundo con girante delantero con falda</t>
  </si>
  <si>
    <t>C0003</t>
  </si>
  <si>
    <t>UB0090</t>
  </si>
  <si>
    <t xml:space="preserve"> Conjunto elegante acanalado </t>
  </si>
  <si>
    <t>UB0091</t>
  </si>
  <si>
    <t>Tops /ofertas</t>
  </si>
  <si>
    <t>Blusa elegante con diseño geométrico</t>
  </si>
  <si>
    <t>UB0092</t>
  </si>
  <si>
    <t>Conjunto falda y blusa</t>
  </si>
  <si>
    <t>UB0093</t>
  </si>
  <si>
    <t>Monos /ofertas</t>
  </si>
  <si>
    <t>Jumpsuit palazzo con lazo delantero</t>
  </si>
  <si>
    <t>UB0094</t>
  </si>
  <si>
    <t>Monos</t>
  </si>
  <si>
    <t>Jumpsuit palazzo de tie dye</t>
  </si>
  <si>
    <t>eUB0094Ω</t>
  </si>
  <si>
    <t>UB0096</t>
  </si>
  <si>
    <t>Conjunto short, camisa y top</t>
  </si>
  <si>
    <t>UB0097</t>
  </si>
  <si>
    <t>UB0098</t>
  </si>
  <si>
    <t>Conjunto de top y pantalón</t>
  </si>
  <si>
    <t>UB0099</t>
  </si>
  <si>
    <t>Vestido ajustado de titrantes finos</t>
  </si>
  <si>
    <t>UB0100</t>
  </si>
  <si>
    <t>UB0101</t>
  </si>
  <si>
    <t>Vestido línea A elegante</t>
  </si>
  <si>
    <t>UB0102</t>
  </si>
  <si>
    <t>UB0103</t>
  </si>
  <si>
    <t>Conjunto Top y Falda con textura</t>
  </si>
  <si>
    <t>UB0104</t>
  </si>
  <si>
    <t>Conjuntot Top corto &amp; Pantalones</t>
  </si>
  <si>
    <t>P0013</t>
  </si>
  <si>
    <t>Falda en mezclilla de talle alto con abertura</t>
  </si>
  <si>
    <t>UB0105</t>
  </si>
  <si>
    <t>Conjunto top corto y pantalones</t>
  </si>
  <si>
    <t>V0041</t>
  </si>
  <si>
    <t>Vestido Tie-Dye Bohemio</t>
  </si>
  <si>
    <t>UB0106</t>
  </si>
  <si>
    <t>Vestido camisero con cinturón</t>
  </si>
  <si>
    <t>V0043</t>
  </si>
  <si>
    <t>Vestido tubo con abertura de muslo con abertura</t>
  </si>
  <si>
    <t>UB0107</t>
  </si>
  <si>
    <t>Vestido ajustado con abertura</t>
  </si>
  <si>
    <t>UB0108</t>
  </si>
  <si>
    <t>Vestido floral con cinturón</t>
  </si>
  <si>
    <t>V0046</t>
  </si>
  <si>
    <t xml:space="preserve">Vestido cruzado de lunares </t>
  </si>
  <si>
    <t>V0047</t>
  </si>
  <si>
    <t>UB0109</t>
  </si>
  <si>
    <t>Vestido healter dama de honor</t>
  </si>
  <si>
    <t xml:space="preserve">Talla XS </t>
  </si>
  <si>
    <t>UB0110</t>
  </si>
  <si>
    <t>UB0111</t>
  </si>
  <si>
    <t>UB0112</t>
  </si>
  <si>
    <t xml:space="preserve"> Body de encaje</t>
  </si>
  <si>
    <t>UB0113</t>
  </si>
  <si>
    <t>Vestido ajustado</t>
  </si>
  <si>
    <t>V0052</t>
  </si>
  <si>
    <t>SHEIN Belle Vestido de dama de honor de hombros descubiertos fruncido cruzado de satén</t>
  </si>
  <si>
    <t>UB0114</t>
  </si>
  <si>
    <t>Vestido bajo cruzado de tie dye</t>
  </si>
  <si>
    <t>UB0115</t>
  </si>
  <si>
    <t>Accesorios</t>
  </si>
  <si>
    <t>Pañuelo con estampado de paisley</t>
  </si>
  <si>
    <t>Talla única Marca SHEIN</t>
  </si>
  <si>
    <t>UB0116</t>
  </si>
  <si>
    <t>Vestido de espalda cruzada</t>
  </si>
  <si>
    <t>V0055</t>
  </si>
  <si>
    <t>EMERY ROSE Vestido maxi floral con estampado de pañuelo de manga farol bajo con fruncido</t>
  </si>
  <si>
    <t>UB0117</t>
  </si>
  <si>
    <t>Vestido elegante de espalda corrida</t>
  </si>
  <si>
    <t>UB0118</t>
  </si>
  <si>
    <t xml:space="preserve">Pantalón tejido de rayas </t>
  </si>
  <si>
    <t>UB0119</t>
  </si>
  <si>
    <t xml:space="preserve">Pantalones tejido de rayas </t>
  </si>
  <si>
    <t>UB0120</t>
  </si>
  <si>
    <t>Vestido satinado elegante</t>
  </si>
  <si>
    <t>UB0121</t>
  </si>
  <si>
    <t>Vestido manga larga con cinturón</t>
  </si>
  <si>
    <t>V0059</t>
  </si>
  <si>
    <t>Vestido de un hombro con nudo</t>
  </si>
  <si>
    <t>VN0001</t>
  </si>
  <si>
    <t>Vestido Niñas</t>
  </si>
  <si>
    <t>SHEIN Vestido niña ceremonia de tirantes bajo con malla con lazo grande_98CM</t>
  </si>
  <si>
    <t>V0060</t>
  </si>
  <si>
    <t>SHEIN VCAY Vestido ajustado con estampado de corazón de confeti de hombros descubiertos ribete fruncido_S</t>
  </si>
  <si>
    <t>V0061</t>
  </si>
  <si>
    <t>SHEIN Belle Vestido de dama de honor de hombros descubiertos fruncido cruzado_S</t>
  </si>
  <si>
    <t>V0062</t>
  </si>
  <si>
    <t>SHEIN Felegant Vestido ajustado con estampado de leopardo_M</t>
  </si>
  <si>
    <t>V0063</t>
  </si>
  <si>
    <t>Elegant Vestido ajustado con estampado de leopardo</t>
  </si>
  <si>
    <t>UB0122</t>
  </si>
  <si>
    <t xml:space="preserve">Vestido corto de puntos </t>
  </si>
  <si>
    <t>A0002</t>
  </si>
  <si>
    <t>Cinturón con hebilla_Unitalla</t>
  </si>
  <si>
    <t>Talla única</t>
  </si>
  <si>
    <t>A0004</t>
  </si>
  <si>
    <t>Bolsa cartera con manija_Negro</t>
  </si>
  <si>
    <t>Talla Chico</t>
  </si>
  <si>
    <t>A0005</t>
  </si>
  <si>
    <t>Bolsa cartera con solapa con lagartija_Caqui</t>
  </si>
  <si>
    <t>UB0123</t>
  </si>
  <si>
    <t>Belleza</t>
  </si>
  <si>
    <t>Brocha para maquillaje</t>
  </si>
  <si>
    <t>Talla Única</t>
  </si>
  <si>
    <t>A0006</t>
  </si>
  <si>
    <t>Bolsa cartera de cocodrilo_Naranja Quemada</t>
  </si>
  <si>
    <t>UB0124</t>
  </si>
  <si>
    <t>Cinturones Casual</t>
  </si>
  <si>
    <t>V0065</t>
  </si>
  <si>
    <t>EMERY ROSE Vestido Volante rígido Floral Sencillo_L</t>
  </si>
  <si>
    <t>UB0125</t>
  </si>
  <si>
    <t xml:space="preserve">Vestido Volante rígido Floral </t>
  </si>
  <si>
    <t>UB0126</t>
  </si>
  <si>
    <t>Vestido Floreado corte de sirena</t>
  </si>
  <si>
    <t>UB0127</t>
  </si>
  <si>
    <t>Vestido Bohemio</t>
  </si>
  <si>
    <t>UB0128</t>
  </si>
  <si>
    <t xml:space="preserve">Bañador una pieza de color combinado </t>
  </si>
  <si>
    <t>UB0129</t>
  </si>
  <si>
    <t>UB0130</t>
  </si>
  <si>
    <t>UB0131</t>
  </si>
  <si>
    <t>UB0132</t>
  </si>
  <si>
    <t>UB0133</t>
  </si>
  <si>
    <t>BI0016</t>
  </si>
  <si>
    <t>Bañador bikini tropical con estampado de hoja de talle alto_L</t>
  </si>
  <si>
    <t>BI0017</t>
  </si>
  <si>
    <t>Bañador bikini tropical con estampado de hoja de talle alto_M</t>
  </si>
  <si>
    <t>UB0134</t>
  </si>
  <si>
    <t>Bikini tropical con estampado de hoja</t>
  </si>
  <si>
    <t>T0026</t>
  </si>
  <si>
    <t>Bañador una pieza tropical_XL</t>
  </si>
  <si>
    <t>T0027</t>
  </si>
  <si>
    <t>Bañador una pieza tropical_M</t>
  </si>
  <si>
    <t>T0028</t>
  </si>
  <si>
    <t>Bañador una pieza tropical_L</t>
  </si>
  <si>
    <t>UB0135</t>
  </si>
  <si>
    <t xml:space="preserve">Mono Bohemiocon cinturón </t>
  </si>
  <si>
    <t>UB0136</t>
  </si>
  <si>
    <t xml:space="preserve">Mono Bohemio con cinturón </t>
  </si>
  <si>
    <t>V0069</t>
  </si>
  <si>
    <t>Vestido con cordón de espalda cruzada</t>
  </si>
  <si>
    <t>UB0137</t>
  </si>
  <si>
    <t>V0071</t>
  </si>
  <si>
    <t xml:space="preserve">Vestido con cordón de espalda abierta </t>
  </si>
  <si>
    <t>UB0138</t>
  </si>
  <si>
    <t xml:space="preserve">Camisa amplia multicolor </t>
  </si>
  <si>
    <t>UB0139</t>
  </si>
  <si>
    <t>Bañador bikini floral</t>
  </si>
  <si>
    <t>T0029</t>
  </si>
  <si>
    <t>UB0140</t>
  </si>
  <si>
    <t>Blusa de cuello cisne</t>
  </si>
  <si>
    <t>UB0141</t>
  </si>
  <si>
    <t xml:space="preserve">Top corto de cuello cuadrado </t>
  </si>
  <si>
    <t>Talla XXS</t>
  </si>
  <si>
    <t>UB0142</t>
  </si>
  <si>
    <t>Vestido Amanecer</t>
  </si>
  <si>
    <t>UB0143</t>
  </si>
  <si>
    <t xml:space="preserve">Skort asimétrico floral </t>
  </si>
  <si>
    <t>T0030</t>
  </si>
  <si>
    <t>UB0144</t>
  </si>
  <si>
    <t>T0032</t>
  </si>
  <si>
    <t>UB0145</t>
  </si>
  <si>
    <t>Bañador bikini de manga raglán con cordón floral</t>
  </si>
  <si>
    <t>UB0146</t>
  </si>
  <si>
    <t>UB0147</t>
  </si>
  <si>
    <t>Bikini de manga y short floreado</t>
  </si>
  <si>
    <t>UB0148</t>
  </si>
  <si>
    <t>Bolso pequeño guateado con perla artificial</t>
  </si>
  <si>
    <t>BI0020</t>
  </si>
  <si>
    <t>Bañador bikini con estampado tropical_M</t>
  </si>
  <si>
    <t>BI0021</t>
  </si>
  <si>
    <t>Bañador bikini con estampado tropical con nudo de talle alto_M</t>
  </si>
  <si>
    <t>UB0149</t>
  </si>
  <si>
    <t>Vestido cruzado de lunares</t>
  </si>
  <si>
    <t>UB0150</t>
  </si>
  <si>
    <t>Vestido escote de corazón</t>
  </si>
  <si>
    <t>UB0151</t>
  </si>
  <si>
    <t>UB0152</t>
  </si>
  <si>
    <t>Vestidos /ofertas /curvy</t>
  </si>
  <si>
    <t>Vestido plisado</t>
  </si>
  <si>
    <t>Talla 3XL</t>
  </si>
  <si>
    <t>UB0153</t>
  </si>
  <si>
    <t>V0078</t>
  </si>
  <si>
    <t>SHEIN Vestido de hombros descubiertos con botón falso de cintura fruncido de manga farol_S</t>
  </si>
  <si>
    <t>BI0022</t>
  </si>
  <si>
    <t>Bañador bikini push up de cuadros girante_M</t>
  </si>
  <si>
    <t>UB0154</t>
  </si>
  <si>
    <t>Vestido asimétrico</t>
  </si>
  <si>
    <t>UB0155</t>
  </si>
  <si>
    <t xml:space="preserve">Bolsa cuadrada mini geométrico </t>
  </si>
  <si>
    <t>UB0156</t>
  </si>
  <si>
    <t>Bikini estampado cebra</t>
  </si>
  <si>
    <t>UB0157</t>
  </si>
  <si>
    <t>Trajes de baño /ofertas</t>
  </si>
  <si>
    <t>UB0158</t>
  </si>
  <si>
    <t>Bolsa cartera con manija</t>
  </si>
  <si>
    <t>UB0159</t>
  </si>
  <si>
    <t>bolsos /accesorios</t>
  </si>
  <si>
    <t>Bolsa bandolera</t>
  </si>
  <si>
    <t>Talla Chico Marca SHEIN</t>
  </si>
  <si>
    <t>A0011</t>
  </si>
  <si>
    <t>Bolso cartera con solapa transparente</t>
  </si>
  <si>
    <t>UB0160</t>
  </si>
  <si>
    <t>Bañador de talle alto con vuelos</t>
  </si>
  <si>
    <t>BI0026</t>
  </si>
  <si>
    <t>Bañador bikini con nudo delantero bajo fruncido tropical_S</t>
  </si>
  <si>
    <t>UB0161</t>
  </si>
  <si>
    <t>Bikini estampado de cebra</t>
  </si>
  <si>
    <t>V0080</t>
  </si>
  <si>
    <t>UB0162</t>
  </si>
  <si>
    <t>SB0001</t>
  </si>
  <si>
    <t>3 piezas Bañador bikini push up con estampado tropical con falda de playa</t>
  </si>
  <si>
    <t>UB0163</t>
  </si>
  <si>
    <t xml:space="preserve">Bikini push up tropical </t>
  </si>
  <si>
    <t>UB0164</t>
  </si>
  <si>
    <t>Hombres /Curvy</t>
  </si>
  <si>
    <t>Capucha de dos tonos</t>
  </si>
  <si>
    <t>SB0003</t>
  </si>
  <si>
    <t>3 piezas Bañador bikini triángulo halter con estampado geométrico con pantalones cover up</t>
  </si>
  <si>
    <t>UB0165</t>
  </si>
  <si>
    <t>Set 3 piezas bikini</t>
  </si>
  <si>
    <t>UB0166</t>
  </si>
  <si>
    <t>Estuche para gafas transparente</t>
  </si>
  <si>
    <t>UB0167</t>
  </si>
  <si>
    <t>Calzado</t>
  </si>
  <si>
    <t xml:space="preserve">Zapatillas con cordón </t>
  </si>
  <si>
    <t>Talla 36</t>
  </si>
  <si>
    <t>UB0168</t>
  </si>
  <si>
    <t>Calcetines unicolor</t>
  </si>
  <si>
    <t>UB0169</t>
  </si>
  <si>
    <t xml:space="preserve"> Mocasines con puntada</t>
  </si>
  <si>
    <t>UB0170</t>
  </si>
  <si>
    <t>belleza /ofertas</t>
  </si>
  <si>
    <t xml:space="preserve">Almohadilla de maquillaje </t>
  </si>
  <si>
    <t>Talla Unitalla</t>
  </si>
  <si>
    <t>UB0171</t>
  </si>
  <si>
    <t>belleza</t>
  </si>
  <si>
    <t>Alisador</t>
  </si>
  <si>
    <t>Talla Unitalla Marca SHEIN</t>
  </si>
  <si>
    <t>UB0172</t>
  </si>
  <si>
    <t xml:space="preserve">Esponja de maquillaje </t>
  </si>
  <si>
    <t>UB0173</t>
  </si>
  <si>
    <t>Rizador de pelo de color al azar 10 piezas</t>
  </si>
  <si>
    <t>UB0174</t>
  </si>
  <si>
    <t>Vestido corrugado de vuelos</t>
  </si>
  <si>
    <t>UB0175</t>
  </si>
  <si>
    <t xml:space="preserve">Gafas minimalista de moda </t>
  </si>
  <si>
    <t>CA0003</t>
  </si>
  <si>
    <t>Sandalias de tiras con diseño de diamante de imitación con tacón grueso Plateado_MX24</t>
  </si>
  <si>
    <t>Talla 38</t>
  </si>
  <si>
    <t>P0017</t>
  </si>
  <si>
    <t>SHEIN Felegant Shorts PU de cintura con volante con cordón Negro_5</t>
  </si>
  <si>
    <t>UB0176</t>
  </si>
  <si>
    <t xml:space="preserve">Body de un hombro manga farol </t>
  </si>
  <si>
    <t>L0001</t>
  </si>
  <si>
    <t>Lencería</t>
  </si>
  <si>
    <t>Cubierta de pezón de metal vinculado</t>
  </si>
  <si>
    <t>Talla C</t>
  </si>
  <si>
    <t>UB0177</t>
  </si>
  <si>
    <t xml:space="preserve">Shorts bajo de doblez de cintura </t>
  </si>
  <si>
    <t>CA0004</t>
  </si>
  <si>
    <t>Botines con tacón con cordón</t>
  </si>
  <si>
    <t>P0019</t>
  </si>
  <si>
    <t>Falda con abertura alta_XS</t>
  </si>
  <si>
    <t>UB0178</t>
  </si>
  <si>
    <t>Calzado /ofertas</t>
  </si>
  <si>
    <t>Sandalias plateadas con pedrería</t>
  </si>
  <si>
    <t>UB0179</t>
  </si>
  <si>
    <t>Vestido Azul Rey de tela faja</t>
  </si>
  <si>
    <t>UB0180</t>
  </si>
  <si>
    <t>Shorts de cintura con cordón</t>
  </si>
  <si>
    <t>UB0181</t>
  </si>
  <si>
    <t>Vestido de muslo con abertura .</t>
  </si>
  <si>
    <t>V0083</t>
  </si>
  <si>
    <t>Vestido de espalda abierta de manga farol_S</t>
  </si>
  <si>
    <t>V0084</t>
  </si>
  <si>
    <t>Vestido de espalda abierta de manga farol_XS</t>
  </si>
  <si>
    <t>V0085</t>
  </si>
  <si>
    <t>Vestido de manga farol de cuello cuadrado_L</t>
  </si>
  <si>
    <t>V0086</t>
  </si>
  <si>
    <t>Vestido de manga farol de cuello cuadrado_M</t>
  </si>
  <si>
    <t>V0087</t>
  </si>
  <si>
    <t>Vestido de manga farol de cuello cuadrado_S</t>
  </si>
  <si>
    <t>V0088</t>
  </si>
  <si>
    <t>Vestido de manga farol de cuello cuadrado_XS</t>
  </si>
  <si>
    <t>B0057</t>
  </si>
  <si>
    <t>Top de hombros descubiertos unicolor ribete con fruncido_S</t>
  </si>
  <si>
    <t>B0023</t>
  </si>
  <si>
    <t>SHEIN SXY Camiseta corta unicolor con abertura_XS</t>
  </si>
  <si>
    <t>B0024</t>
  </si>
  <si>
    <t>Camiseta corta unicolor con abertura</t>
  </si>
  <si>
    <t>B0025</t>
  </si>
  <si>
    <t>SHEIN SXY Camiseta corta unicolor con abertura</t>
  </si>
  <si>
    <t>UB0182</t>
  </si>
  <si>
    <t>Top cruzado blanco</t>
  </si>
  <si>
    <t>Talla XS Color Blanco Marca SHEIN</t>
  </si>
  <si>
    <t>UB0183</t>
  </si>
  <si>
    <t>UB0184</t>
  </si>
  <si>
    <t>Top corto manga farol</t>
  </si>
  <si>
    <t>B0029</t>
  </si>
  <si>
    <t>SHEIN SXY Top corto con nudo con abertura de manga farol_S</t>
  </si>
  <si>
    <t>B0030</t>
  </si>
  <si>
    <t>SHEIN SXY Top corto con nudo con abertura de manga farol_M</t>
  </si>
  <si>
    <t>UB0185</t>
  </si>
  <si>
    <t>Top cruzado naranja</t>
  </si>
  <si>
    <t>UB0186</t>
  </si>
  <si>
    <t>UB0187</t>
  </si>
  <si>
    <t>UB0188</t>
  </si>
  <si>
    <t>Top corsetero asimétrico</t>
  </si>
  <si>
    <t>UB0189</t>
  </si>
  <si>
    <t>UB0190</t>
  </si>
  <si>
    <t>UB0191</t>
  </si>
  <si>
    <t>Vestido floral de mangas farol</t>
  </si>
  <si>
    <t>UB0192</t>
  </si>
  <si>
    <t>UB0193</t>
  </si>
  <si>
    <t>V0092</t>
  </si>
  <si>
    <t>SHEIN Vestido con estampado floral pecho con fruncido con nudo delantero bajo con fruncido_L</t>
  </si>
  <si>
    <t>UB0194</t>
  </si>
  <si>
    <t>Camiseta corta de cuadros</t>
  </si>
  <si>
    <t>V0093</t>
  </si>
  <si>
    <t>SHEIN Vestido fruncido de cuello con cordón de manga con volante de lunares_XS</t>
  </si>
  <si>
    <t>V0094</t>
  </si>
  <si>
    <t>SHEIN Vestido fruncido de cuello con cordón de manga con volante de lunares_M</t>
  </si>
  <si>
    <t>UB0195</t>
  </si>
  <si>
    <t>Camiseta corta de manga farol</t>
  </si>
  <si>
    <t>UB0196</t>
  </si>
  <si>
    <t>UB0197</t>
  </si>
  <si>
    <t xml:space="preserve">Cinturón trenzado </t>
  </si>
  <si>
    <t>UB0198</t>
  </si>
  <si>
    <t xml:space="preserve">Vestido pecho con fruncido </t>
  </si>
  <si>
    <t>V0096</t>
  </si>
  <si>
    <t>Vestido pecho con fruncido cruzado cintura con estampado floral_S</t>
  </si>
  <si>
    <t>V0097</t>
  </si>
  <si>
    <t>Vestido pecho con fruncido cruzado cintura con estampado floral_M</t>
  </si>
  <si>
    <t>V0098</t>
  </si>
  <si>
    <t>Vestido pecho con fruncido cruzado cintura con estampado floral_L</t>
  </si>
  <si>
    <t>UB0199</t>
  </si>
  <si>
    <t>Vestido vaporoso</t>
  </si>
  <si>
    <t>UB0200</t>
  </si>
  <si>
    <t>Vestido ajustado de malla en contraste</t>
  </si>
  <si>
    <t>UB0201</t>
  </si>
  <si>
    <t>Vestido floral con abertura trasera</t>
  </si>
  <si>
    <t>V0102</t>
  </si>
  <si>
    <t>UB0202</t>
  </si>
  <si>
    <t>UB0203</t>
  </si>
  <si>
    <t>Vestido floral escote corazón</t>
  </si>
  <si>
    <t>UB0204</t>
  </si>
  <si>
    <t>V0106</t>
  </si>
  <si>
    <t>SHEIN Vestido con estampado floral con nudo delantero de manga farol_L</t>
  </si>
  <si>
    <t>UB0205</t>
  </si>
  <si>
    <t>Vestido con estampado floral</t>
  </si>
  <si>
    <t>UB0206</t>
  </si>
  <si>
    <t>V0109</t>
  </si>
  <si>
    <t>Vestido floral de manga farol escote corazón con cordón lateral_S</t>
  </si>
  <si>
    <t>UB0207</t>
  </si>
  <si>
    <t>Vestido con estampado jungla</t>
  </si>
  <si>
    <t>UB0208</t>
  </si>
  <si>
    <t>UB0209</t>
  </si>
  <si>
    <t>Vestidos /Curvy /oferta</t>
  </si>
  <si>
    <t>V0113</t>
  </si>
  <si>
    <t>Vestido floral de manga farol de espalda abierta con cordón bajo con fruncido_XS</t>
  </si>
  <si>
    <t>V0114</t>
  </si>
  <si>
    <t>Vestido floral de manga farol de espalda abierta con cordón bajo con fruncido_S</t>
  </si>
  <si>
    <t>V0115</t>
  </si>
  <si>
    <t>Vestido floral de manga farol de espalda abierta con cordón bajo con fruncido_M</t>
  </si>
  <si>
    <t>V0116</t>
  </si>
  <si>
    <t>Vestido floral de manga farol de espalda abierta con cordón bajo con fruncido_L</t>
  </si>
  <si>
    <t>V0117</t>
  </si>
  <si>
    <t>SHEIN Vestido lencero floral de muslo con abertura_XS</t>
  </si>
  <si>
    <t>V0118</t>
  </si>
  <si>
    <t>SHEIN Vestido lencero floral de muslo con abertura_S</t>
  </si>
  <si>
    <t>UB0210</t>
  </si>
  <si>
    <t>Top Cruzado negro</t>
  </si>
  <si>
    <t>UB0211</t>
  </si>
  <si>
    <t>UB0212</t>
  </si>
  <si>
    <t>B0043</t>
  </si>
  <si>
    <t>SHEIN SXY Camiseta con abertura de malla_M</t>
  </si>
  <si>
    <t>B0044</t>
  </si>
  <si>
    <t>SHEIN SXY Camiseta con abertura de malla_S</t>
  </si>
  <si>
    <t>B0045</t>
  </si>
  <si>
    <t>SHEIN SXY Camiseta con abertura de malla_XS</t>
  </si>
  <si>
    <t>UB0213</t>
  </si>
  <si>
    <t>Top Cruzado azul</t>
  </si>
  <si>
    <t>UB0214</t>
  </si>
  <si>
    <t>V0119</t>
  </si>
  <si>
    <t>SHEIN Frenchy Vestido de leopardo &amp; piel de tigre con estampado de manga mariposa sin cinturón_S</t>
  </si>
  <si>
    <t>UB0215</t>
  </si>
  <si>
    <t>Blusa corta de manga farol</t>
  </si>
  <si>
    <t>UB0216</t>
  </si>
  <si>
    <t>Tops /Curvy /ofertas</t>
  </si>
  <si>
    <t>V0120</t>
  </si>
  <si>
    <t>Vestido de espalda abierta de manga farol_L</t>
  </si>
  <si>
    <t>V0121</t>
  </si>
  <si>
    <t>Vestido de espalda abierta de manga farol_M</t>
  </si>
  <si>
    <t>B0050</t>
  </si>
  <si>
    <t>Top de cuello cruzado con nudo lateral</t>
  </si>
  <si>
    <t>UB0217</t>
  </si>
  <si>
    <t>Vestido ajustado con diseño de cadena</t>
  </si>
  <si>
    <t>UB0218</t>
  </si>
  <si>
    <t>Falda ajustada animal print</t>
  </si>
  <si>
    <t>UB0219</t>
  </si>
  <si>
    <t>Vestido con estampado de cereza</t>
  </si>
  <si>
    <t>UB0220</t>
  </si>
  <si>
    <t>Vestido slip de rayas de cebra</t>
  </si>
  <si>
    <t>UB0221</t>
  </si>
  <si>
    <t>Vestido slip cebra</t>
  </si>
  <si>
    <t>UB0222</t>
  </si>
  <si>
    <t xml:space="preserve"> Vestido ajustado con estampado de dragón</t>
  </si>
  <si>
    <t>UB0223</t>
  </si>
  <si>
    <t xml:space="preserve"> Vestido slip dragón</t>
  </si>
  <si>
    <t>UB0224</t>
  </si>
  <si>
    <t>Vestido corto de punto</t>
  </si>
  <si>
    <t>H&amp;M</t>
  </si>
  <si>
    <t>UB0225</t>
  </si>
  <si>
    <t>Tops /hm /ofertas</t>
  </si>
  <si>
    <t>Body tong H&amp;M</t>
  </si>
  <si>
    <t>UB0226</t>
  </si>
  <si>
    <t>Top bandeau</t>
  </si>
  <si>
    <t>UB0227</t>
  </si>
  <si>
    <t>Partes-de-abajo /hm /ofertas</t>
  </si>
  <si>
    <t>Pantalón elegante de tela brillosa H&amp;M</t>
  </si>
  <si>
    <t>UB0228</t>
  </si>
  <si>
    <t>Vestidos /hm /ofertas</t>
  </si>
  <si>
    <t>Vestido con cordón de ajuste H&amp;M</t>
  </si>
  <si>
    <t xml:space="preserve">Talla M </t>
  </si>
  <si>
    <t>UB0229</t>
  </si>
  <si>
    <t>UB0230</t>
  </si>
  <si>
    <t>Vestido bodycon</t>
  </si>
  <si>
    <t>Talla XS Marca H&amp;M</t>
  </si>
  <si>
    <t>UB0231</t>
  </si>
  <si>
    <t>Top acanalado sin mangas</t>
  </si>
  <si>
    <t>B0054</t>
  </si>
  <si>
    <t>UB0232</t>
  </si>
  <si>
    <t>UB234</t>
  </si>
  <si>
    <t>Accesorios /hm</t>
  </si>
  <si>
    <t>gafas azules con cadena H&amp;M</t>
  </si>
  <si>
    <t>B0056</t>
  </si>
  <si>
    <t>V0132</t>
  </si>
  <si>
    <t>Vestido acanalado de un hombro</t>
  </si>
  <si>
    <t>UB0233</t>
  </si>
  <si>
    <t>Vestido de un hombro</t>
  </si>
  <si>
    <t>Talla S Color Blanco Marca H&amp;M</t>
  </si>
  <si>
    <t>UB0234</t>
  </si>
  <si>
    <t>Vestidos /hm</t>
  </si>
  <si>
    <t>Vestido corto azul real</t>
  </si>
  <si>
    <t>UB0235</t>
  </si>
  <si>
    <t>UB0236</t>
  </si>
  <si>
    <t>Sostén Push-up</t>
  </si>
  <si>
    <t>Talla 34B</t>
  </si>
  <si>
    <t>UB0237</t>
  </si>
  <si>
    <t>UB0238</t>
  </si>
  <si>
    <t>Hombres</t>
  </si>
  <si>
    <t>Pants ajustados</t>
  </si>
  <si>
    <t>UB0239</t>
  </si>
  <si>
    <t>Short denim</t>
  </si>
  <si>
    <t>Talla 32 Marca H&amp;M</t>
  </si>
  <si>
    <t>UB0240</t>
  </si>
  <si>
    <t>Hombres /hm</t>
  </si>
  <si>
    <t>Jean slim fit</t>
  </si>
  <si>
    <t>Talla 30X32</t>
  </si>
  <si>
    <t>UB0241</t>
  </si>
  <si>
    <t>Sandalias trenzadas</t>
  </si>
  <si>
    <t>Talla 41</t>
  </si>
  <si>
    <t>UB0242</t>
  </si>
  <si>
    <t>Sandalias Rojas</t>
  </si>
  <si>
    <t>UB0243</t>
  </si>
  <si>
    <t>Sandalias Trenzadas</t>
  </si>
  <si>
    <t>Talla 40</t>
  </si>
  <si>
    <t>UB0244</t>
  </si>
  <si>
    <t>UB0245</t>
  </si>
  <si>
    <t>Calzado /hm /ofertas</t>
  </si>
  <si>
    <t>Sandalias anudadas</t>
  </si>
  <si>
    <t>Talla 39</t>
  </si>
  <si>
    <t>UB0246</t>
  </si>
  <si>
    <t>Talla 37</t>
  </si>
  <si>
    <t>UB0247</t>
  </si>
  <si>
    <t>Talla 35</t>
  </si>
  <si>
    <t>UB0248</t>
  </si>
  <si>
    <t>Alpargatas a cuadros</t>
  </si>
  <si>
    <t>UB0249</t>
  </si>
  <si>
    <t xml:space="preserve">Sandalias atadas </t>
  </si>
  <si>
    <t>CA0015</t>
  </si>
  <si>
    <t>Sandalias prácticas</t>
  </si>
  <si>
    <t>UB0250</t>
  </si>
  <si>
    <t>B00058</t>
  </si>
  <si>
    <t>Top berry en tela de algodón</t>
  </si>
  <si>
    <t>Talla S Marca H&amp;M</t>
  </si>
  <si>
    <t>UB0251</t>
  </si>
  <si>
    <t>Tops /hm</t>
  </si>
  <si>
    <t>UB0252</t>
  </si>
  <si>
    <t>Top Amarillo en tela de algodón</t>
  </si>
  <si>
    <t>UB0253</t>
  </si>
  <si>
    <t>UB0254</t>
  </si>
  <si>
    <t>Top Negro en tela de algodón</t>
  </si>
  <si>
    <t>UB0255</t>
  </si>
  <si>
    <t>Top Manga Corta Negro</t>
  </si>
  <si>
    <t>UB0256</t>
  </si>
  <si>
    <t>Gorra de Malla</t>
  </si>
  <si>
    <t>UB0257</t>
  </si>
  <si>
    <t>Visera rosa</t>
  </si>
  <si>
    <t>UB0258</t>
  </si>
  <si>
    <t>Bermuda denim</t>
  </si>
  <si>
    <t>P0024</t>
  </si>
  <si>
    <t>UB0259</t>
  </si>
  <si>
    <t>Bañador atado a los lados</t>
  </si>
  <si>
    <t>UB0260</t>
  </si>
  <si>
    <t>Bañador floreado</t>
  </si>
  <si>
    <t>UB0261</t>
  </si>
  <si>
    <t>Bañador  animal print</t>
  </si>
  <si>
    <t>UB0262</t>
  </si>
  <si>
    <t>Partes-de-abajo /Precios Bajos</t>
  </si>
  <si>
    <t>Short de cordón lateral</t>
  </si>
  <si>
    <t>UB0263</t>
  </si>
  <si>
    <t>Vestido slip satinado</t>
  </si>
  <si>
    <t>UB0264</t>
  </si>
  <si>
    <t xml:space="preserve"> Bañador espalda descubierta</t>
  </si>
  <si>
    <t>UB0265</t>
  </si>
  <si>
    <t>Bañador a rayas con lazo</t>
  </si>
  <si>
    <t>UB0266</t>
  </si>
  <si>
    <t>Bañador estampado en contraste</t>
  </si>
  <si>
    <t>UB0267</t>
  </si>
  <si>
    <t>Vestido slip de espalda corrida</t>
  </si>
  <si>
    <t>UB0268</t>
  </si>
  <si>
    <t>Tops /Precios Bajos</t>
  </si>
  <si>
    <t>Top de cuello asimétrico</t>
  </si>
  <si>
    <t>UB0269</t>
  </si>
  <si>
    <t>Blusa verde menta vuelos</t>
  </si>
  <si>
    <t xml:space="preserve">Talla XL </t>
  </si>
  <si>
    <t>BU0270</t>
  </si>
  <si>
    <t>Tops /precios bajos</t>
  </si>
  <si>
    <t>Blusa atada bohemia</t>
  </si>
  <si>
    <t>BU0271</t>
  </si>
  <si>
    <t>Blusa estampada amplia</t>
  </si>
  <si>
    <t>BU0272</t>
  </si>
  <si>
    <t xml:space="preserve">Bikini Rosa Viejo Satinado </t>
  </si>
  <si>
    <t>BU0273</t>
  </si>
  <si>
    <t>Trajes de baño /Curvy /precios bajos</t>
  </si>
  <si>
    <t>Bikini cintura alta</t>
  </si>
  <si>
    <t>BU0274</t>
  </si>
  <si>
    <t>Set de bikini malva</t>
  </si>
  <si>
    <t>BU0275</t>
  </si>
  <si>
    <t>Vestido estampado malva</t>
  </si>
  <si>
    <t>BU0276</t>
  </si>
  <si>
    <t xml:space="preserve">Belleza </t>
  </si>
  <si>
    <t>Rubor rosa</t>
  </si>
  <si>
    <t>BU0277</t>
  </si>
  <si>
    <t>Vestido pasión</t>
  </si>
  <si>
    <t>BU0278</t>
  </si>
  <si>
    <t>Blusa naranja electra</t>
  </si>
  <si>
    <t>BU0279</t>
  </si>
  <si>
    <t>Pareo corazón</t>
  </si>
  <si>
    <t>BU0280</t>
  </si>
  <si>
    <t>Top de malla sexy</t>
  </si>
  <si>
    <t>BU0281</t>
  </si>
  <si>
    <t>Top escote corazón</t>
  </si>
  <si>
    <t>BU0282</t>
  </si>
  <si>
    <t>BU0283</t>
  </si>
  <si>
    <t>Falda rosa brillante</t>
  </si>
  <si>
    <t>BU0284</t>
  </si>
  <si>
    <t>Kimono Maxi elegante</t>
  </si>
  <si>
    <t>BU0285</t>
  </si>
  <si>
    <t>Vestido esmeralda</t>
  </si>
  <si>
    <t>A0018</t>
  </si>
  <si>
    <t>Cinturón ancho casual</t>
  </si>
  <si>
    <t>BU0286</t>
  </si>
  <si>
    <t>Accesorios /ofertas</t>
  </si>
  <si>
    <t>Gafas anchas de moda</t>
  </si>
  <si>
    <t>BU0287</t>
  </si>
  <si>
    <t>Vestido Ajustado brillo</t>
  </si>
  <si>
    <t>BU0288</t>
  </si>
  <si>
    <t>Vestido venturina</t>
  </si>
  <si>
    <t>BU0289</t>
  </si>
  <si>
    <t>Bikini Rosa canalé</t>
  </si>
  <si>
    <t>BU0290</t>
  </si>
  <si>
    <t>Bikini rosa canalé</t>
  </si>
  <si>
    <t>BU0291</t>
  </si>
  <si>
    <t>Vestido puerina</t>
  </si>
  <si>
    <t>BU0292</t>
  </si>
  <si>
    <t>Bikini push up</t>
  </si>
  <si>
    <t>BU0293</t>
  </si>
  <si>
    <t>Sandalias tacón grueso BAZAR</t>
  </si>
  <si>
    <t>UB0295</t>
  </si>
  <si>
    <t>Calzado hombre dos tonos</t>
  </si>
  <si>
    <t>UB0296</t>
  </si>
  <si>
    <t>Sandalias animal print de tacón</t>
  </si>
  <si>
    <t>UB0297</t>
  </si>
  <si>
    <t>Brasier de encaje_Negro Unitalla</t>
  </si>
  <si>
    <t>BU0298</t>
  </si>
  <si>
    <t>Lencería /ofertas</t>
  </si>
  <si>
    <t>Brasier de encaje blanco</t>
  </si>
  <si>
    <t>Talla unitalla</t>
  </si>
  <si>
    <t>BU0299</t>
  </si>
  <si>
    <t>Bragas sin costuras</t>
  </si>
  <si>
    <t>BU0300</t>
  </si>
  <si>
    <t>Base para maquillaje</t>
  </si>
  <si>
    <t>Color Nude</t>
  </si>
  <si>
    <t>BU0301</t>
  </si>
  <si>
    <t>Falda ajustada (hacer foto)</t>
  </si>
  <si>
    <t>BU0302</t>
  </si>
  <si>
    <t>BU0303</t>
  </si>
  <si>
    <t>Top Cuello encaje y mangas abombadas</t>
  </si>
  <si>
    <t>Recibido Freddy 12Mayo (2u)</t>
  </si>
  <si>
    <t>BU0304</t>
  </si>
  <si>
    <t>Top Cisne Blanco</t>
  </si>
  <si>
    <t>Recibido Freddy 12Mayo</t>
  </si>
  <si>
    <t>BU0305</t>
  </si>
  <si>
    <t>T0047</t>
  </si>
  <si>
    <t>Bañador con adorno de malla</t>
  </si>
  <si>
    <t>BU0306</t>
  </si>
  <si>
    <t>BU0307</t>
  </si>
  <si>
    <t>BU0308</t>
  </si>
  <si>
    <t>Maxi Vestido Fruncido</t>
  </si>
  <si>
    <t>BU0309</t>
  </si>
  <si>
    <t>BU0310</t>
  </si>
  <si>
    <t>BU0311</t>
  </si>
  <si>
    <t>BU0312</t>
  </si>
  <si>
    <t>BU0313</t>
  </si>
  <si>
    <t xml:space="preserve"> Top Cuello V Verde</t>
  </si>
  <si>
    <t>T0052</t>
  </si>
  <si>
    <t>Bañador Surf</t>
  </si>
  <si>
    <t>ENCARGOS/Recibido Freddy 12Mayo</t>
  </si>
  <si>
    <t>BU0314</t>
  </si>
  <si>
    <t>Bañador de pierna alta</t>
  </si>
  <si>
    <t>B0084</t>
  </si>
  <si>
    <t>Camiseta con figura</t>
  </si>
  <si>
    <t>BU0315</t>
  </si>
  <si>
    <t>Camiseta con Dibujo</t>
  </si>
  <si>
    <t>BU0316</t>
  </si>
  <si>
    <t xml:space="preserve">Vestido de lunares </t>
  </si>
  <si>
    <t>Talla M Color Marrón Marca SHEIN</t>
  </si>
  <si>
    <t>BU0317</t>
  </si>
  <si>
    <t>Vestido de lunares</t>
  </si>
  <si>
    <t>Talla L Color Marrón Marca SHEIN</t>
  </si>
  <si>
    <t>P0028</t>
  </si>
  <si>
    <t>Pantaloneta Roja</t>
  </si>
  <si>
    <t>BU0318</t>
  </si>
  <si>
    <t>Recibido Freddy 24Mayo</t>
  </si>
  <si>
    <t>P0030</t>
  </si>
  <si>
    <t>BU0319</t>
  </si>
  <si>
    <t>Falda de trabajo</t>
  </si>
  <si>
    <t>BU0320</t>
  </si>
  <si>
    <t>BU0321</t>
  </si>
  <si>
    <t>BU0322</t>
  </si>
  <si>
    <t>Partes-de-abajo /Curvy</t>
  </si>
  <si>
    <t>BU0323</t>
  </si>
  <si>
    <t>BU0324</t>
  </si>
  <si>
    <t>Bañador con zíper de pierna alta</t>
  </si>
  <si>
    <t>BU0325</t>
  </si>
  <si>
    <t>Vestido tropical</t>
  </si>
  <si>
    <t>BU0326</t>
  </si>
  <si>
    <t>Vestido Tropical</t>
  </si>
  <si>
    <t>V00117</t>
  </si>
  <si>
    <t>BU0327</t>
  </si>
  <si>
    <t>BU0328</t>
  </si>
  <si>
    <t xml:space="preserve"> Top Básico Business Crema</t>
  </si>
  <si>
    <t>BU0329</t>
  </si>
  <si>
    <t xml:space="preserve"> Top Básico Business </t>
  </si>
  <si>
    <t>Talla S Color Chantillí</t>
  </si>
  <si>
    <t>BU0330</t>
  </si>
  <si>
    <t xml:space="preserve"> Pantaloneta Verde</t>
  </si>
  <si>
    <t>BU0331</t>
  </si>
  <si>
    <t>P0037</t>
  </si>
  <si>
    <t>BU0332</t>
  </si>
  <si>
    <t>Niñas 3 piezas Bañador bikini de rayas combinadas con abertura con kimono</t>
  </si>
  <si>
    <t>Talla 140CM Color Multicolor</t>
  </si>
  <si>
    <t>T0057</t>
  </si>
  <si>
    <t>Bañador una pieza con mariposa aplique fruncido</t>
  </si>
  <si>
    <t>P0038</t>
  </si>
  <si>
    <t>Pantalón Business Básico</t>
  </si>
  <si>
    <t>BU0333</t>
  </si>
  <si>
    <t>Pantalón business básico</t>
  </si>
  <si>
    <t>BU0334</t>
  </si>
  <si>
    <t>BU0335</t>
  </si>
  <si>
    <t>partes-de-abajo</t>
  </si>
  <si>
    <t>BU0336</t>
  </si>
  <si>
    <t>Tops /precios-bajos</t>
  </si>
  <si>
    <t>BU0337</t>
  </si>
  <si>
    <t xml:space="preserve"> Top Básico Business</t>
  </si>
  <si>
    <t>Talla M Color Rosa Marca SHEIN</t>
  </si>
  <si>
    <t>BU0338</t>
  </si>
  <si>
    <t>Talla L Color Rosa Marca SHEIN</t>
  </si>
  <si>
    <t>BU0339</t>
  </si>
  <si>
    <t>Bañador Cisne Espalda descubierta</t>
  </si>
  <si>
    <t>BU0340</t>
  </si>
  <si>
    <t>Trajes de baño /Curvy</t>
  </si>
  <si>
    <t>Bañador despalda descubierta</t>
  </si>
  <si>
    <t>BU0341</t>
  </si>
  <si>
    <t>Bikini niña 3 piezas</t>
  </si>
  <si>
    <t>ENCARGOSRecibido Freddy 24Mayo</t>
  </si>
  <si>
    <t>B0091</t>
  </si>
  <si>
    <t xml:space="preserve"> Top Mangas Fruncidas</t>
  </si>
  <si>
    <t>BU0342</t>
  </si>
  <si>
    <t>B0093</t>
  </si>
  <si>
    <t>BU0343</t>
  </si>
  <si>
    <t>Vestido con abertura</t>
  </si>
  <si>
    <t>V00121</t>
  </si>
  <si>
    <t>BU0344</t>
  </si>
  <si>
    <t>Vestido con doble abertura</t>
  </si>
  <si>
    <t>BU0345</t>
  </si>
  <si>
    <t xml:space="preserve"> Top Básico Business Negro</t>
  </si>
  <si>
    <t>BU0346</t>
  </si>
  <si>
    <t>BU0347</t>
  </si>
  <si>
    <t>Talla XS Color Negro Marca SHEIN</t>
  </si>
  <si>
    <t>V00123</t>
  </si>
  <si>
    <t>Vestido Girasol</t>
  </si>
  <si>
    <t>Talla 1XL</t>
  </si>
  <si>
    <t>BU0348</t>
  </si>
  <si>
    <t>Top Acanalado</t>
  </si>
  <si>
    <t>BU0349</t>
  </si>
  <si>
    <t>BU0350</t>
  </si>
  <si>
    <t>Top cisne acanalado</t>
  </si>
  <si>
    <t>BU0351</t>
  </si>
  <si>
    <t>Vestido frenchy de puntos</t>
  </si>
  <si>
    <t>BU0352</t>
  </si>
  <si>
    <t>Talla M Color Negro Marca Frenchy</t>
  </si>
  <si>
    <t>BU0353</t>
  </si>
  <si>
    <t>Bañador una pieza con estampado de planta cremallera</t>
  </si>
  <si>
    <t>BU0354</t>
  </si>
  <si>
    <t>vestidos /Curvy /oferta</t>
  </si>
  <si>
    <t>Maxi Vestido con Bolsillo</t>
  </si>
  <si>
    <t>BU0355</t>
  </si>
  <si>
    <t>BU0356</t>
  </si>
  <si>
    <t>Vestidos /oferta</t>
  </si>
  <si>
    <t>BU0357</t>
  </si>
  <si>
    <t>Set de sujetador con tira ajustable 2 paquetes</t>
  </si>
  <si>
    <t>B0070</t>
  </si>
  <si>
    <t>Top Dreamer Negro</t>
  </si>
  <si>
    <t>BU0358</t>
  </si>
  <si>
    <t>BU0359</t>
  </si>
  <si>
    <t>BU0360</t>
  </si>
  <si>
    <t>Falda margarita de corte A</t>
  </si>
  <si>
    <t>P0043</t>
  </si>
  <si>
    <t>Falda Margarita</t>
  </si>
  <si>
    <t>BU0361</t>
  </si>
  <si>
    <t>BU0362</t>
  </si>
  <si>
    <t>Top Dreamer Blanco</t>
  </si>
  <si>
    <t>BU0363</t>
  </si>
  <si>
    <t>B0097</t>
  </si>
  <si>
    <t>BU0364</t>
  </si>
  <si>
    <t>Top cuello V Blanco</t>
  </si>
  <si>
    <t>BU0365</t>
  </si>
  <si>
    <t>Sujetador Básico</t>
  </si>
  <si>
    <t>BU0366</t>
  </si>
  <si>
    <t>Jenas Ajustados Oscuro</t>
  </si>
  <si>
    <t>BU0367</t>
  </si>
  <si>
    <t>BU0368</t>
  </si>
  <si>
    <t xml:space="preserve">Falda Fruncida </t>
  </si>
  <si>
    <t>BU0369</t>
  </si>
  <si>
    <t>Falda plisada</t>
  </si>
  <si>
    <t>BU0370</t>
  </si>
  <si>
    <t>Jeans Elastizados Pierna Ancha</t>
  </si>
  <si>
    <t>BU0371</t>
  </si>
  <si>
    <t>P0051</t>
  </si>
  <si>
    <t>BU0372</t>
  </si>
  <si>
    <t>Jeans Ajustados Claro</t>
  </si>
  <si>
    <t xml:space="preserve">Talla S </t>
  </si>
  <si>
    <t>BU0373</t>
  </si>
  <si>
    <t>P0054</t>
  </si>
  <si>
    <t>Pantaloneta Camel</t>
  </si>
  <si>
    <t>BU0374</t>
  </si>
  <si>
    <t>BU0375</t>
  </si>
  <si>
    <t>BU0376</t>
  </si>
  <si>
    <t>Vestido en punto Rosa</t>
  </si>
  <si>
    <t>BU0377</t>
  </si>
  <si>
    <t>BU0378</t>
  </si>
  <si>
    <t>vestidos /Curvy /ofertas</t>
  </si>
  <si>
    <t>BU0379</t>
  </si>
  <si>
    <t>Falda plisada con cadena</t>
  </si>
  <si>
    <t>BU0380</t>
  </si>
  <si>
    <t>Top de cuadros</t>
  </si>
  <si>
    <t>BU0382</t>
  </si>
  <si>
    <t>Top corto blanco</t>
  </si>
  <si>
    <t>BU0383</t>
  </si>
  <si>
    <t>Top cami carrera</t>
  </si>
  <si>
    <t>P0057</t>
  </si>
  <si>
    <t>Pantalones ajustados con cadena</t>
  </si>
  <si>
    <t>P0058</t>
  </si>
  <si>
    <t>B00063</t>
  </si>
  <si>
    <t>Blusa camisa colores</t>
  </si>
  <si>
    <t>B00064</t>
  </si>
  <si>
    <t>T0061</t>
  </si>
  <si>
    <t>Trusa Leopardo</t>
  </si>
  <si>
    <t>T0062</t>
  </si>
  <si>
    <t>Encargo</t>
  </si>
  <si>
    <t>Malla paredo set 2 piezas</t>
  </si>
  <si>
    <t>TN0015</t>
  </si>
  <si>
    <t>Traje de baño niña</t>
  </si>
  <si>
    <t>14 años</t>
  </si>
  <si>
    <t>V0142</t>
  </si>
  <si>
    <t>Vestido floreado a un hombro</t>
  </si>
  <si>
    <t>BU0384</t>
  </si>
  <si>
    <t>BU0385</t>
  </si>
  <si>
    <t>Vestido elegante ajustado corte sirena</t>
  </si>
  <si>
    <t>BU386</t>
  </si>
  <si>
    <t>Camisero blanco con pinzas</t>
  </si>
  <si>
    <t>Recibido Freddy 12 junio</t>
  </si>
  <si>
    <t>BU0387</t>
  </si>
  <si>
    <t>Cobertor de traje de baño</t>
  </si>
  <si>
    <t>BU0388</t>
  </si>
  <si>
    <t>Malla fina Pareo</t>
  </si>
  <si>
    <t>BU0389</t>
  </si>
  <si>
    <t>Bikini Short con cordón de ajuste</t>
  </si>
  <si>
    <t>BU0390</t>
  </si>
  <si>
    <t>BU391</t>
  </si>
  <si>
    <t>Jean con roto sencillo</t>
  </si>
  <si>
    <t>BU0392</t>
  </si>
  <si>
    <t>Bañador en contraste azul</t>
  </si>
  <si>
    <t>BU0393</t>
  </si>
  <si>
    <t>BU0394</t>
  </si>
  <si>
    <t>Sandalias crema</t>
  </si>
  <si>
    <t>BU0395</t>
  </si>
  <si>
    <t>BU0396</t>
  </si>
  <si>
    <t>BU0397</t>
  </si>
  <si>
    <t>Mono Oblicuo con bolsillo</t>
  </si>
  <si>
    <t>BU0398</t>
  </si>
  <si>
    <t>BU0399</t>
  </si>
  <si>
    <t>Jumpsuit Palazzo Oliva</t>
  </si>
  <si>
    <t>Talla XS Color Verde Marca SHEIN</t>
  </si>
  <si>
    <t>BU0400</t>
  </si>
  <si>
    <t>Jumpsuit culotte</t>
  </si>
  <si>
    <t>BU0401</t>
  </si>
  <si>
    <t>BU0402</t>
  </si>
  <si>
    <t>Bolso de mimbre</t>
  </si>
  <si>
    <t>BU0403</t>
  </si>
  <si>
    <t>Lencería /Curvy</t>
  </si>
  <si>
    <t xml:space="preserve">Set de lencería </t>
  </si>
  <si>
    <t>BU0404</t>
  </si>
  <si>
    <t>Set de lencería sexy y  cómodo</t>
  </si>
  <si>
    <t>BU0405</t>
  </si>
  <si>
    <t>BU0406</t>
  </si>
  <si>
    <t>Set de lencería de encaje</t>
  </si>
  <si>
    <t>BU0407</t>
  </si>
  <si>
    <t>BU0408</t>
  </si>
  <si>
    <t xml:space="preserve">Sandalias de tacón con tiras </t>
  </si>
  <si>
    <t>BU0409</t>
  </si>
  <si>
    <t>Blusa elegante de cuello negro</t>
  </si>
  <si>
    <t>BU0410</t>
  </si>
  <si>
    <t>Blusa elegante de cuello blanco</t>
  </si>
  <si>
    <t>BU0411</t>
  </si>
  <si>
    <t>Maxi vestido floreado con abertura</t>
  </si>
  <si>
    <t>BU0412</t>
  </si>
  <si>
    <t>Maxi Vestido espalda corrida</t>
  </si>
  <si>
    <t>BU0413</t>
  </si>
  <si>
    <t>Bolso grande de playa</t>
  </si>
  <si>
    <t>BU0414</t>
  </si>
  <si>
    <t>Vestido ajustado Mora</t>
  </si>
  <si>
    <t>BU0415</t>
  </si>
  <si>
    <t>Vestido rojo con aberturas H&amp;M</t>
  </si>
  <si>
    <t>BU0416</t>
  </si>
  <si>
    <t>Babydoll</t>
  </si>
  <si>
    <t>BU0417</t>
  </si>
  <si>
    <t>Top traslúcido de encaje</t>
  </si>
  <si>
    <t>BU0418</t>
  </si>
  <si>
    <t xml:space="preserve">Short de playa </t>
  </si>
  <si>
    <t>BU0419</t>
  </si>
  <si>
    <t>Playera de animados</t>
  </si>
  <si>
    <t>BU0420</t>
  </si>
  <si>
    <t>Camisa MTV</t>
  </si>
  <si>
    <t>BU0421</t>
  </si>
  <si>
    <t>Sandalias de tacón grueso</t>
  </si>
  <si>
    <t>BU0422</t>
  </si>
  <si>
    <t>Sandalias de tiras de tacón cuadrado</t>
  </si>
  <si>
    <t>BU0423</t>
  </si>
  <si>
    <t>Top negro tipo cami</t>
  </si>
  <si>
    <t>Talla Xs</t>
  </si>
  <si>
    <t>BU0424</t>
  </si>
  <si>
    <t>Pullover negro cuello redondo</t>
  </si>
  <si>
    <t>Viaje Agosto</t>
  </si>
  <si>
    <t>BU0425</t>
  </si>
  <si>
    <t>BU0426</t>
  </si>
  <si>
    <t>Pezoneras de silicona</t>
  </si>
  <si>
    <t>BU0427</t>
  </si>
  <si>
    <t>Short de mezclilla oscura con doblez</t>
  </si>
  <si>
    <t>BU0428</t>
  </si>
  <si>
    <t>Short de mezclilla con doblez (no elastiza)</t>
  </si>
  <si>
    <t>BU0429</t>
  </si>
  <si>
    <t>Short de mezclilla clara (no elastiza)</t>
  </si>
  <si>
    <t>Talla S Color Denim_claro Marca SHEIN</t>
  </si>
  <si>
    <t>BU0430</t>
  </si>
  <si>
    <t>Pullover Dazy cuello redondo Blanco</t>
  </si>
  <si>
    <t>BU0431</t>
  </si>
  <si>
    <t>BU0432</t>
  </si>
  <si>
    <t>Vestido camisero con estampado y cinturón </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</si>
  <si>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</si>
  <si>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</si>
  <si>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</si>
  <si>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</si>
  <si>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</si>
  <si>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</si>
  <si>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</si>
  <si>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</si>
  <si>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</si>
  <si>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</si>
  <si>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</si>
  <si>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</si>
  <si>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</si>
  <si>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</si>
  <si>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</si>
  <si>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Tops /nuevo</t>
  </si>
  <si>
    <t>Camisa negra con estampado floral </t>
  </si>
  <si>
    <t>BU0443</t>
  </si>
  <si>
    <t>Vestido ajustado con adorno de plumas</t>
  </si>
  <si>
    <t>BU0444</t>
  </si>
  <si>
    <t>BU0445</t>
  </si>
  <si>
    <t>BU0446</t>
  </si>
  <si>
    <t>Conjunto de top y falda cruzada</t>
  </si>
  <si>
    <t>BU0447</t>
  </si>
  <si>
    <t>Conjunto blanco top healter y falda cruzada</t>
  </si>
  <si>
    <t>BU0448</t>
  </si>
  <si>
    <t>Sujetador adhesivo de silicona</t>
  </si>
  <si>
    <t>BU0449</t>
  </si>
  <si>
    <t>Camisa Blanca</t>
  </si>
  <si>
    <t>BU0450</t>
  </si>
  <si>
    <t>BU0451</t>
  </si>
  <si>
    <t>BU0455</t>
  </si>
  <si>
    <t>Pantaloneta de zíper</t>
  </si>
  <si>
    <t>BU0456</t>
  </si>
  <si>
    <t>Pantaloneta roja</t>
  </si>
  <si>
    <t>BU0457</t>
  </si>
  <si>
    <t>BU0458</t>
  </si>
  <si>
    <t>Partes-de-abajo /nuevo</t>
  </si>
  <si>
    <t>Falda negra con flores y abertura</t>
  </si>
  <si>
    <t>BU0459</t>
  </si>
  <si>
    <t>BU0460</t>
  </si>
  <si>
    <t>Talla 2_años</t>
  </si>
  <si>
    <t>BU0461</t>
  </si>
  <si>
    <t>BU0462</t>
  </si>
  <si>
    <t>BU0463</t>
  </si>
  <si>
    <t>Cortina plateada encargo Day</t>
  </si>
  <si>
    <t>BU0464</t>
  </si>
  <si>
    <t>Cartel para cake Day</t>
  </si>
  <si>
    <t>BU0465</t>
  </si>
  <si>
    <t>Letrero de cumpleaños Day</t>
  </si>
  <si>
    <t>BU0466</t>
  </si>
  <si>
    <t>Calzado /nuevo</t>
  </si>
  <si>
    <t>Calzado tacón negro</t>
  </si>
  <si>
    <t>Talla 36 Marca SHEIN</t>
  </si>
  <si>
    <t>BU0467</t>
  </si>
  <si>
    <t>Diadema con tira decorativa Day</t>
  </si>
  <si>
    <t>BU0468</t>
  </si>
  <si>
    <t>Globo número Day</t>
  </si>
  <si>
    <t>BU0469</t>
  </si>
  <si>
    <t xml:space="preserve">Short elegante de pierna ancha con doblez </t>
  </si>
  <si>
    <t>BU0470</t>
  </si>
  <si>
    <t>Short beich de pierna ancha </t>
  </si>
  <si>
    <t>BU0471</t>
  </si>
  <si>
    <t>Accesorios /Cintos</t>
  </si>
  <si>
    <t>Cinturón de hebilla dorada</t>
  </si>
  <si>
    <t>Talla Unitalla Color Carmelita Marca SHEIN</t>
  </si>
  <si>
    <t>BU0472</t>
  </si>
  <si>
    <t>Cinturón negro con hebilla dorada</t>
  </si>
  <si>
    <t>BU0473</t>
  </si>
  <si>
    <t>BU0474</t>
  </si>
  <si>
    <t>Pantalón Corte Recto</t>
  </si>
  <si>
    <t>Talla L Color Carmelita Marca SHEIN</t>
  </si>
  <si>
    <t>BU0475</t>
  </si>
  <si>
    <t>Blusa amarilla Greter encargo</t>
  </si>
  <si>
    <t>BU0476</t>
  </si>
  <si>
    <t>Blusa Verde Greter  encargo</t>
  </si>
  <si>
    <t>BU0477</t>
  </si>
  <si>
    <t>Blusa roja Greter encargo</t>
  </si>
  <si>
    <t>BU0479</t>
  </si>
  <si>
    <t>Pantaloneta verde</t>
  </si>
  <si>
    <t>BU0480</t>
  </si>
  <si>
    <t>BU0481</t>
  </si>
  <si>
    <t>BU0482</t>
  </si>
  <si>
    <t>Maxi vestido playero rojo</t>
  </si>
  <si>
    <t>BU0483</t>
  </si>
  <si>
    <t>Maxi vestido de espalda cruzada</t>
  </si>
  <si>
    <t>Talla M Color Naranja_Quemada Marca SHEIN</t>
  </si>
  <si>
    <t>BU0484</t>
  </si>
  <si>
    <t>Maxi vestido playero naranja quemada</t>
  </si>
  <si>
    <t>BU0485</t>
  </si>
  <si>
    <t>BU0487</t>
  </si>
  <si>
    <t>Pantaloneta negra con abertura</t>
  </si>
  <si>
    <t>BU0489</t>
  </si>
  <si>
    <t>Top asimétrico blanco</t>
  </si>
  <si>
    <t>BU0490</t>
  </si>
  <si>
    <t xml:space="preserve">Top corto asimétrico </t>
  </si>
  <si>
    <t>BU0491</t>
  </si>
  <si>
    <t>Top blanco cuello V con encaje</t>
  </si>
  <si>
    <t>BU0492</t>
  </si>
  <si>
    <t>BU0493</t>
  </si>
  <si>
    <t>Top de cuello V con encaje</t>
  </si>
  <si>
    <t>Talla M Color Blanco Marca SHEIN</t>
  </si>
  <si>
    <t>BU0494</t>
  </si>
  <si>
    <t>Top negro de cuello V con encaje</t>
  </si>
  <si>
    <t>BU0495</t>
  </si>
  <si>
    <t>Top negro  cuello V con encaje</t>
  </si>
  <si>
    <t>BU0496</t>
  </si>
  <si>
    <t>Short beiche de pierna ancha </t>
  </si>
  <si>
    <t>BU0497</t>
  </si>
  <si>
    <t>Pantalón beige de pierna ancha</t>
  </si>
  <si>
    <t>BU0498</t>
  </si>
  <si>
    <t>Pantalón de corte recto</t>
  </si>
  <si>
    <t>BU0499</t>
  </si>
  <si>
    <t>BU0500</t>
  </si>
  <si>
    <t>Pantalón rosado fuccia</t>
  </si>
  <si>
    <t>BU0502</t>
  </si>
  <si>
    <t>BU05021</t>
  </si>
  <si>
    <t>Top negro corto asimétrico</t>
  </si>
  <si>
    <t>BU0503</t>
  </si>
  <si>
    <t xml:space="preserve">Jean skinny oscuro </t>
  </si>
  <si>
    <t xml:space="preserve">Talla 27-S </t>
  </si>
  <si>
    <t>F21</t>
  </si>
  <si>
    <t>BU0505</t>
  </si>
  <si>
    <t>Pantaloneta con cinturón</t>
  </si>
  <si>
    <t>BU0506</t>
  </si>
  <si>
    <t>Sandalias rosadas Forever21</t>
  </si>
  <si>
    <t>BU0507</t>
  </si>
  <si>
    <t>Sandalias negras de hebilla </t>
  </si>
  <si>
    <t>BU0508</t>
  </si>
  <si>
    <t>Jean ajustado Claro</t>
  </si>
  <si>
    <t>Talla S Marca F21</t>
  </si>
  <si>
    <t>BU0509</t>
  </si>
  <si>
    <t>Jean ajustado claro</t>
  </si>
  <si>
    <t>BU0510</t>
  </si>
  <si>
    <t>BU0511</t>
  </si>
  <si>
    <t>Sandalias blancas</t>
  </si>
  <si>
    <t>BU0512</t>
  </si>
  <si>
    <t>Short de mezclilla suave con cinturón</t>
  </si>
  <si>
    <t>BU0514</t>
  </si>
  <si>
    <t>Blusa de manga larga cruzada</t>
  </si>
  <si>
    <t>BU0515</t>
  </si>
  <si>
    <t>Blazer Crema</t>
  </si>
  <si>
    <t>BU0516</t>
  </si>
  <si>
    <t>Blazer con textura (hacer foto)</t>
  </si>
  <si>
    <t>Talla EG Marca H&amp;M</t>
  </si>
  <si>
    <t>BU0517</t>
  </si>
  <si>
    <t>Blazer Carmelita oscuro (hacer foto)</t>
  </si>
  <si>
    <t>BU0518</t>
  </si>
  <si>
    <t>Camisa rayas verde Extra Grande</t>
  </si>
  <si>
    <t>BU0519</t>
  </si>
  <si>
    <t>Camisa Azul Extra Grande</t>
  </si>
  <si>
    <t>BU0520</t>
  </si>
  <si>
    <t xml:space="preserve">Camisa Blanca </t>
  </si>
  <si>
    <t>BU0522</t>
  </si>
  <si>
    <t xml:space="preserve">Blusa de manga acampanada </t>
  </si>
  <si>
    <t>Talla M Color Negro Marca SHEIN</t>
  </si>
  <si>
    <t>BU0523</t>
  </si>
  <si>
    <t>Blusa de manga acampanada blanca</t>
  </si>
  <si>
    <t>BU0524</t>
  </si>
  <si>
    <t>Blusa de manga acampanada negra</t>
  </si>
  <si>
    <t>BU0525</t>
  </si>
  <si>
    <t>Blusa de manga acampanada</t>
  </si>
  <si>
    <t>BU0526</t>
  </si>
  <si>
    <t>Blusa Camisa de puño largo</t>
  </si>
  <si>
    <t>BU0527</t>
  </si>
  <si>
    <t>Blusa camisa de puño largo</t>
  </si>
  <si>
    <t>BU0528</t>
  </si>
  <si>
    <t>Camisa entallada dazy</t>
  </si>
  <si>
    <t>BU0529</t>
  </si>
  <si>
    <t>BU0530</t>
  </si>
  <si>
    <t>falta foto</t>
  </si>
  <si>
    <t>Body traslúcido floreado (hacer foto)</t>
  </si>
  <si>
    <t>Talla XS Color Verde Marca H&amp;M</t>
  </si>
  <si>
    <t>BU0531</t>
  </si>
  <si>
    <t>Cardigan Amarillo</t>
  </si>
  <si>
    <t>BU0532</t>
  </si>
  <si>
    <t>BU0533</t>
  </si>
  <si>
    <t xml:space="preserve">Pullover oversize estampado </t>
  </si>
  <si>
    <t>BU0534</t>
  </si>
  <si>
    <t>Sweater rosa con mangas abiertas</t>
  </si>
  <si>
    <t>BU0535</t>
  </si>
  <si>
    <t>Chaleco Tejido</t>
  </si>
  <si>
    <t>BU0536</t>
  </si>
  <si>
    <t>Chaleco de traje gris talla pequeña H&amp;M</t>
  </si>
  <si>
    <t>BU0537</t>
  </si>
  <si>
    <t>Sweater de Lana naranja quemada</t>
  </si>
  <si>
    <t>BU0538</t>
  </si>
  <si>
    <t>Tops /Curvy /hm</t>
  </si>
  <si>
    <t>Sweater de lana H&amp;M</t>
  </si>
  <si>
    <t>BU0539</t>
  </si>
  <si>
    <t>BU0540</t>
  </si>
  <si>
    <t>Vestido de flecos</t>
  </si>
  <si>
    <t>BU0541</t>
  </si>
  <si>
    <t>BU0542</t>
  </si>
  <si>
    <t>Falda plisada de cuadros</t>
  </si>
  <si>
    <t>BU0543</t>
  </si>
  <si>
    <t>BU0544</t>
  </si>
  <si>
    <t>Pajarita en forma de flor</t>
  </si>
  <si>
    <t>BU0545</t>
  </si>
  <si>
    <t>Corbatín de mujer</t>
  </si>
  <si>
    <t>BU0547</t>
  </si>
  <si>
    <t>Camisa blanca entallada H&amp;M</t>
  </si>
  <si>
    <t>BU0548</t>
  </si>
  <si>
    <t xml:space="preserve">Ajustador beige </t>
  </si>
  <si>
    <t>Talla 34 Marca F21</t>
  </si>
  <si>
    <t>BUI000</t>
  </si>
  <si>
    <t>Conjunto Skort &amp; top Floreado</t>
  </si>
  <si>
    <t>BU0550</t>
  </si>
  <si>
    <t>Medias pantys</t>
  </si>
  <si>
    <t>Talla Unitalla Marca H&amp;M</t>
  </si>
  <si>
    <t>BU0551</t>
  </si>
  <si>
    <t>Medias de mallas</t>
  </si>
  <si>
    <t>BU0552</t>
  </si>
  <si>
    <t>Partes-de-abajo /hm</t>
  </si>
  <si>
    <t>Leggings negros acanalados</t>
  </si>
  <si>
    <t>BU0553</t>
  </si>
  <si>
    <t>Playera negra de cuello cisne</t>
  </si>
  <si>
    <t>BU0554</t>
  </si>
  <si>
    <t> Vestido Rojo con eberturas</t>
  </si>
  <si>
    <t>BU0555</t>
  </si>
  <si>
    <t>BU0556</t>
  </si>
  <si>
    <t>Playera de cuello cisne</t>
  </si>
  <si>
    <t>BU0557</t>
  </si>
  <si>
    <t>Camiseta acanalada de bajo asimétrico blanco</t>
  </si>
  <si>
    <t>BU0558</t>
  </si>
  <si>
    <t>BU0559</t>
  </si>
  <si>
    <t>Camiseta acanalada de bajo asimétrico naranja</t>
  </si>
  <si>
    <t>BU0560</t>
  </si>
  <si>
    <t>Camiseta acanalada oblicua naranja</t>
  </si>
  <si>
    <t>BU0561</t>
  </si>
  <si>
    <t>Top bustier corsetero</t>
  </si>
  <si>
    <t>Compra 11 dic 2023</t>
  </si>
  <si>
    <t>BU0562</t>
  </si>
  <si>
    <t xml:space="preserve">Talla L </t>
  </si>
  <si>
    <t>BU0563</t>
  </si>
  <si>
    <t>Pantaloneta con abertura y bolsillos</t>
  </si>
  <si>
    <t>BU0564</t>
  </si>
  <si>
    <t>Pantaloneta con abertura</t>
  </si>
  <si>
    <t>BU0565</t>
  </si>
  <si>
    <t>Jean MOM con rotos</t>
  </si>
  <si>
    <t>Talla 27-M</t>
  </si>
  <si>
    <t>BU0566</t>
  </si>
  <si>
    <t>Talla 25_S Marca F21</t>
  </si>
  <si>
    <t>BU0568</t>
  </si>
  <si>
    <t>Vestido acanalado cruzado color crema</t>
  </si>
  <si>
    <t>BU0569</t>
  </si>
  <si>
    <t>BU0570</t>
  </si>
  <si>
    <t>Short de tela suave con cinturón</t>
  </si>
  <si>
    <t>BU0571</t>
  </si>
  <si>
    <t>Pantalón de traje</t>
  </si>
  <si>
    <t>Talla L Color Negro Marca H&amp;M</t>
  </si>
  <si>
    <t>BU0572</t>
  </si>
  <si>
    <t>Vestido espalda escotada</t>
  </si>
  <si>
    <t>BU0573</t>
  </si>
  <si>
    <t>BU0574</t>
  </si>
  <si>
    <t>Sandalias blancas cruzadas</t>
  </si>
  <si>
    <t>COMPRA F21</t>
  </si>
  <si>
    <t>BU0575</t>
  </si>
  <si>
    <t>BU0576</t>
  </si>
  <si>
    <t>BU0577</t>
  </si>
  <si>
    <t>Pantalón de viscosa y zíper</t>
  </si>
  <si>
    <t>BU0578</t>
  </si>
  <si>
    <t>Sandalias de velcro</t>
  </si>
  <si>
    <t>BU0579</t>
  </si>
  <si>
    <t>BU0580</t>
  </si>
  <si>
    <t>BU0581</t>
  </si>
  <si>
    <t>Sandalias negras acolchadas Marca F21</t>
  </si>
  <si>
    <t>Talla 37.5</t>
  </si>
  <si>
    <t>BU0582</t>
  </si>
  <si>
    <t>Sandalias negras acolchadas</t>
  </si>
  <si>
    <t>BU0583</t>
  </si>
  <si>
    <t>BU0584</t>
  </si>
  <si>
    <t>Mocasín con herrajes</t>
  </si>
  <si>
    <t>BU0585</t>
  </si>
  <si>
    <t>BU0586</t>
  </si>
  <si>
    <t>BU0587</t>
  </si>
  <si>
    <t>Sandalias minimalistas de plataforma</t>
  </si>
  <si>
    <t>BU0588</t>
  </si>
  <si>
    <t>Talla 40 Marca F21</t>
  </si>
  <si>
    <t>BU0589</t>
  </si>
  <si>
    <t>BU0590</t>
  </si>
  <si>
    <t>Vestido Orquídea de botones y tirantes de pétalos</t>
  </si>
  <si>
    <t>BU0591</t>
  </si>
  <si>
    <t>BU0592</t>
  </si>
  <si>
    <t>BU0593</t>
  </si>
  <si>
    <t>Pantalón alto de bajo elegante</t>
  </si>
  <si>
    <t>BU0594</t>
  </si>
  <si>
    <t>BU0595</t>
  </si>
  <si>
    <t>BU0596</t>
  </si>
  <si>
    <t>BU0597</t>
  </si>
  <si>
    <t xml:space="preserve">Pantalón cargo verde </t>
  </si>
  <si>
    <t>BU0600</t>
  </si>
  <si>
    <t>Bermuda negra denim</t>
  </si>
  <si>
    <t>Talla S-M</t>
  </si>
  <si>
    <t>BU0601</t>
  </si>
  <si>
    <t>Sandalias de tacón triangular</t>
  </si>
  <si>
    <t>Talla 37 Color Rosado Marca F21</t>
  </si>
  <si>
    <t>Compra 7/12/2023</t>
  </si>
  <si>
    <t>BU0602</t>
  </si>
  <si>
    <t>Camiseta Dazy Negro</t>
  </si>
  <si>
    <t>BU0603</t>
  </si>
  <si>
    <t>Vestido Dazy con abertura</t>
  </si>
  <si>
    <t>BU0604</t>
  </si>
  <si>
    <t>Camiseta Dazy Blanco</t>
  </si>
  <si>
    <t>BU0605</t>
  </si>
  <si>
    <t>Pantalón negro acampanado</t>
  </si>
  <si>
    <t>BU06061</t>
  </si>
  <si>
    <t>calzado</t>
  </si>
  <si>
    <t>Botas negras de zíper</t>
  </si>
  <si>
    <t>Talla 37 Marca SHEIN</t>
  </si>
  <si>
    <t>BU0607</t>
  </si>
  <si>
    <t>Sandalias de tacón fino</t>
  </si>
  <si>
    <t>BU0608</t>
  </si>
  <si>
    <t>Vestido Camisero flores</t>
  </si>
  <si>
    <t>BU0609</t>
  </si>
  <si>
    <t xml:space="preserve">Falda satinada negra línea A </t>
  </si>
  <si>
    <t>BU0610</t>
  </si>
  <si>
    <t>Pullover cuello redondo</t>
  </si>
  <si>
    <t>BU0611</t>
  </si>
  <si>
    <t>Blusa corta Blanca bordada Girasol</t>
  </si>
  <si>
    <t>BU0612</t>
  </si>
  <si>
    <t>Sandalias Albaricoque</t>
  </si>
  <si>
    <t>BU0613</t>
  </si>
  <si>
    <t>Zapato de Tacón Cuadrado</t>
  </si>
  <si>
    <t>BU0615</t>
  </si>
  <si>
    <t>Pullover Dazy cuello redondo Negro</t>
  </si>
  <si>
    <t>BU0616</t>
  </si>
  <si>
    <t>BU0617</t>
  </si>
  <si>
    <t>Chaleco blanco botones</t>
  </si>
  <si>
    <t>BU0618</t>
  </si>
  <si>
    <t>BU0619</t>
  </si>
  <si>
    <t>BU0621</t>
  </si>
  <si>
    <t>Vestido Frenchy Ajustado</t>
  </si>
  <si>
    <t>BU0622</t>
  </si>
  <si>
    <t>BU0623</t>
  </si>
  <si>
    <t>Pantalón acampanado Blanco</t>
  </si>
  <si>
    <t>BU0624</t>
  </si>
  <si>
    <t>BU0625</t>
  </si>
  <si>
    <t>Pantalón Negro Acampanado</t>
  </si>
  <si>
    <t>BU0626</t>
  </si>
  <si>
    <t>Top bustier corset de encaje</t>
  </si>
  <si>
    <t>Talla S_M</t>
  </si>
  <si>
    <t>BU0630</t>
  </si>
  <si>
    <t>BU0632</t>
  </si>
  <si>
    <t>Chaleco de traje</t>
  </si>
  <si>
    <t>BU0633</t>
  </si>
  <si>
    <t>BU0634</t>
  </si>
  <si>
    <t>Saya de Mezclilla a la Cintura</t>
  </si>
  <si>
    <t>BU0635</t>
  </si>
  <si>
    <t>BU0636</t>
  </si>
  <si>
    <t>Zapato de punta fina y Tacón Cuadrado</t>
  </si>
  <si>
    <t>BU0637</t>
  </si>
  <si>
    <t>BU0638</t>
  </si>
  <si>
    <t>Top Bustier encaje</t>
  </si>
  <si>
    <t>BU0639</t>
  </si>
  <si>
    <t>BU0640</t>
  </si>
  <si>
    <t>BU0641</t>
  </si>
  <si>
    <t>Accesorios /bolsos</t>
  </si>
  <si>
    <t>Bolso de Mimbre</t>
  </si>
  <si>
    <t>Talla Mediano</t>
  </si>
  <si>
    <t>BU0642</t>
  </si>
  <si>
    <t>Top de encaje</t>
  </si>
  <si>
    <t>BU0643</t>
  </si>
  <si>
    <t>BU0645</t>
  </si>
  <si>
    <t>Falda de mezclilla negra a la cintura</t>
  </si>
  <si>
    <t>BU0646</t>
  </si>
  <si>
    <t>Gafas de sol Dama</t>
  </si>
  <si>
    <t>BU0647</t>
  </si>
  <si>
    <t xml:space="preserve">Gafas de Sol </t>
  </si>
  <si>
    <t>BU0648</t>
  </si>
  <si>
    <t>Lentes de Sol</t>
  </si>
  <si>
    <t>BU0649</t>
  </si>
  <si>
    <t xml:space="preserve">Partes-de-abajo </t>
  </si>
  <si>
    <t>BU0650</t>
  </si>
  <si>
    <t>Encargo Baby</t>
  </si>
  <si>
    <t>Limpia botellas</t>
  </si>
  <si>
    <t>BU0651</t>
  </si>
  <si>
    <t>Batidor</t>
  </si>
  <si>
    <t>BU0652</t>
  </si>
  <si>
    <t>Calzado /ofertas /hm</t>
  </si>
  <si>
    <t>Mocasín de punta fina Marca H&amp;M</t>
  </si>
  <si>
    <t>BU0653</t>
  </si>
  <si>
    <t>Botas Chalsesa</t>
  </si>
  <si>
    <t>BU0654</t>
  </si>
  <si>
    <t>Blusa corta abombada</t>
  </si>
  <si>
    <t>BU0655</t>
  </si>
  <si>
    <t>Pantalón recto de traje de pata ancha H&amp;M</t>
  </si>
  <si>
    <t>BU0656</t>
  </si>
  <si>
    <t>Vestido negro ajustado estilo corset</t>
  </si>
  <si>
    <t>BU0657</t>
  </si>
  <si>
    <t>Jean skinny de cintura alta y bajo descosido</t>
  </si>
  <si>
    <t>BU0658</t>
  </si>
  <si>
    <t>Leggins bikers</t>
  </si>
  <si>
    <t>BU0659</t>
  </si>
  <si>
    <t>Blazer azul Rey</t>
  </si>
  <si>
    <t>BU0660</t>
  </si>
  <si>
    <t>Calzado /Precios Bajos</t>
  </si>
  <si>
    <t>Sandalias de tiras</t>
  </si>
  <si>
    <t>BU0661</t>
  </si>
  <si>
    <t>Talla 38 Marca F21</t>
  </si>
  <si>
    <t>BU0662</t>
  </si>
  <si>
    <t>Calzado /Forever21</t>
  </si>
  <si>
    <t>Sandalias de nudos</t>
  </si>
  <si>
    <t>Talla 39 Marca F21</t>
  </si>
  <si>
    <t>BU0663</t>
  </si>
  <si>
    <t>BU0664</t>
  </si>
  <si>
    <t xml:space="preserve">Sandalias Pop </t>
  </si>
  <si>
    <t>BU0665</t>
  </si>
  <si>
    <t>Sandalias Pop</t>
  </si>
  <si>
    <t>BU0666</t>
  </si>
  <si>
    <t>Sandalias de hebilla</t>
  </si>
  <si>
    <t>BU0667</t>
  </si>
  <si>
    <t>BU0668</t>
  </si>
  <si>
    <t>Sandalias flip de plataforma Rosadas Marca F21</t>
  </si>
  <si>
    <t xml:space="preserve">Talla 37-38 </t>
  </si>
  <si>
    <t>BU0669</t>
  </si>
  <si>
    <t>Sandalias flip de plataforma Naranja Marca F21</t>
  </si>
  <si>
    <t>Talla 39-40</t>
  </si>
  <si>
    <t>BU0670</t>
  </si>
  <si>
    <t>Talla 36-37-38</t>
  </si>
  <si>
    <t>BU0671</t>
  </si>
  <si>
    <t>Sandalias flip de plataforma Negro</t>
  </si>
  <si>
    <t>BU0672</t>
  </si>
  <si>
    <t>Sandalias flip de plataforma</t>
  </si>
  <si>
    <t>BU0673</t>
  </si>
  <si>
    <t>Cardigan classy</t>
  </si>
  <si>
    <t>SHEiN</t>
  </si>
  <si>
    <t>Compra 9/12/2023</t>
  </si>
  <si>
    <t>BU06741</t>
  </si>
  <si>
    <t>Sandalias minimalistas de tacón</t>
  </si>
  <si>
    <t>BU0674</t>
  </si>
  <si>
    <t>BU0675</t>
  </si>
  <si>
    <t>Vestido camisa modely</t>
  </si>
  <si>
    <t>BU0676</t>
  </si>
  <si>
    <t>BU0677</t>
  </si>
  <si>
    <t>Vestidos /Curvy /precios bajos</t>
  </si>
  <si>
    <t xml:space="preserve">Vestido camisero con estampado floral </t>
  </si>
  <si>
    <t>BU0678</t>
  </si>
  <si>
    <t>Camisa Modely</t>
  </si>
  <si>
    <t>BU0679</t>
  </si>
  <si>
    <t>BU0680</t>
  </si>
  <si>
    <t>BU0681</t>
  </si>
  <si>
    <t>Vestido largo estampado</t>
  </si>
  <si>
    <t>BU0682</t>
  </si>
  <si>
    <t>BU0683</t>
  </si>
  <si>
    <t>Vestido Becka</t>
  </si>
  <si>
    <t>BU0684</t>
  </si>
  <si>
    <t>BU0685</t>
  </si>
  <si>
    <t>BU0686</t>
  </si>
  <si>
    <t>BU0687</t>
  </si>
  <si>
    <t>Vestido Tarsha</t>
  </si>
  <si>
    <t>BU0688</t>
  </si>
  <si>
    <t>BU0689</t>
  </si>
  <si>
    <t>BU0690</t>
  </si>
  <si>
    <t xml:space="preserve">Vestido Burdeos </t>
  </si>
  <si>
    <t>Talla XS Color Rojo_Intenso Marca SHEIN</t>
  </si>
  <si>
    <t>BU0691</t>
  </si>
  <si>
    <t>Vestidos Burdeos</t>
  </si>
  <si>
    <t>BU0692</t>
  </si>
  <si>
    <t xml:space="preserve">Vestido Privé </t>
  </si>
  <si>
    <t>BU0693</t>
  </si>
  <si>
    <t xml:space="preserve">Vestido Privé  </t>
  </si>
  <si>
    <t>BU0694</t>
  </si>
  <si>
    <t>BU0695</t>
  </si>
  <si>
    <t>Vestido Privé</t>
  </si>
  <si>
    <t>BU0696</t>
  </si>
  <si>
    <t>Top Asimétrico Acanalado</t>
  </si>
  <si>
    <t>BU0697</t>
  </si>
  <si>
    <t>BU0698</t>
  </si>
  <si>
    <t>Kimono floral</t>
  </si>
  <si>
    <t>BU0699</t>
  </si>
  <si>
    <t>Kimono fLoral</t>
  </si>
  <si>
    <t>BU0700</t>
  </si>
  <si>
    <t>Mono palazzo</t>
  </si>
  <si>
    <t>BU0701</t>
  </si>
  <si>
    <t>BU0702</t>
  </si>
  <si>
    <t>Vestido Frenchy Azul</t>
  </si>
  <si>
    <t>BU0703</t>
  </si>
  <si>
    <t>Vestido Frenchy Rojo</t>
  </si>
  <si>
    <t>BU0704</t>
  </si>
  <si>
    <t>Vestido Margarita</t>
  </si>
  <si>
    <t>BU0705</t>
  </si>
  <si>
    <t>Vestido margarita</t>
  </si>
  <si>
    <t>BU0707</t>
  </si>
  <si>
    <t>Suéter cuello de Cisne</t>
  </si>
  <si>
    <t>BU0708</t>
  </si>
  <si>
    <t>BU0709</t>
  </si>
  <si>
    <t>BU0710</t>
  </si>
  <si>
    <t>Top healter negro</t>
  </si>
  <si>
    <t>BU0711</t>
  </si>
  <si>
    <t>Top Healter negro</t>
  </si>
  <si>
    <t>BU0712</t>
  </si>
  <si>
    <t>Mono Con Botón Delantero</t>
  </si>
  <si>
    <t>BU0713</t>
  </si>
  <si>
    <t xml:space="preserve">Vestido cruzado </t>
  </si>
  <si>
    <t>BU0714</t>
  </si>
  <si>
    <t>Conjunto Albaricoque</t>
  </si>
  <si>
    <t>BU0715</t>
  </si>
  <si>
    <t>BU0716</t>
  </si>
  <si>
    <t>Conjunto Beis satinado</t>
  </si>
  <si>
    <t>BU0717</t>
  </si>
  <si>
    <t>Conjunto Beis</t>
  </si>
  <si>
    <t>BU0718</t>
  </si>
  <si>
    <t>Talla 38 Marca SHEIN</t>
  </si>
  <si>
    <t>BU0719</t>
  </si>
  <si>
    <t>Talla 39 Marca SHEIN</t>
  </si>
  <si>
    <t>BU0720</t>
  </si>
  <si>
    <t>Vestido Frenchy</t>
  </si>
  <si>
    <t>Talla M Color Verde Marca SHEIN</t>
  </si>
  <si>
    <t>BU0722</t>
  </si>
  <si>
    <t>Vestido de mangas en contraste</t>
  </si>
  <si>
    <t>BU0723</t>
  </si>
  <si>
    <t>Mono con cinturón</t>
  </si>
  <si>
    <t>BU0724</t>
  </si>
  <si>
    <t>Monos /Curvy</t>
  </si>
  <si>
    <t>Mono elegante con mangas de vuelo</t>
  </si>
  <si>
    <t>Talla L Color Verde Marca SHEIN</t>
  </si>
  <si>
    <t>BU0725</t>
  </si>
  <si>
    <t>Blusa Lettuche</t>
  </si>
  <si>
    <t>BU0726</t>
  </si>
  <si>
    <t>Chaleco corto de traje cuadros</t>
  </si>
  <si>
    <t>BU0727</t>
  </si>
  <si>
    <t>Jean Mom con bajo descosido</t>
  </si>
  <si>
    <t>BU0728</t>
  </si>
  <si>
    <t>BU0729</t>
  </si>
  <si>
    <t>Shorts con rotos y detalle de encajes</t>
  </si>
  <si>
    <t>BU0730</t>
  </si>
  <si>
    <t>Vestido Frente Drapeado Negro y Blanco</t>
  </si>
  <si>
    <t>BU0731</t>
  </si>
  <si>
    <t>BU0732</t>
  </si>
  <si>
    <t>BU0733</t>
  </si>
  <si>
    <t>Vestido ajustado con abertura de manga larga</t>
  </si>
  <si>
    <t>BU0734</t>
  </si>
  <si>
    <t>BU0735</t>
  </si>
  <si>
    <t>Vestido acanalado de manga larga</t>
  </si>
  <si>
    <t>Talla S Color Crema Marca SHEIN</t>
  </si>
  <si>
    <t>BU0736</t>
  </si>
  <si>
    <t>Vestido Asimétrico con cuerdas</t>
  </si>
  <si>
    <t>Talla S color Blanco Marca SHEIN</t>
  </si>
  <si>
    <t>BU0737</t>
  </si>
  <si>
    <t>BU0738</t>
  </si>
  <si>
    <t>Vestidos /ofertas /hm</t>
  </si>
  <si>
    <t>Vestido Denim</t>
  </si>
  <si>
    <t>BU0739</t>
  </si>
  <si>
    <t xml:space="preserve">Vestido ajustado de puntos </t>
  </si>
  <si>
    <t>BU0740</t>
  </si>
  <si>
    <t>Vestido de botones y manga abullonada</t>
  </si>
  <si>
    <t>BU0741</t>
  </si>
  <si>
    <t>Vestido ajustado en rosas</t>
  </si>
  <si>
    <t>BU0742</t>
  </si>
  <si>
    <t>Vestido negro corte A</t>
  </si>
  <si>
    <t>BU0743</t>
  </si>
  <si>
    <t>Vestido Terciopelo</t>
  </si>
  <si>
    <t>BU06361</t>
  </si>
  <si>
    <t>BU06371</t>
  </si>
  <si>
    <t>Tops /chalecos-blazers</t>
  </si>
  <si>
    <t>Chaleco de traje Crema</t>
  </si>
  <si>
    <t>Compra Shein22012024</t>
  </si>
  <si>
    <t>BU06381</t>
  </si>
  <si>
    <t>Talla M Color Crema Marca SHEIN</t>
  </si>
  <si>
    <t>BU06391</t>
  </si>
  <si>
    <t>Chaleco de traje Negro</t>
  </si>
  <si>
    <t>BU06401</t>
  </si>
  <si>
    <t>BU06411</t>
  </si>
  <si>
    <t>Chaleco de traje Blanco</t>
  </si>
  <si>
    <t>BU06421</t>
  </si>
  <si>
    <t>Nuevo /chalecos-blazers</t>
  </si>
  <si>
    <t>BU06431</t>
  </si>
  <si>
    <t>Nuevo /Tops</t>
  </si>
  <si>
    <t>Kimono Dazy Elegante</t>
  </si>
  <si>
    <t>BU06441</t>
  </si>
  <si>
    <t>BU06451</t>
  </si>
  <si>
    <t xml:space="preserve">Traje de baño blanco sexy </t>
  </si>
  <si>
    <t>BU06461</t>
  </si>
  <si>
    <t>Traje de baño Oliva</t>
  </si>
  <si>
    <t>BU06471</t>
  </si>
  <si>
    <t>Trajes de Baño /Curvy /nuevo</t>
  </si>
  <si>
    <t>Traje de baño de mangas estampadas</t>
  </si>
  <si>
    <t>Talla XXL Marca SHEIN</t>
  </si>
  <si>
    <t>BU064412</t>
  </si>
  <si>
    <t>nuevo /Tops</t>
  </si>
  <si>
    <t>BU06491</t>
  </si>
  <si>
    <t>Zapatillas blanco casual</t>
  </si>
  <si>
    <t>Talla 41 Marca SHEIN</t>
  </si>
  <si>
    <t>BU06501</t>
  </si>
  <si>
    <t>Talla 40 Marca SHEIN</t>
  </si>
  <si>
    <t>BU06511</t>
  </si>
  <si>
    <t>BU06521</t>
  </si>
  <si>
    <t>BU06531</t>
  </si>
  <si>
    <t>nuevo /Accesorios</t>
  </si>
  <si>
    <t>Calcetines al tobillo beige</t>
  </si>
  <si>
    <t>BU06541</t>
  </si>
  <si>
    <t>Calcetines al tobillo negro</t>
  </si>
  <si>
    <t>BU06551</t>
  </si>
  <si>
    <t>Nuevo /Accesorios</t>
  </si>
  <si>
    <t>Calcetines bajos</t>
  </si>
  <si>
    <t>BU06561</t>
  </si>
  <si>
    <t>Nuevo /Blusas /Curvy</t>
  </si>
  <si>
    <t>BU06571</t>
  </si>
  <si>
    <t>Bikini negro sexy pequeño</t>
  </si>
  <si>
    <t>BU06581</t>
  </si>
  <si>
    <t>BU06591</t>
  </si>
  <si>
    <t>BU06601</t>
  </si>
  <si>
    <t>Conjunto de bikini</t>
  </si>
  <si>
    <t>BU06611</t>
  </si>
  <si>
    <t>Conjunto de bikini moca</t>
  </si>
  <si>
    <t>BU06621</t>
  </si>
  <si>
    <t>BU06651</t>
  </si>
  <si>
    <t>nuevo /Cintos /Accesorios</t>
  </si>
  <si>
    <t>Cinturón de hebilla redonda</t>
  </si>
  <si>
    <t>BU06661</t>
  </si>
  <si>
    <t>BU06671</t>
  </si>
  <si>
    <t>Traje de baño blanco sexy</t>
  </si>
  <si>
    <t>BU06681</t>
  </si>
  <si>
    <t>Nuevo /Cintos /Accesorios</t>
  </si>
  <si>
    <t>Cinturón básico grueso Negro</t>
  </si>
  <si>
    <t xml:space="preserve">Talla Unitalla </t>
  </si>
  <si>
    <t>BU066912</t>
  </si>
  <si>
    <t>Cinturón básico grueso Camel</t>
  </si>
  <si>
    <t>BU06701</t>
  </si>
  <si>
    <t>Nuevo</t>
  </si>
  <si>
    <t>Horquillas en forma de lazo</t>
  </si>
  <si>
    <t>Talla Unitalla Color Negro</t>
  </si>
  <si>
    <t>BU06711</t>
  </si>
  <si>
    <t>nuevo /accesorios</t>
  </si>
  <si>
    <t>BU06721</t>
  </si>
  <si>
    <t>Talla Unitalla Color Rosa_palo</t>
  </si>
  <si>
    <t>BU06731</t>
  </si>
  <si>
    <t>Camisa blanca estampado de ave</t>
  </si>
  <si>
    <t>BU067409</t>
  </si>
  <si>
    <t>Vestido frenchy botones marrón</t>
  </si>
  <si>
    <t>Talla 2XL Marca SHEIN</t>
  </si>
  <si>
    <t>BU06751</t>
  </si>
  <si>
    <t>Accesorios /nuevo</t>
  </si>
  <si>
    <t>Pasador de cabello en forma de lazo</t>
  </si>
  <si>
    <t>BU06761</t>
  </si>
  <si>
    <t>Lazo para coletas</t>
  </si>
  <si>
    <t>Shein</t>
  </si>
  <si>
    <t>BU06771</t>
  </si>
  <si>
    <t xml:space="preserve">Vestido chaleco blazer </t>
  </si>
  <si>
    <t>BU06781</t>
  </si>
  <si>
    <t>accesorios</t>
  </si>
  <si>
    <t>Cinto ancho de hebilla dorada</t>
  </si>
  <si>
    <t>BU06782</t>
  </si>
  <si>
    <t>nuevo /vestidos</t>
  </si>
  <si>
    <t>Vestido Midi Elegante</t>
  </si>
  <si>
    <t>Talla S Color Vainilla Marca F21</t>
  </si>
  <si>
    <t>Compra F2119022024</t>
  </si>
  <si>
    <t>BU06783</t>
  </si>
  <si>
    <t>Talla M Color Vainilla Marca F21</t>
  </si>
  <si>
    <t>BU06784</t>
  </si>
  <si>
    <t>Talla XL Color Vainilla Marca F21</t>
  </si>
  <si>
    <t>BU06785</t>
  </si>
  <si>
    <t>Bolso Crossbody en detalle de cocodrilo</t>
  </si>
  <si>
    <t>BU06786</t>
  </si>
  <si>
    <t>nuevo /partes de abajo</t>
  </si>
  <si>
    <t xml:space="preserve">Pantalón Palazzo </t>
  </si>
  <si>
    <t>BU06787</t>
  </si>
  <si>
    <t xml:space="preserve">Pantalón en piel </t>
  </si>
  <si>
    <t>BU06788</t>
  </si>
  <si>
    <t>BU06789</t>
  </si>
  <si>
    <t>Curvy Skinny Jeans</t>
  </si>
  <si>
    <t>Talla 12_XL</t>
  </si>
  <si>
    <t>BU06790</t>
  </si>
  <si>
    <t xml:space="preserve">Maxi Vestido Bodycon </t>
  </si>
  <si>
    <t>Talla XS Color Negro Marca F21</t>
  </si>
  <si>
    <t>BU06791</t>
  </si>
  <si>
    <t>Talla M Color Negro Marca F21</t>
  </si>
  <si>
    <t>BU067911</t>
  </si>
  <si>
    <t>Talla L Color Negro Marca F21</t>
  </si>
  <si>
    <t>BU06792</t>
  </si>
  <si>
    <t>Vestido Midi de espalda oblicua</t>
  </si>
  <si>
    <t>BU06793</t>
  </si>
  <si>
    <t>Crossbody Bag con hebilla</t>
  </si>
  <si>
    <t>BU06794</t>
  </si>
  <si>
    <t xml:space="preserve">Crossbody Bag </t>
  </si>
  <si>
    <t>BU06795</t>
  </si>
  <si>
    <t>Mochila de lana sintética</t>
  </si>
  <si>
    <t>BU06796</t>
  </si>
  <si>
    <t>Crossbody Bag Negro Lacado</t>
  </si>
  <si>
    <t>Talla Unitalla Marca F21</t>
  </si>
  <si>
    <t>BU06797</t>
  </si>
  <si>
    <t>Crossbody Bag Blanco Lacado</t>
  </si>
  <si>
    <t>BU06798</t>
  </si>
  <si>
    <t>Crossbody Bag Guateado</t>
  </si>
  <si>
    <t>BU06799</t>
  </si>
  <si>
    <t>Bolso Baguette Rojo</t>
  </si>
  <si>
    <t>BU06800</t>
  </si>
  <si>
    <t>Bolso Baguette Negro</t>
  </si>
  <si>
    <t>BU06801</t>
  </si>
  <si>
    <t>Crossbody bag Denim</t>
  </si>
  <si>
    <t>BU06802</t>
  </si>
  <si>
    <t>nuevo /tops</t>
  </si>
  <si>
    <t>Blazer entallado</t>
  </si>
  <si>
    <t>BU06803</t>
  </si>
  <si>
    <t>Talla M Color Piedra_Azul Marca F21</t>
  </si>
  <si>
    <t>BU06804</t>
  </si>
  <si>
    <t>Próximamente /tops</t>
  </si>
  <si>
    <t>BU06805</t>
  </si>
  <si>
    <t>BU06806</t>
  </si>
  <si>
    <t>Vestido Chic Primavera</t>
  </si>
  <si>
    <t>Temu</t>
  </si>
  <si>
    <t>Compra Temu18022024</t>
  </si>
  <si>
    <t>BU06807</t>
  </si>
  <si>
    <t>BU06808</t>
  </si>
  <si>
    <t>BU06809</t>
  </si>
  <si>
    <t>bolsos /nuevo</t>
  </si>
  <si>
    <t>Bolso Vintage Marrón</t>
  </si>
  <si>
    <t>Talla Unitalla Marca TEMU</t>
  </si>
  <si>
    <t>BU06810</t>
  </si>
  <si>
    <t>Bolso Vintage Negro</t>
  </si>
  <si>
    <t>BU068101</t>
  </si>
  <si>
    <t>Vestido Camisero de Rayas</t>
  </si>
  <si>
    <t>Talla XL Color azul_y_blanco Marca TEMU</t>
  </si>
  <si>
    <t>BU068102</t>
  </si>
  <si>
    <t>Vestido Camisero de Bolas</t>
  </si>
  <si>
    <t>BU06811</t>
  </si>
  <si>
    <t>Bolso estampado de Lona</t>
  </si>
  <si>
    <t>Talla Unitalla Color Multicolor Marca TEMU</t>
  </si>
  <si>
    <t>BU06812</t>
  </si>
  <si>
    <t>Set de bolso minimalista negro</t>
  </si>
  <si>
    <t>BU06813</t>
  </si>
  <si>
    <t>Set de bolso minimalista amarillo</t>
  </si>
  <si>
    <t>BU06814</t>
  </si>
  <si>
    <t>Bolso mochila estampado</t>
  </si>
  <si>
    <t>BU06815</t>
  </si>
  <si>
    <t>Bolso mochila Rojo</t>
  </si>
  <si>
    <t>BU06816</t>
  </si>
  <si>
    <t>Blusa estampada de Lunares</t>
  </si>
  <si>
    <t>Talla S Color Blanco Marca TEMU</t>
  </si>
  <si>
    <t>BU06817</t>
  </si>
  <si>
    <t>BU06818</t>
  </si>
  <si>
    <t>BU06819</t>
  </si>
  <si>
    <t>Crossbody Cromado</t>
  </si>
  <si>
    <t>BU06820</t>
  </si>
  <si>
    <t>Nuevo /accesorios</t>
  </si>
  <si>
    <t>Gafas de Sol Retro Blanco</t>
  </si>
  <si>
    <t>Talla Unitalla Marca Temu</t>
  </si>
  <si>
    <t>BU06821</t>
  </si>
  <si>
    <t>Gafas de Sol Retro Carey</t>
  </si>
  <si>
    <t>BU06822</t>
  </si>
  <si>
    <t>Gafas de Sol Retro Negro</t>
  </si>
  <si>
    <t>BU06823</t>
  </si>
  <si>
    <t>Próximamente /vestidos</t>
  </si>
  <si>
    <t>Vestido Fresco Verano</t>
  </si>
  <si>
    <t>Talla XL Color Albaricoque</t>
  </si>
  <si>
    <t>Compra Shein03032024</t>
  </si>
  <si>
    <t>BU068231</t>
  </si>
  <si>
    <t>Nuevo /vestidos</t>
  </si>
  <si>
    <t>Talla L Color Albaricoque</t>
  </si>
  <si>
    <t>BU068232</t>
  </si>
  <si>
    <t>Vestido Fresco Verano en Bloque de Color</t>
  </si>
  <si>
    <t>BU068241</t>
  </si>
  <si>
    <t xml:space="preserve"> lenceria</t>
  </si>
  <si>
    <t>Sujetador Invisible Suave sin tirantes</t>
  </si>
  <si>
    <t>Talla XS Color Morado_platinado</t>
  </si>
  <si>
    <t>BU068242</t>
  </si>
  <si>
    <t>Talla S Color Morado_platinado</t>
  </si>
  <si>
    <t>BU06824</t>
  </si>
  <si>
    <t>Talla M Color Morado_platinado</t>
  </si>
  <si>
    <t>BU06825</t>
  </si>
  <si>
    <t>Talla L Color Morado_platinado</t>
  </si>
  <si>
    <t>BU06826</t>
  </si>
  <si>
    <t xml:space="preserve"> lenceria /ofertas</t>
  </si>
  <si>
    <t>Sujetador suave de encaje y satén Beige</t>
  </si>
  <si>
    <t>BU06827</t>
  </si>
  <si>
    <t>Sujetador suave de encaje y satén Negro</t>
  </si>
  <si>
    <t>BU06828</t>
  </si>
  <si>
    <t>BU06829</t>
  </si>
  <si>
    <t>Próximamente /calzado</t>
  </si>
  <si>
    <t>Talla 37 Color Blanco</t>
  </si>
  <si>
    <t>BU06830</t>
  </si>
  <si>
    <t>Vestido a Media Pierna Elegante y Versátil</t>
  </si>
  <si>
    <t>BLETTA1</t>
  </si>
  <si>
    <t>Bazar /precios-bajos</t>
  </si>
  <si>
    <t>Pantalón corto blanco de rayas</t>
  </si>
  <si>
    <t>Talla S Color Blanco_y_Negro</t>
  </si>
  <si>
    <t>Bershka</t>
  </si>
  <si>
    <t>Bazar</t>
  </si>
  <si>
    <t>BLETTA2</t>
  </si>
  <si>
    <t>Vestido Chaleco con botones</t>
  </si>
  <si>
    <t>none</t>
  </si>
  <si>
    <t>BLETTA3</t>
  </si>
  <si>
    <t>Vestido verde Overall (Nuevo)</t>
  </si>
  <si>
    <t>Talla S Color Verde</t>
  </si>
  <si>
    <t>BLETTA4</t>
  </si>
  <si>
    <t xml:space="preserve">Falda con fajín </t>
  </si>
  <si>
    <t>Talla S Color Multicolor</t>
  </si>
  <si>
    <t>bebé</t>
  </si>
  <si>
    <t>BLETTA5</t>
  </si>
  <si>
    <t>Blusa de puntos</t>
  </si>
  <si>
    <t>Talla S Color Marrón</t>
  </si>
  <si>
    <t>BLETTA6</t>
  </si>
  <si>
    <t>Vestido de una manga en vuelo (Nuevo)</t>
  </si>
  <si>
    <t>Talla S Color Combinado</t>
  </si>
  <si>
    <t>BLETTA7</t>
  </si>
  <si>
    <t xml:space="preserve">Vestido chino de satín </t>
  </si>
  <si>
    <t>Talla S Color Rojo</t>
  </si>
  <si>
    <t>BLETTA8</t>
  </si>
  <si>
    <t>Body strapless (Nuevo)</t>
  </si>
  <si>
    <t>BLETTA9</t>
  </si>
  <si>
    <t>Short de talle bajo</t>
  </si>
  <si>
    <t>Talla S/M Color Fresa</t>
  </si>
  <si>
    <t>Roxy</t>
  </si>
  <si>
    <t>BLETTA10</t>
  </si>
  <si>
    <t>Vestido rojo a media pierna con cinturón</t>
  </si>
  <si>
    <t>BLETTA11</t>
  </si>
  <si>
    <t>Bermuda denim curvy</t>
  </si>
  <si>
    <t>Talla M Color Negro</t>
  </si>
  <si>
    <t>BLETTA12</t>
  </si>
  <si>
    <t>Solera de manga corta</t>
  </si>
  <si>
    <t>Talla S Color Blanco</t>
  </si>
  <si>
    <t>BLETTA13</t>
  </si>
  <si>
    <t>Vestido mangas de vuelo</t>
  </si>
  <si>
    <t>BLETTA14</t>
  </si>
  <si>
    <t>Mono Camisero de rayas (Nuevo)</t>
  </si>
  <si>
    <t>BLETTA15</t>
  </si>
  <si>
    <t>Falda Lentejuelas (Nuevo)</t>
  </si>
  <si>
    <t>Talla S Color Rosa</t>
  </si>
  <si>
    <t>BLETTA16</t>
  </si>
  <si>
    <t>Bermuda denim SHEIN</t>
  </si>
  <si>
    <t>Talla S/M Color Blanco</t>
  </si>
  <si>
    <t>BLETTA17</t>
  </si>
  <si>
    <t>Bermuda denim H&amp;M</t>
  </si>
  <si>
    <t>Talla XS Color Blanco Marca H&amp;M</t>
  </si>
  <si>
    <t>BLETTA18</t>
  </si>
  <si>
    <t>Short estampado</t>
  </si>
  <si>
    <t>Talla S Color Azul Marca GAP</t>
  </si>
  <si>
    <t>GAP</t>
  </si>
  <si>
    <t>BLETTA19</t>
  </si>
  <si>
    <t>Blusa de picos (Nuevo)</t>
  </si>
  <si>
    <t>BLETTA20</t>
  </si>
  <si>
    <t>Blusa manga 3/4</t>
  </si>
  <si>
    <t>Talla S Color Fresa</t>
  </si>
  <si>
    <t>BLETTA21</t>
  </si>
  <si>
    <t>Pantalón corto estampado (Nuevo)</t>
  </si>
  <si>
    <t>Talla L Color Azul</t>
  </si>
  <si>
    <t>BLETTA22</t>
  </si>
  <si>
    <t>Blusa corta de espalda escotada</t>
  </si>
  <si>
    <t>Talla M Color Rojo</t>
  </si>
  <si>
    <t>BLETTA23</t>
  </si>
  <si>
    <t>Falda ajustada de zíper</t>
  </si>
  <si>
    <t>Talla S Color Rojo Marca Bershka</t>
  </si>
  <si>
    <t>BDANIELA1</t>
  </si>
  <si>
    <t>Jogger afelpado de talle alto (Nuevo)</t>
  </si>
  <si>
    <t>Talla L Color Negro</t>
  </si>
  <si>
    <t>BDANIELA2</t>
  </si>
  <si>
    <t>partes de abajo</t>
  </si>
  <si>
    <t xml:space="preserve">Jogger afelpado de talle alto </t>
  </si>
  <si>
    <t>BDANIELA3</t>
  </si>
  <si>
    <t>Talla L Color Chantillí Marca SHEIN</t>
  </si>
  <si>
    <t>BKAREN1</t>
  </si>
  <si>
    <t>Blusa bajo con bordados</t>
  </si>
  <si>
    <t>Talla S Color Rojo_Intenso</t>
  </si>
  <si>
    <t>BKAREN2</t>
  </si>
  <si>
    <t>Blusa de bolas cuello con lazo</t>
  </si>
  <si>
    <t>Talla XS Color Azul_y_blanco Marca MANGO</t>
  </si>
  <si>
    <t>MANGO</t>
  </si>
  <si>
    <t>BKAREN3</t>
  </si>
  <si>
    <t>Blusa corta de manga 3/4</t>
  </si>
  <si>
    <t>BKAREN4</t>
  </si>
  <si>
    <t>Blusa bordada de cuello healter</t>
  </si>
  <si>
    <t>Talla S Color Albaricoque</t>
  </si>
  <si>
    <t>Monteau</t>
  </si>
  <si>
    <t>BKAREN5</t>
  </si>
  <si>
    <t xml:space="preserve">Blusa de manga corta </t>
  </si>
  <si>
    <t>Talla S Color Amarillo</t>
  </si>
  <si>
    <t>BKAREN6</t>
  </si>
  <si>
    <t>Blusa estampada geométrica</t>
  </si>
  <si>
    <t>BKAREN7</t>
  </si>
  <si>
    <t>Blusa floreada con bajo bordado</t>
  </si>
  <si>
    <t>BKAREN8</t>
  </si>
  <si>
    <t>Blusa naranja abombada</t>
  </si>
  <si>
    <t>Talla S Color Naranja</t>
  </si>
  <si>
    <t>BKAREN9</t>
  </si>
  <si>
    <t>Blusa blanca mangas en contraste</t>
  </si>
  <si>
    <t>Talla S Color Blanco Marca SHEIN</t>
  </si>
  <si>
    <t>BKAREN10</t>
  </si>
  <si>
    <t>Blusa negra mangas de vuelo</t>
  </si>
  <si>
    <t>Talla S Color Negro Marca VERTICHE</t>
  </si>
  <si>
    <t>VERTICHE</t>
  </si>
  <si>
    <t>BKAREN11</t>
  </si>
  <si>
    <t>Conjunto Playera y short bikers (devolución)</t>
  </si>
  <si>
    <t>Talla S Color Negro Marca SHEIN</t>
  </si>
  <si>
    <t>BU06831</t>
  </si>
  <si>
    <t>Pantalón Blanco de pierna ancha</t>
  </si>
  <si>
    <t>BU06832</t>
  </si>
  <si>
    <t xml:space="preserve"> Short de media pierna</t>
  </si>
  <si>
    <t>Talla S Color Baby_Blue</t>
  </si>
  <si>
    <t>BU06833</t>
  </si>
  <si>
    <t>Jean Skinny costura en contraste</t>
  </si>
  <si>
    <t>Talla 32 Color Blanco_Crema</t>
  </si>
  <si>
    <t>BU06834</t>
  </si>
  <si>
    <t>Jean Skinny floreado</t>
  </si>
  <si>
    <t>Talla XS Marca ONLY</t>
  </si>
  <si>
    <t>ONLY</t>
  </si>
  <si>
    <t>BU06835</t>
  </si>
  <si>
    <t>Jean corte mom de remaches finos</t>
  </si>
  <si>
    <t>BU06836</t>
  </si>
  <si>
    <t xml:space="preserve">Jean con doblez estampado </t>
  </si>
  <si>
    <t>BU06837</t>
  </si>
  <si>
    <t xml:space="preserve">Jean skinny de corte bajo </t>
  </si>
  <si>
    <t>BU06838</t>
  </si>
  <si>
    <t>Jean Oscuro desteñido</t>
  </si>
  <si>
    <t>Talla S Marca ONLY</t>
  </si>
  <si>
    <t>BLETTA46</t>
  </si>
  <si>
    <t>Jean corte ancho de bajo descosido</t>
  </si>
  <si>
    <t>BLETTA47</t>
  </si>
  <si>
    <t xml:space="preserve">Jean skinny corto </t>
  </si>
  <si>
    <t>BLETTA48</t>
  </si>
  <si>
    <t>Falda de vuelos con zíper</t>
  </si>
  <si>
    <t>BU07192</t>
  </si>
  <si>
    <t>Botín de punta cuadrada y zíper</t>
  </si>
  <si>
    <t>BU068181</t>
  </si>
  <si>
    <t>BU068182</t>
  </si>
  <si>
    <t>Tops /curvy</t>
  </si>
  <si>
    <t>Top rosa acanalado</t>
  </si>
  <si>
    <t>Talla XL Color Rosa</t>
  </si>
  <si>
    <t>BU068183</t>
  </si>
  <si>
    <t>hacer foto</t>
  </si>
  <si>
    <t>Body traslúcido floreado</t>
  </si>
  <si>
    <t>BU068184</t>
  </si>
  <si>
    <t>Corset negro elegante de encaje</t>
  </si>
  <si>
    <t>BU068185</t>
  </si>
  <si>
    <t>BU07351</t>
  </si>
  <si>
    <t>BU07352</t>
  </si>
  <si>
    <t>Vestido Ajustado estilo pullover</t>
  </si>
  <si>
    <t>BU07353</t>
  </si>
  <si>
    <t>Vestido Rojo de botones</t>
  </si>
  <si>
    <t>BU05781</t>
  </si>
  <si>
    <t>BU06691</t>
  </si>
  <si>
    <t>BU06692</t>
  </si>
  <si>
    <t>Fashion TOTE bag tamaño de gran capacidad</t>
  </si>
  <si>
    <t>Talla Grande</t>
  </si>
  <si>
    <t>CompraTemu16042024</t>
  </si>
  <si>
    <t>BU06693</t>
  </si>
  <si>
    <t>bolsos /nuevo /accesorios</t>
  </si>
  <si>
    <t xml:space="preserve">The Cat TOTE bag tamaño de Gran Capacidad </t>
  </si>
  <si>
    <t>CompraTemu16042025</t>
  </si>
  <si>
    <t>BU06694</t>
  </si>
  <si>
    <t>Flor TOTE fashion bag</t>
  </si>
  <si>
    <t>CompraTemu16042026</t>
  </si>
  <si>
    <t>BU06695</t>
  </si>
  <si>
    <t>vestidos /nuevo</t>
  </si>
  <si>
    <t>Vestido Estampado floral de moda</t>
  </si>
  <si>
    <t>CompraTemu16042027</t>
  </si>
  <si>
    <t>BU06696</t>
  </si>
  <si>
    <t>CompraTemu16042028</t>
  </si>
  <si>
    <t>BU06697</t>
  </si>
  <si>
    <t>Set de traje de baño elegante 2 piezas con adorno en forma de V</t>
  </si>
  <si>
    <t>CompraTemu16042029</t>
  </si>
  <si>
    <t>BU06698</t>
  </si>
  <si>
    <t>Trajes de baño /nuevo</t>
  </si>
  <si>
    <t>CompraTemu16042030</t>
  </si>
  <si>
    <t>BU06699</t>
  </si>
  <si>
    <t>Set de traje de baño 3 piezas Azul metalizado</t>
  </si>
  <si>
    <t>CompraTemu16042031</t>
  </si>
  <si>
    <t>BU06700</t>
  </si>
  <si>
    <t>Conjuntos /nuevo</t>
  </si>
  <si>
    <t xml:space="preserve">Set Chic de conjunto de 2 piezas </t>
  </si>
  <si>
    <t>CompraTemu16042032</t>
  </si>
  <si>
    <t>BU067012</t>
  </si>
  <si>
    <t>Partes-de-abajo /Curvy /nuevo</t>
  </si>
  <si>
    <t>Falda Bohemia de mezclilla de cintura alta con detalles de botón</t>
  </si>
  <si>
    <t>Talla XL-12</t>
  </si>
  <si>
    <t>CompraTemu16042033</t>
  </si>
  <si>
    <t>BU06702</t>
  </si>
  <si>
    <t>Talla M_6</t>
  </si>
  <si>
    <t>CompraTemu16042034</t>
  </si>
  <si>
    <t>BU06703</t>
  </si>
  <si>
    <t>Talla S-4</t>
  </si>
  <si>
    <t>CompraTemu16042035</t>
  </si>
  <si>
    <t>BU06704</t>
  </si>
  <si>
    <t>Set de 3 piezas de bikini con estampado floral</t>
  </si>
  <si>
    <t>CompraTemu16042036</t>
  </si>
  <si>
    <t>BU06705</t>
  </si>
  <si>
    <t>CompraTemu16042037</t>
  </si>
  <si>
    <t>BU06706</t>
  </si>
  <si>
    <t>CompraTemu16042038</t>
  </si>
  <si>
    <t>BU06707</t>
  </si>
  <si>
    <t>Set de bikini 3 piezas estampado navy</t>
  </si>
  <si>
    <t>CompraTemu16042039</t>
  </si>
  <si>
    <t>BU06708</t>
  </si>
  <si>
    <t>Set de bikini estampado de flor de 3 piezas de cintura alta</t>
  </si>
  <si>
    <t>CompraTemu16042040</t>
  </si>
  <si>
    <t>BU06709</t>
  </si>
  <si>
    <t>CompraTemu16042041</t>
  </si>
  <si>
    <t>BU06710</t>
  </si>
  <si>
    <t xml:space="preserve">Bañador en color sólido sexy-elegante </t>
  </si>
  <si>
    <t>CompraTemu16042042</t>
  </si>
  <si>
    <t>BU067112</t>
  </si>
  <si>
    <t>CompraTemu16042043</t>
  </si>
  <si>
    <t>BU06712</t>
  </si>
  <si>
    <t>CompraTemu16042044</t>
  </si>
  <si>
    <t>BU06713</t>
  </si>
  <si>
    <t>Bañador clásico cuello V</t>
  </si>
  <si>
    <t>CompraTemu16042045</t>
  </si>
  <si>
    <t>BU06714</t>
  </si>
  <si>
    <t>CompraTemu16042046</t>
  </si>
  <si>
    <t>BU06715</t>
  </si>
  <si>
    <t>CompraTemu16042047</t>
  </si>
  <si>
    <t>BU06716</t>
  </si>
  <si>
    <t>Set de bikini 2 piezas estampado de colores con adorno de aro</t>
  </si>
  <si>
    <t>CompraTemu16042048</t>
  </si>
  <si>
    <t>BU06717</t>
  </si>
  <si>
    <t>Bikini sexy de pierna alta en tendencia</t>
  </si>
  <si>
    <t>CompraTemu16042049</t>
  </si>
  <si>
    <t>BU06718</t>
  </si>
  <si>
    <t>CompraTemu16042050</t>
  </si>
  <si>
    <t>BU06719</t>
  </si>
  <si>
    <t>CompraTemu16042051</t>
  </si>
  <si>
    <t>BU06720</t>
  </si>
  <si>
    <t>CompraTemu16042052</t>
  </si>
  <si>
    <t>BU067212</t>
  </si>
  <si>
    <t>Conjunto Playero color verde 2 piezas</t>
  </si>
  <si>
    <t>CompraTemu16042053</t>
  </si>
  <si>
    <t>BU06722</t>
  </si>
  <si>
    <t>CompraTemu16042054</t>
  </si>
  <si>
    <t>BU06723</t>
  </si>
  <si>
    <t>CompraTemu16042055</t>
  </si>
  <si>
    <t>BU06724</t>
  </si>
  <si>
    <t>Set de bikini floral con aro</t>
  </si>
  <si>
    <t>CompraTemu16042056</t>
  </si>
  <si>
    <t>BU06725</t>
  </si>
  <si>
    <t>CompraTemu16042057</t>
  </si>
  <si>
    <t>BU06726</t>
  </si>
  <si>
    <t>CompraTemu16042058</t>
  </si>
  <si>
    <t>BU06727</t>
  </si>
  <si>
    <t>Vestido Boho de cuello healter</t>
  </si>
  <si>
    <t>CompraTemu16042059</t>
  </si>
  <si>
    <t>BU06728</t>
  </si>
  <si>
    <t>Vestido floral verano con abertura</t>
  </si>
  <si>
    <t>CompraTemu16042060</t>
  </si>
  <si>
    <t>BU06729</t>
  </si>
  <si>
    <t xml:space="preserve">Bolso TOTE arcoíris trending </t>
  </si>
  <si>
    <t>CompraTemu16042061</t>
  </si>
  <si>
    <t>BU06730</t>
  </si>
  <si>
    <t>Vestido Resorte estampado bohemio</t>
  </si>
  <si>
    <t>CompraTemu16042062</t>
  </si>
  <si>
    <t>BU067312</t>
  </si>
  <si>
    <t>Bolso chic estilo verano</t>
  </si>
  <si>
    <t>Talla Pequeño</t>
  </si>
  <si>
    <t>CompraTemu16042063</t>
  </si>
  <si>
    <t>BU06732</t>
  </si>
  <si>
    <t>vestido Boho con tirantes de spaguetti y abertura</t>
  </si>
  <si>
    <t>CompraTemu16042064</t>
  </si>
  <si>
    <t>BU06733</t>
  </si>
  <si>
    <t>Set de bikini con cobertor de playa</t>
  </si>
  <si>
    <t>CompraTemu16042065</t>
  </si>
  <si>
    <t>BU06734</t>
  </si>
  <si>
    <t>Vestido sexy cruzado de escote profundo</t>
  </si>
  <si>
    <t>CompraTemu16042066</t>
  </si>
  <si>
    <t>BU06735</t>
  </si>
  <si>
    <t>Estiloso sombrero de protección solar playero</t>
  </si>
  <si>
    <t>CompraTemu16042067</t>
  </si>
  <si>
    <t>BU06736</t>
  </si>
  <si>
    <t>Vestido negro espalda cruzada</t>
  </si>
  <si>
    <t>CompraTemu16042068</t>
  </si>
  <si>
    <t>BU06737</t>
  </si>
  <si>
    <t>Vestido blanco espalda cruzada</t>
  </si>
  <si>
    <t>CompraTemu16042069</t>
  </si>
  <si>
    <t>BU06738</t>
  </si>
  <si>
    <t>Talla S_L</t>
  </si>
  <si>
    <t>CompraTemu16042070</t>
  </si>
  <si>
    <t>BU06739</t>
  </si>
  <si>
    <t>Bolso bohemio redondo de gran capacidad</t>
  </si>
  <si>
    <t>CompraTemu16042071</t>
  </si>
  <si>
    <t>BU06740</t>
  </si>
  <si>
    <t>CompraTemu16042072</t>
  </si>
  <si>
    <t>BU067412</t>
  </si>
  <si>
    <t>Set de bikini bandeau color sólido</t>
  </si>
  <si>
    <t>CompraTemu16042073</t>
  </si>
  <si>
    <t>BU06742</t>
  </si>
  <si>
    <t>Bikini curvy en bloque de color</t>
  </si>
  <si>
    <t>CompraTemu16042074</t>
  </si>
  <si>
    <t>BU06743</t>
  </si>
  <si>
    <t>Bikini de cintura alta estampado clásico</t>
  </si>
  <si>
    <t>CompraTemu16042075</t>
  </si>
  <si>
    <t>BU06744</t>
  </si>
  <si>
    <t>CompraTemu16042076</t>
  </si>
  <si>
    <t>BU06745</t>
  </si>
  <si>
    <t>CompraTemu16042077</t>
  </si>
  <si>
    <t>BU06746</t>
  </si>
  <si>
    <t>Vestido suelto en bordado inglés</t>
  </si>
  <si>
    <t>CompraTemu16042078</t>
  </si>
  <si>
    <t>BU06747</t>
  </si>
  <si>
    <t>CompraTemu16042079</t>
  </si>
  <si>
    <t>BU06748</t>
  </si>
  <si>
    <t>Partes-de-abajo /nuevo /curvy</t>
  </si>
  <si>
    <t>Pantalones playeros estampados</t>
  </si>
  <si>
    <t>CompraTemu16042080</t>
  </si>
  <si>
    <t>BU06749</t>
  </si>
  <si>
    <t>CompraTemu16042081</t>
  </si>
  <si>
    <t>BU06750</t>
  </si>
  <si>
    <t>CompraTemu16042082</t>
  </si>
  <si>
    <t>BU067510</t>
  </si>
  <si>
    <t>CompraTemu16042083</t>
  </si>
  <si>
    <t>BU06752</t>
  </si>
  <si>
    <t>Bolso shopper flores pequeñas coloridas</t>
  </si>
  <si>
    <t>CompraTemu16042084</t>
  </si>
  <si>
    <t>BU06753</t>
  </si>
  <si>
    <t>Bolso shopper flores pequeñas rosadas</t>
  </si>
  <si>
    <t>CompraTemu16042085</t>
  </si>
  <si>
    <t>BU06754</t>
  </si>
  <si>
    <t>Bolso de mano multipropósito de lona unisex</t>
  </si>
  <si>
    <t>CompraTemu16042086</t>
  </si>
  <si>
    <t>BU06755</t>
  </si>
  <si>
    <t>Bolso pequeño estampado de mariposas</t>
  </si>
  <si>
    <t>CompraTemu16042087</t>
  </si>
  <si>
    <t>BU06756</t>
  </si>
  <si>
    <t>Bolso de lienzo estampado de corazón</t>
  </si>
  <si>
    <t>CompraTemu16042088</t>
  </si>
  <si>
    <t>BU06757</t>
  </si>
  <si>
    <t>Bolso de lona en bloque de color</t>
  </si>
  <si>
    <t>CompraTemu16042089</t>
  </si>
  <si>
    <t>BU06758</t>
  </si>
  <si>
    <t>Maxi vestido de cuello healter de Lunares</t>
  </si>
  <si>
    <t>CompraTemu16042090</t>
  </si>
  <si>
    <t>BU06759</t>
  </si>
  <si>
    <t>Set de bikini Vacaciones en bloque de color</t>
  </si>
  <si>
    <t>CompraTemu16042091</t>
  </si>
  <si>
    <t>BU06760</t>
  </si>
  <si>
    <t>Pantalones sueltos estampado de plantas</t>
  </si>
  <si>
    <t>CompraTemu16042092</t>
  </si>
  <si>
    <t>BU067610</t>
  </si>
  <si>
    <t>Vestido estampado con abertura y ajuste en cintura</t>
  </si>
  <si>
    <t>CompraTemu16042093</t>
  </si>
  <si>
    <t>BU06762</t>
  </si>
  <si>
    <t>Bikini atado a los lados con estampado de cerezas</t>
  </si>
  <si>
    <t>CompraTemu16042094</t>
  </si>
  <si>
    <t>BU06763</t>
  </si>
  <si>
    <t>CompraTemu16042095</t>
  </si>
  <si>
    <t>BU06764</t>
  </si>
  <si>
    <t>CompraTemu16042096</t>
  </si>
  <si>
    <t>BU06765</t>
  </si>
  <si>
    <t>Blusa Vacaciones con lazo delantero</t>
  </si>
  <si>
    <t>CompraTemu16042097</t>
  </si>
  <si>
    <t>BU06766</t>
  </si>
  <si>
    <t>CompraTemu16042098</t>
  </si>
  <si>
    <t>BU06767</t>
  </si>
  <si>
    <t>CompraTemu16042099</t>
  </si>
  <si>
    <t>BU06768</t>
  </si>
  <si>
    <t>vestidos /curvy /ofertas</t>
  </si>
  <si>
    <t>Vestido color block  bohemio</t>
  </si>
  <si>
    <t>CompraTemu16042100</t>
  </si>
  <si>
    <t>BU06769</t>
  </si>
  <si>
    <t>Vestido color block de bajo asimétrico</t>
  </si>
  <si>
    <t>CompraTemu16042101</t>
  </si>
  <si>
    <t>BU06770</t>
  </si>
  <si>
    <t>Pantalón palazzo estiloso</t>
  </si>
  <si>
    <t>CompraTemu16042102</t>
  </si>
  <si>
    <t>BU067712</t>
  </si>
  <si>
    <t>CompraTemu16042103</t>
  </si>
  <si>
    <t>BU06772</t>
  </si>
  <si>
    <t>CompraTemu16042104</t>
  </si>
  <si>
    <t>BU06773</t>
  </si>
  <si>
    <t>CompraTemu16042105</t>
  </si>
  <si>
    <t>BU06774</t>
  </si>
  <si>
    <t>Trajes de baño /Bikinis /nuevo</t>
  </si>
  <si>
    <t>Set de 3 piezas bikini con estampado floral</t>
  </si>
  <si>
    <t>CompraTemu16042106</t>
  </si>
  <si>
    <t>BU06775</t>
  </si>
  <si>
    <t>Bikini bandeau de estilo floral</t>
  </si>
  <si>
    <t>CompraTemu16042107</t>
  </si>
  <si>
    <t>BU06776</t>
  </si>
  <si>
    <t>CompraTemu16042108</t>
  </si>
  <si>
    <t>BU06777</t>
  </si>
  <si>
    <t>CompraTemu16042109</t>
  </si>
  <si>
    <t>BU06778</t>
  </si>
  <si>
    <t>Set de 3 piezas bikini de moda estampado de hoja</t>
  </si>
  <si>
    <t>CompraTemu16042110</t>
  </si>
  <si>
    <t>BU06779</t>
  </si>
  <si>
    <t>CompraTemu16042111</t>
  </si>
  <si>
    <t>BU06780</t>
  </si>
  <si>
    <t>CompraTemu16042112</t>
  </si>
  <si>
    <t>LTA00001</t>
  </si>
  <si>
    <t>CompraTemu16042113</t>
  </si>
  <si>
    <t>LTA00002</t>
  </si>
  <si>
    <t>Espejuelos rectangulares unisex adorno de carey</t>
  </si>
  <si>
    <t>CompraTemu16042114</t>
  </si>
  <si>
    <t>LTA00003</t>
  </si>
  <si>
    <t>Espejuelos rectangulares unisex de color sólido</t>
  </si>
  <si>
    <t>CompraTemu16042115</t>
  </si>
  <si>
    <t>LTA00004</t>
  </si>
  <si>
    <t>Espejuelos rectangulares unisex</t>
  </si>
  <si>
    <t>CompraTemu16042116</t>
  </si>
  <si>
    <t>LTA00005</t>
  </si>
  <si>
    <t>Espejuelos estilo cat eye</t>
  </si>
  <si>
    <t>CompraTemu16042117</t>
  </si>
  <si>
    <t>LTA00006</t>
  </si>
  <si>
    <t>2 piezas bikini push up accesorio</t>
  </si>
  <si>
    <t>CompraTemu16042118</t>
  </si>
  <si>
    <t>LTA00007</t>
  </si>
  <si>
    <t>Sombrero de protección Verano fashionista</t>
  </si>
  <si>
    <t>CompraTemu16042119</t>
  </si>
  <si>
    <t>LTA00008</t>
  </si>
  <si>
    <t>Tops /curvy /nuevo</t>
  </si>
  <si>
    <t>Blusa atada al frente de estilo casual</t>
  </si>
  <si>
    <t>CompraTemu16042120</t>
  </si>
  <si>
    <t>LTA00009</t>
  </si>
  <si>
    <t>CompraTemu16042121</t>
  </si>
  <si>
    <t>LTA00010</t>
  </si>
  <si>
    <t>vestidos /nuevo /curvy</t>
  </si>
  <si>
    <t>Vestido elegante de botones en color sólido</t>
  </si>
  <si>
    <t>CompraTemu16042122</t>
  </si>
  <si>
    <t>LTA00011</t>
  </si>
  <si>
    <t>CompraTemu16042123</t>
  </si>
  <si>
    <t>LTA00012</t>
  </si>
  <si>
    <t>CompraTemu16042124</t>
  </si>
  <si>
    <t>LTA00013</t>
  </si>
  <si>
    <t>Espejuelos de sol vintage clásicas aviador</t>
  </si>
  <si>
    <t>CompraTemu16042125</t>
  </si>
  <si>
    <t>BU05061</t>
  </si>
  <si>
    <t>Sandalias cruzadas de plataforma F21</t>
  </si>
  <si>
    <t>BU04311</t>
  </si>
  <si>
    <t>BU04312</t>
  </si>
  <si>
    <t>BU04313</t>
  </si>
  <si>
    <t>calzado /hm</t>
  </si>
  <si>
    <t>Sandalias de tiras con tacón cuadrado Marca H&amp;M</t>
  </si>
  <si>
    <t>HM</t>
  </si>
  <si>
    <t>Compras HM Junio2024</t>
  </si>
  <si>
    <t>BU04314</t>
  </si>
  <si>
    <t>Sandalias de tiras con tacón cuadrado</t>
  </si>
  <si>
    <t>Compras HM Junio2025</t>
  </si>
  <si>
    <t>BU04315</t>
  </si>
  <si>
    <t>Compras HM Junio2026</t>
  </si>
  <si>
    <t>BU04316</t>
  </si>
  <si>
    <t>Compras HM Junio2027</t>
  </si>
  <si>
    <t>BU04317</t>
  </si>
  <si>
    <t>Compras HM Junio2028</t>
  </si>
  <si>
    <t>BU04318</t>
  </si>
  <si>
    <t>Pantalón de vestir de viscosa y lino (beige claro)</t>
  </si>
  <si>
    <t>Compras HM Junio2029</t>
  </si>
  <si>
    <t>BU04319</t>
  </si>
  <si>
    <t>Compras HM Junio2030</t>
  </si>
  <si>
    <t>BU04320</t>
  </si>
  <si>
    <t>Compras HM Junio2031</t>
  </si>
  <si>
    <t>BU04321</t>
  </si>
  <si>
    <t>Compras HM Junio2032</t>
  </si>
  <si>
    <t>BU04322</t>
  </si>
  <si>
    <t>Partes-de-abajo /Lo-nuevo-de-HM</t>
  </si>
  <si>
    <t>Compras HM Junio2033</t>
  </si>
  <si>
    <t>BU04323</t>
  </si>
  <si>
    <t>Camisa blanca en mezcla de algodón</t>
  </si>
  <si>
    <t>Compras HM Junio2034</t>
  </si>
  <si>
    <t>BU04324</t>
  </si>
  <si>
    <t>Compras HM Junio2035</t>
  </si>
  <si>
    <t>BU04325</t>
  </si>
  <si>
    <t>Compras HM Junio2036</t>
  </si>
  <si>
    <t>BU04326</t>
  </si>
  <si>
    <t>Pantalón ancho con cordón ajustable</t>
  </si>
  <si>
    <t>Compras HM Junio2037</t>
  </si>
  <si>
    <t>BU04327</t>
  </si>
  <si>
    <t>Compras HM Junio2038</t>
  </si>
  <si>
    <t>BU04328</t>
  </si>
  <si>
    <t>Compras HM Junio2039</t>
  </si>
  <si>
    <t>BU04329</t>
  </si>
  <si>
    <t>Compras HM Junio2040</t>
  </si>
  <si>
    <t>BU04330</t>
  </si>
  <si>
    <t>Compras HM Junio2041</t>
  </si>
  <si>
    <t>BU04331</t>
  </si>
  <si>
    <t>Pantalón cigarrette ajustado elegante</t>
  </si>
  <si>
    <t>Compras HM Junio2042</t>
  </si>
  <si>
    <t>BU04332</t>
  </si>
  <si>
    <t>Compras HM Junio2043</t>
  </si>
  <si>
    <t>BU04333</t>
  </si>
  <si>
    <t>Pantalón de vestir de viscosa y lino negro</t>
  </si>
  <si>
    <t>Compras HM Junio2044</t>
  </si>
  <si>
    <t>BU04334</t>
  </si>
  <si>
    <t>Compras HM Junio2045</t>
  </si>
  <si>
    <t>BU04335</t>
  </si>
  <si>
    <t>Compras HM Junio2046</t>
  </si>
  <si>
    <t>BU04338</t>
  </si>
  <si>
    <t>Sandalias carmelitas de moda con correa de velcro</t>
  </si>
  <si>
    <t>Talla 36_37_38</t>
  </si>
  <si>
    <t>PLT</t>
  </si>
  <si>
    <t>Compra calzado PLT USA</t>
  </si>
  <si>
    <t>BU04339</t>
  </si>
  <si>
    <t>Talla 36_38</t>
  </si>
  <si>
    <t>BU043391</t>
  </si>
  <si>
    <t>Sandalias prácticas Chunky Negras</t>
  </si>
  <si>
    <t>BU04340</t>
  </si>
  <si>
    <t>BU04341</t>
  </si>
  <si>
    <t>BU04342</t>
  </si>
  <si>
    <t>BU04346</t>
  </si>
  <si>
    <t>Sneakers chunky blancos</t>
  </si>
  <si>
    <t>BU04347</t>
  </si>
  <si>
    <t>BU04348</t>
  </si>
  <si>
    <t>Sandalias de plataforma en bloque de color</t>
  </si>
  <si>
    <t>BU04349</t>
  </si>
  <si>
    <t>BU04350</t>
  </si>
  <si>
    <t>BU04351</t>
  </si>
  <si>
    <t>BU04352</t>
  </si>
  <si>
    <t>Sandalias de tacón de punta fina con diseño crochet</t>
  </si>
  <si>
    <t>BU04353</t>
  </si>
  <si>
    <t>Sandalias strappy de plataforma color beige</t>
  </si>
  <si>
    <t>BU04354</t>
  </si>
  <si>
    <t>BU04355</t>
  </si>
  <si>
    <t>Sandalias de plataforma de tacón grueso</t>
  </si>
  <si>
    <t>BU04356</t>
  </si>
  <si>
    <t>Sandalias espadriles nude</t>
  </si>
  <si>
    <t>BU04357</t>
  </si>
  <si>
    <t>BU04358</t>
  </si>
  <si>
    <t>Tacones de punta fina con flor de piedras</t>
  </si>
  <si>
    <t>BU04359</t>
  </si>
  <si>
    <t>Sandalias finas strappy rojas de tacón</t>
  </si>
  <si>
    <t>BU04360</t>
  </si>
  <si>
    <t>BU04361</t>
  </si>
  <si>
    <t>Sandalias de tacón de punta fina con correa al tobillo</t>
  </si>
  <si>
    <t>BU04362</t>
  </si>
  <si>
    <t>Zapatos elegantes de punta fina negros</t>
  </si>
  <si>
    <t>BU04363</t>
  </si>
  <si>
    <t>Sandalias prácticas chunky blanco crema</t>
  </si>
  <si>
    <t>BU04364</t>
  </si>
  <si>
    <t>BU04365</t>
  </si>
  <si>
    <t>BU04366</t>
  </si>
  <si>
    <t>BU04367</t>
  </si>
  <si>
    <t>Blusa blanca de lazos y manga abullonada</t>
  </si>
  <si>
    <t>BU04368</t>
  </si>
  <si>
    <t>BU04369</t>
  </si>
  <si>
    <t>BU04370</t>
  </si>
  <si>
    <t>Bolso bandolera de rafia rígido de tamaño pequeño</t>
  </si>
  <si>
    <t>Tamaño Pequeño</t>
  </si>
  <si>
    <t>BU04371</t>
  </si>
  <si>
    <t xml:space="preserve">Bolso tejido redondo de gran capidad </t>
  </si>
  <si>
    <t>BU04372</t>
  </si>
  <si>
    <t>Bolso de playa con diseño de rayas tamaño mediano</t>
  </si>
  <si>
    <t>BU04373</t>
  </si>
  <si>
    <t>Camisa elegante con lazo grande</t>
  </si>
  <si>
    <t>BU04374</t>
  </si>
  <si>
    <t>BU04375</t>
  </si>
  <si>
    <t>BU04376</t>
  </si>
  <si>
    <t>Falda Pantalón de mezclilla</t>
  </si>
  <si>
    <t>BU04377</t>
  </si>
  <si>
    <t>BU04378</t>
  </si>
  <si>
    <t>BU04379</t>
  </si>
  <si>
    <t>Camisa elegante de listas</t>
  </si>
  <si>
    <t>BU04380</t>
  </si>
  <si>
    <t>BU04381</t>
  </si>
  <si>
    <t>BU04382</t>
  </si>
  <si>
    <t>Bolso pequeño estilo old money</t>
  </si>
  <si>
    <t>BU04383</t>
  </si>
  <si>
    <t>Bolso media luna de rafia de tamaño medio</t>
  </si>
  <si>
    <t>BU04384</t>
  </si>
  <si>
    <t>Pantalones cortos de mezclilla de moda</t>
  </si>
  <si>
    <t>BU04385</t>
  </si>
  <si>
    <t>BU04386</t>
  </si>
  <si>
    <t>BU04387</t>
  </si>
  <si>
    <t>Cinturón fino de hebilla de estilo elegante negro</t>
  </si>
  <si>
    <t>BU04388</t>
  </si>
  <si>
    <t>Cinturón fino de hebilla de estilo elegante carmelita</t>
  </si>
  <si>
    <t>BU04389</t>
  </si>
  <si>
    <t>Blusa de lazos color negro</t>
  </si>
  <si>
    <t>BU04390</t>
  </si>
  <si>
    <t>BU04391</t>
  </si>
  <si>
    <t>BU04392</t>
  </si>
  <si>
    <t>Pullover corto unicolor carmelita</t>
  </si>
  <si>
    <t>BU04393</t>
  </si>
  <si>
    <t>BU04394</t>
  </si>
  <si>
    <t>BU04395</t>
  </si>
  <si>
    <t>Pullover corto unicolor blanco</t>
  </si>
  <si>
    <t>BU04396</t>
  </si>
  <si>
    <t>BU04397</t>
  </si>
  <si>
    <t>BU043971</t>
  </si>
  <si>
    <t>Pullover corto unicolor beige</t>
  </si>
  <si>
    <t>BU043972</t>
  </si>
  <si>
    <t>BU04398</t>
  </si>
  <si>
    <t>BU04399</t>
  </si>
  <si>
    <t>Pullover largo unicolor tela traslúcida negro</t>
  </si>
  <si>
    <t>BU04400</t>
  </si>
  <si>
    <t>BU04401</t>
  </si>
  <si>
    <t>BU044021</t>
  </si>
  <si>
    <t>Pullover largo unicolor tela traslúcida terracota</t>
  </si>
  <si>
    <t>BU0440221</t>
  </si>
  <si>
    <t>BU0440232</t>
  </si>
  <si>
    <t>BU0440241</t>
  </si>
  <si>
    <t>Pullover largo unicolor tela traslúcida beige</t>
  </si>
  <si>
    <t>BU0440242</t>
  </si>
  <si>
    <t>BU0440243</t>
  </si>
  <si>
    <t>Pullover largo unicolor tela traslúcida blanco</t>
  </si>
  <si>
    <t>BU0440244</t>
  </si>
  <si>
    <t>BU0440245</t>
  </si>
  <si>
    <t>BU04402</t>
  </si>
  <si>
    <t>BU04403</t>
  </si>
  <si>
    <t>Maxi vestido de algodón cruzado con estampado floral vibrante</t>
  </si>
  <si>
    <t>BU04404</t>
  </si>
  <si>
    <t>Sombrero Visera de Verano</t>
  </si>
  <si>
    <t>Talla Ajustable</t>
  </si>
  <si>
    <t>BU04405</t>
  </si>
  <si>
    <t xml:space="preserve">Top corto de lazo delantero </t>
  </si>
  <si>
    <t>BU04406</t>
  </si>
  <si>
    <t>BU04407</t>
  </si>
  <si>
    <t>BU04408</t>
  </si>
  <si>
    <t>Vestidos /nuevo</t>
  </si>
  <si>
    <t>Vestido de espagueti con frente recortado y abertura</t>
  </si>
  <si>
    <t>BU04409</t>
  </si>
  <si>
    <t>BU04410</t>
  </si>
  <si>
    <t>Camisetas sin mangas de diseño crochet</t>
  </si>
  <si>
    <t>BU04411</t>
  </si>
  <si>
    <t>Vestido Largo con cinturón fruncido</t>
  </si>
  <si>
    <t>BU04412</t>
  </si>
  <si>
    <t>BU04413</t>
  </si>
  <si>
    <t>BU04414</t>
  </si>
  <si>
    <t>BU04415</t>
  </si>
  <si>
    <t>Vestido Camisola con estampado de flores y tirantes cruzados</t>
  </si>
  <si>
    <t>BU04416</t>
  </si>
  <si>
    <t>BU04417</t>
  </si>
  <si>
    <t>BU04418</t>
  </si>
  <si>
    <t>Vestido largo con cuello Healter</t>
  </si>
  <si>
    <t>BU04419</t>
  </si>
  <si>
    <t>BU04420</t>
  </si>
  <si>
    <t>BU04421</t>
  </si>
  <si>
    <t>BU04422</t>
  </si>
  <si>
    <t>BU04423</t>
  </si>
  <si>
    <t>Vestido crochet Playero espalda descubierta</t>
  </si>
  <si>
    <t>BU04424</t>
  </si>
  <si>
    <t>BU04425</t>
  </si>
  <si>
    <t>BU04426</t>
  </si>
  <si>
    <t>Vestido crochet playero de tirantes</t>
  </si>
  <si>
    <t>BU04427</t>
  </si>
  <si>
    <t>Falda larga de visillo con maxi estampado de flor</t>
  </si>
  <si>
    <t>BU04428</t>
  </si>
  <si>
    <t>Falda maxi blanca de moda</t>
  </si>
  <si>
    <t>BU04429</t>
  </si>
  <si>
    <t>Vestido corte A de bolsillos</t>
  </si>
  <si>
    <t>BU04430</t>
  </si>
  <si>
    <t>Bolso verano de rafia en bloque de color</t>
  </si>
  <si>
    <t>BU04431</t>
  </si>
  <si>
    <t>Conjunto falda y top</t>
  </si>
  <si>
    <t>BU04432</t>
  </si>
  <si>
    <t>Vestido crema ajustado de hombro torcido</t>
  </si>
  <si>
    <t>BU04433</t>
  </si>
  <si>
    <t>BU04434</t>
  </si>
  <si>
    <t>BU04435</t>
  </si>
  <si>
    <t>BU04436</t>
  </si>
  <si>
    <t>Falda Maxi plisada favorecedora</t>
  </si>
  <si>
    <t>BU04437</t>
  </si>
  <si>
    <t>Falda Midi Elegante Ajustada</t>
  </si>
  <si>
    <t>BU04439</t>
  </si>
  <si>
    <t>Vestido Maxi Negro Ajustado Elegante de hombro atado</t>
  </si>
  <si>
    <t>BU04440</t>
  </si>
  <si>
    <t>Vestido Blanco en Bordado Inglés</t>
  </si>
  <si>
    <t>BU04441</t>
  </si>
  <si>
    <t>BU04442</t>
  </si>
  <si>
    <t>Vestido de tirantes atados y espalda corrida</t>
  </si>
  <si>
    <t>BU04443</t>
  </si>
  <si>
    <t>vestidos /nuevo /hm</t>
  </si>
  <si>
    <t>Vestido lila cruzado H&amp;M</t>
  </si>
  <si>
    <t>BU04444</t>
  </si>
  <si>
    <t>Vestidos /Curvy /hm</t>
  </si>
  <si>
    <t>BU04445</t>
  </si>
  <si>
    <t>Vestido verde cruzado H&amp;M</t>
  </si>
  <si>
    <t>BU04446</t>
  </si>
  <si>
    <t xml:space="preserve">vestidos /nuevo </t>
  </si>
  <si>
    <t>BU04447</t>
  </si>
  <si>
    <t>Partes-de-abajo /nuevo /hm</t>
  </si>
  <si>
    <t>Pantalón fuccia ajustado de tela H&amp;M</t>
  </si>
  <si>
    <t>BU04448</t>
  </si>
  <si>
    <t>Pantalón Caqui de Pierna Ancha De Talle Alto y Bolsillos H&amp;M</t>
  </si>
  <si>
    <t>BU04449</t>
  </si>
  <si>
    <t>Jean de talle regular de bajo descosido y pierna ancha H&amp;M</t>
  </si>
  <si>
    <t>Talla 4_S</t>
  </si>
  <si>
    <t>BU04450</t>
  </si>
  <si>
    <t>Tops /nuevo /hm</t>
  </si>
  <si>
    <t>Top de punto y cuello elegante negro H&amp;M</t>
  </si>
  <si>
    <t>BU04451</t>
  </si>
  <si>
    <t>BU04452</t>
  </si>
  <si>
    <t>BU04453</t>
  </si>
  <si>
    <t>Top de punto y cuello elegante blanco H&amp;M</t>
  </si>
  <si>
    <t>BU04454</t>
  </si>
  <si>
    <t>BU04455</t>
  </si>
  <si>
    <t>Camisa Oversize en mezcla de lino H&amp;M</t>
  </si>
  <si>
    <t>BU04456</t>
  </si>
  <si>
    <t>Camisa Oversize blanca en mezcla de lino H&amp;M (encargo mónica)</t>
  </si>
  <si>
    <t>BU04457</t>
  </si>
  <si>
    <t>Camisa beige en mezcla de lino</t>
  </si>
  <si>
    <t>BU04458</t>
  </si>
  <si>
    <t>Cinto de piel (encargo mónica)</t>
  </si>
  <si>
    <t>BU04459</t>
  </si>
  <si>
    <t>Pantalón de pierna ancha con estampado de moda H&amp;M</t>
  </si>
  <si>
    <t>BU04460</t>
  </si>
  <si>
    <t>Sandalias Pull&amp;Bear (encargo mónica)</t>
  </si>
  <si>
    <t>BU04461</t>
  </si>
  <si>
    <t>Sandalias de hebilla Pull&amp;Bear</t>
  </si>
  <si>
    <t>BU04462Marlen</t>
  </si>
  <si>
    <t>Pullover blanco de algodón PRIMARK</t>
  </si>
  <si>
    <t>BU04463Marlen</t>
  </si>
  <si>
    <t>BU04464Marlen</t>
  </si>
  <si>
    <t>Pullover negro acanalado de algodón PRIMARK</t>
  </si>
  <si>
    <t>BU04465Marlen</t>
  </si>
  <si>
    <t>Pullover mariposa multicolor algodón PRIMARK</t>
  </si>
  <si>
    <t>BU04466Marlen</t>
  </si>
  <si>
    <t>Pullover carmelita letrero de mariposa algodón PRIMARK</t>
  </si>
  <si>
    <t>BU04467Marlen</t>
  </si>
  <si>
    <t>Pullover morado catrina algodón</t>
  </si>
  <si>
    <t>BU04468Marlen</t>
  </si>
  <si>
    <t>Pullover Celeste algodón PRIMARK</t>
  </si>
  <si>
    <t>BU04469Marlen</t>
  </si>
  <si>
    <t>Pullover Love floreado algodón</t>
  </si>
  <si>
    <t>BU04462</t>
  </si>
  <si>
    <t>Traje de baño clásico en bloque de color de talle alto</t>
  </si>
  <si>
    <t>BU04463</t>
  </si>
  <si>
    <t>BU04464</t>
  </si>
  <si>
    <t>BU04465</t>
  </si>
  <si>
    <t>BU04466</t>
  </si>
  <si>
    <t>Camisa verde oversize (encargo)</t>
  </si>
  <si>
    <t>BU04467</t>
  </si>
  <si>
    <t>Top corto verde de tirantes (encargo)</t>
  </si>
  <si>
    <t>BU04468</t>
  </si>
  <si>
    <t>Top corto verde sin tirantes</t>
  </si>
  <si>
    <t>BU04469</t>
  </si>
  <si>
    <t>Camisa verde oversize</t>
  </si>
  <si>
    <t>BU04470</t>
  </si>
  <si>
    <t>Short blanco elegante de talle alto</t>
  </si>
  <si>
    <t>BU04471</t>
  </si>
  <si>
    <t>Short blanco de talle alto (encargo)</t>
  </si>
  <si>
    <t>BU04472</t>
  </si>
  <si>
    <t>Traje de baño clásico en bloque de color de talle alto (encargo)</t>
  </si>
  <si>
    <t>BU04473</t>
  </si>
  <si>
    <t>Set de Splash y crema de Victoria Secret (Original) Bare Vainilla</t>
  </si>
  <si>
    <t>BU04474</t>
  </si>
  <si>
    <t>Set de Splash y crema de Victoria Secret (Original) Aqua Kiss</t>
  </si>
  <si>
    <t>BU04475</t>
  </si>
  <si>
    <t>Set de Splash y crema de Victoria Secret (Original) Love Spell</t>
  </si>
  <si>
    <t>Piezas 2</t>
  </si>
  <si>
    <t>BU04476</t>
  </si>
  <si>
    <t>Set de Splash y crema de Victoria Secret (Original) Amber Romance</t>
  </si>
  <si>
    <t>BU044761</t>
  </si>
  <si>
    <t xml:space="preserve"> Splash de Victoria Secret (Original) Strawberries &amp; Champagne</t>
  </si>
  <si>
    <t>Pieza 1</t>
  </si>
  <si>
    <t>BU04477</t>
  </si>
  <si>
    <t xml:space="preserve"> Crema de Victoria Secret (Original) Strawberries &amp; Champagne</t>
  </si>
  <si>
    <t>BU04478</t>
  </si>
  <si>
    <t>Splash de Victoria Secret (Original) Pomegranate &amp; Lotus</t>
  </si>
  <si>
    <t>Piezas 1</t>
  </si>
  <si>
    <t>BU044791</t>
  </si>
  <si>
    <t>Crema de Victoria Secret (Original) Pomegranate &amp; Lotus</t>
  </si>
  <si>
    <t>BU04479</t>
  </si>
  <si>
    <t>Set de Splash y crema de Victoria Secret (Original) Midnigth Bloom</t>
  </si>
  <si>
    <t>BU043461</t>
  </si>
  <si>
    <t>BU043471</t>
  </si>
  <si>
    <t>BU043481</t>
  </si>
  <si>
    <t>BU043482</t>
  </si>
  <si>
    <t>Chaleco Healter color crema y botones coral H&amp;M</t>
  </si>
  <si>
    <t>BU043483</t>
  </si>
  <si>
    <t>hombres /hm</t>
  </si>
  <si>
    <t>Shorts Caquis Beige H&amp;M</t>
  </si>
  <si>
    <t>Talla 32_M</t>
  </si>
  <si>
    <t>BU043484</t>
  </si>
  <si>
    <t>Shorts Caquis Azul Marino H&amp;M</t>
  </si>
  <si>
    <t>BU043485</t>
  </si>
  <si>
    <t>Shorts Caquis Gris H&amp;M</t>
  </si>
  <si>
    <t>BU043486</t>
  </si>
  <si>
    <t>Sandalias de plataforma y tacón grueso color beige F21</t>
  </si>
  <si>
    <t>BU043487</t>
  </si>
  <si>
    <t>Vestido Lila (encargo)</t>
  </si>
  <si>
    <t>envío fransuas 6 Septiembre</t>
  </si>
  <si>
    <t>BU043488</t>
  </si>
  <si>
    <t>Traje de baño sexy de una sola pieza negro</t>
  </si>
  <si>
    <t>BU043489</t>
  </si>
  <si>
    <t>BU043490</t>
  </si>
  <si>
    <t>BU043491</t>
  </si>
  <si>
    <t>Vestido blanco playero (encargo Yilien)</t>
  </si>
  <si>
    <t>BU043492</t>
  </si>
  <si>
    <t>Sandalias planas de moda de punta cuadrada</t>
  </si>
  <si>
    <t>BU043493</t>
  </si>
  <si>
    <t>Sandalias planas de moda de punta cuadrada (encargo)</t>
  </si>
  <si>
    <t>Talla 42</t>
  </si>
  <si>
    <t>BU043494</t>
  </si>
  <si>
    <t>Conjunto de Traje de Baño sexy color rojo</t>
  </si>
  <si>
    <t>BU043495</t>
  </si>
  <si>
    <t>Set de traje de baño Tankini con cordón lateral color negro</t>
  </si>
  <si>
    <t>BU043496</t>
  </si>
  <si>
    <t>Yoga Sexy Set Deportivo con abertura trasera color Albaricoque</t>
  </si>
  <si>
    <t>BU043497</t>
  </si>
  <si>
    <t>Vestido Privé Unicolor Sin Mangas ajustado con pliegues color negro</t>
  </si>
  <si>
    <t>BU043498</t>
  </si>
  <si>
    <t>BU043499</t>
  </si>
  <si>
    <t>BU043500</t>
  </si>
  <si>
    <t xml:space="preserve">Maxi Vestido de corte holgado de cintura con ajuste con estampado de plantas </t>
  </si>
  <si>
    <t>BU043501</t>
  </si>
  <si>
    <t>BU043502</t>
  </si>
  <si>
    <t>BU043503</t>
  </si>
  <si>
    <t>Vestido azul encargo Yilien</t>
  </si>
  <si>
    <t>BU043504</t>
  </si>
  <si>
    <t>Vestido semiformal de hombros torcidos color naranja</t>
  </si>
  <si>
    <t>BU043505</t>
  </si>
  <si>
    <t>Set de bikini estilo europeo blanco en tendencia</t>
  </si>
  <si>
    <t>BU043506</t>
  </si>
  <si>
    <t>BU043507</t>
  </si>
  <si>
    <t>BU043508</t>
  </si>
  <si>
    <t>Set de bikini de estilo europeo de moda color Oliva</t>
  </si>
  <si>
    <t>BU043509</t>
  </si>
  <si>
    <t>BU043510</t>
  </si>
  <si>
    <t>BU043511</t>
  </si>
  <si>
    <t>Sandalias de plataforma de rafia natural</t>
  </si>
  <si>
    <t>Envío mami Septiembre</t>
  </si>
  <si>
    <t>BU043512</t>
  </si>
  <si>
    <t>BU043513</t>
  </si>
  <si>
    <t>BU043514</t>
  </si>
  <si>
    <t>BU043515</t>
  </si>
  <si>
    <t>Sandalias espadriles de saco nude atada al tobillo</t>
  </si>
  <si>
    <t>BU043516</t>
  </si>
  <si>
    <t>BU043517</t>
  </si>
  <si>
    <t>BU043518</t>
  </si>
  <si>
    <t>Sandalias naranjas espadriles de saco atadas con hebilla al tobillo</t>
  </si>
  <si>
    <t>BU043519</t>
  </si>
  <si>
    <t>BU043520</t>
  </si>
  <si>
    <t>BU043521</t>
  </si>
  <si>
    <t>Sandalias doradas de tiras anchas para toda ocasión</t>
  </si>
  <si>
    <t>BU043522</t>
  </si>
  <si>
    <t>BU043523</t>
  </si>
  <si>
    <t>Talla  39</t>
  </si>
  <si>
    <t>BU043524</t>
  </si>
  <si>
    <t>BU043525</t>
  </si>
  <si>
    <t>Sandalias cruzadas de rafia natural y suela negra</t>
  </si>
  <si>
    <t>BU043526</t>
  </si>
  <si>
    <t>BU043527</t>
  </si>
  <si>
    <t>Sandalias estilo chunky de suela gruesa en contraste de color</t>
  </si>
  <si>
    <t>BU043528</t>
  </si>
  <si>
    <t>BU043529</t>
  </si>
  <si>
    <t>BU043530</t>
  </si>
  <si>
    <t>BU043531</t>
  </si>
  <si>
    <t>BU043532</t>
  </si>
  <si>
    <t>Sandalias planas con adornos de aro y tiras al tobillo</t>
  </si>
  <si>
    <t>BU043533</t>
  </si>
  <si>
    <t>BU043534</t>
  </si>
  <si>
    <t>Sandalias espadriles de cuña de correas transparentes</t>
  </si>
  <si>
    <t>BU043535</t>
  </si>
  <si>
    <t>BU043536</t>
  </si>
  <si>
    <t>BU043537</t>
  </si>
  <si>
    <t>BU043538</t>
  </si>
  <si>
    <t>BU043539</t>
  </si>
  <si>
    <t>BU043540</t>
  </si>
  <si>
    <t>Pantalones cortos con dobladillo</t>
  </si>
  <si>
    <t>BU043541</t>
  </si>
  <si>
    <t>BU043542</t>
  </si>
  <si>
    <t>BU043543</t>
  </si>
  <si>
    <t>Bolso elegante de estilo sillín</t>
  </si>
  <si>
    <t>BU043544</t>
  </si>
  <si>
    <t>Bolso de ratán de Moda para vacaciones tamaño mediano con diseño de listas negras</t>
  </si>
  <si>
    <t>Tamaño Mediano</t>
  </si>
  <si>
    <t>BU043545</t>
  </si>
  <si>
    <t>Bolso minimalista de moda cuadrado con solapa rojo</t>
  </si>
  <si>
    <t>BU043546</t>
  </si>
  <si>
    <t>Bolso de diario ligero y casual de gran capacidad elegante de cocodrilo</t>
  </si>
  <si>
    <t>Tamaño Grande</t>
  </si>
  <si>
    <t>BU043547</t>
  </si>
  <si>
    <t>Bolso de playa en bloque de color tejido en algodón</t>
  </si>
  <si>
    <t>BU043548</t>
  </si>
  <si>
    <t>Bolso tejido redondo de gran capacidad Beis</t>
  </si>
  <si>
    <t>BU043549</t>
  </si>
  <si>
    <t>Bolso tejido redondo de gran capacidad Carmelita</t>
  </si>
  <si>
    <t>BU043550</t>
  </si>
  <si>
    <t>Bolso tejido redondo de gran capacidad Ojo Turco</t>
  </si>
  <si>
    <t>BU043551</t>
  </si>
  <si>
    <t xml:space="preserve">Traje de baño en bloque de color </t>
  </si>
  <si>
    <t>BU043552</t>
  </si>
  <si>
    <t xml:space="preserve">Vestidos /nuevo </t>
  </si>
  <si>
    <t>Vestido elegante de crochet de de cuello profundo y espalda cruzada</t>
  </si>
  <si>
    <t>BU043553</t>
  </si>
  <si>
    <t>BU043554</t>
  </si>
  <si>
    <t>BU043555</t>
  </si>
  <si>
    <t>BU043556</t>
  </si>
  <si>
    <t>Blusa casual delazos delanteros color negro</t>
  </si>
  <si>
    <t>BU043557</t>
  </si>
  <si>
    <t>BU043558</t>
  </si>
  <si>
    <t>Bolso de ratán unicolor con ribete negro</t>
  </si>
  <si>
    <t>BU043559</t>
  </si>
  <si>
    <t>partes-de-abajo /nuevo</t>
  </si>
  <si>
    <t>Pantalones largros rayados de moda de gran comodidad</t>
  </si>
  <si>
    <t>BU043560</t>
  </si>
  <si>
    <t>BU043561</t>
  </si>
  <si>
    <t>BU043562</t>
  </si>
  <si>
    <t>BU043563</t>
  </si>
  <si>
    <t>Blusa casual corta de lazos color blanco</t>
  </si>
  <si>
    <t>BU043564</t>
  </si>
  <si>
    <t>BU043565</t>
  </si>
  <si>
    <t>BU043566</t>
  </si>
  <si>
    <t>Blusa de manga abombada de lazo delantero de estampado de leopardo</t>
  </si>
  <si>
    <t>BU043567</t>
  </si>
  <si>
    <t>BU043568</t>
  </si>
  <si>
    <t>Bolso cuadrado tejido de rafia Tamaño grande Color Carmelita</t>
  </si>
  <si>
    <t>BU043569</t>
  </si>
  <si>
    <t>Vestido elegante de línea larga color negro de hombro atado</t>
  </si>
  <si>
    <t>BU043570</t>
  </si>
  <si>
    <t>BU043571</t>
  </si>
  <si>
    <t>BU043572</t>
  </si>
  <si>
    <t>Vestido de espalda descubierta de color sólido y tirantes de espagueti</t>
  </si>
  <si>
    <t>BU043573</t>
  </si>
  <si>
    <t>BU043574</t>
  </si>
  <si>
    <t>BU043575</t>
  </si>
  <si>
    <t>Blusa corta de mangas abombadas de lazos delanteros color rojo</t>
  </si>
  <si>
    <t>BU043576</t>
  </si>
  <si>
    <t>BU043577</t>
  </si>
  <si>
    <t>Vestido rojo elegante de cuello healter de tela satinada</t>
  </si>
  <si>
    <t>BU043578</t>
  </si>
  <si>
    <t>Traje de baño de una sola pieza unicolor</t>
  </si>
  <si>
    <t>BU043579</t>
  </si>
  <si>
    <t>Conjunto de bikini de manga larga con nudo delantero color vainilla</t>
  </si>
  <si>
    <t>BU043580</t>
  </si>
  <si>
    <t>BU043581</t>
  </si>
  <si>
    <t>BU043582</t>
  </si>
  <si>
    <t>Monos /nuevo</t>
  </si>
  <si>
    <t>Mono Sailor con botón delantero y cinturón naranja quemada</t>
  </si>
  <si>
    <t>BU043583</t>
  </si>
  <si>
    <t>BU043584</t>
  </si>
  <si>
    <t>BU043585</t>
  </si>
  <si>
    <t>BU043586</t>
  </si>
  <si>
    <t>Vestido floral bohemio de línea A de un hombro</t>
  </si>
  <si>
    <t>BU043587</t>
  </si>
  <si>
    <t>BU043588</t>
  </si>
  <si>
    <t>BU043589</t>
  </si>
  <si>
    <t>Vestido Maija de estilo fresco de verano Blanco</t>
  </si>
  <si>
    <t>BU043590</t>
  </si>
  <si>
    <t>BU043591</t>
  </si>
  <si>
    <t>Vestido Maija de estilo fresco de verano Negro</t>
  </si>
  <si>
    <t>BU043592</t>
  </si>
  <si>
    <t>BU043593</t>
  </si>
  <si>
    <t>BU043594</t>
  </si>
  <si>
    <t>BU043595</t>
  </si>
  <si>
    <t>lencería /nuevo</t>
  </si>
  <si>
    <t>Sujetador de gran confort antideslizante sin tirantes color negro</t>
  </si>
  <si>
    <t>BU043596</t>
  </si>
  <si>
    <t>BU0435961</t>
  </si>
  <si>
    <t>BU043597</t>
  </si>
  <si>
    <t>BU043598</t>
  </si>
  <si>
    <t>Sujetador de gran confort antideslizante sin tirantes color crema</t>
  </si>
  <si>
    <t>BU043599</t>
  </si>
  <si>
    <t>BU043600</t>
  </si>
  <si>
    <t>BU043601</t>
  </si>
  <si>
    <t>BU043602</t>
  </si>
  <si>
    <t>Sujetador confortable talla grande Color crema</t>
  </si>
  <si>
    <t>BU043603</t>
  </si>
  <si>
    <t>Sujetador confortable talla grande Color burdeos</t>
  </si>
  <si>
    <t>BU043604</t>
  </si>
  <si>
    <t>Sujetador confortable talla grande Color negro</t>
  </si>
  <si>
    <t>BU043605</t>
  </si>
  <si>
    <t>Chaleco de traje estilo blazer color negro</t>
  </si>
  <si>
    <t>BU043606</t>
  </si>
  <si>
    <t>BU043607</t>
  </si>
  <si>
    <t>BU043608</t>
  </si>
  <si>
    <t>BU043609</t>
  </si>
  <si>
    <t>Chaleco de traje estilo blazer color blanco</t>
  </si>
  <si>
    <t>BU043610</t>
  </si>
  <si>
    <t>BU043611</t>
  </si>
  <si>
    <t>BU043612</t>
  </si>
  <si>
    <t>BU043613</t>
  </si>
  <si>
    <t>Pullover encargo greter</t>
  </si>
  <si>
    <t>BU043614</t>
  </si>
  <si>
    <t>BU043615</t>
  </si>
  <si>
    <t>Camiseta ajustada de rayas sin mangas</t>
  </si>
  <si>
    <t>BU043616</t>
  </si>
  <si>
    <t>BU043617</t>
  </si>
  <si>
    <t>Jeans de talle alto y pierna ancha color azul claro</t>
  </si>
  <si>
    <t>BU043618</t>
  </si>
  <si>
    <t>BU043619</t>
  </si>
  <si>
    <t>BU043620</t>
  </si>
  <si>
    <t>BU043621</t>
  </si>
  <si>
    <t>BU043622</t>
  </si>
  <si>
    <t>Sandalias cómodas para mujer con adorno de clip dorado</t>
  </si>
  <si>
    <t>BU043623</t>
  </si>
  <si>
    <t>BU043624</t>
  </si>
  <si>
    <t>Vestido maxi sólido con espalda ajustable</t>
  </si>
  <si>
    <t>BU043625</t>
  </si>
  <si>
    <t>BU043626</t>
  </si>
  <si>
    <t>BU043627</t>
  </si>
  <si>
    <t>Bolso de ratán de gran capacidad</t>
  </si>
  <si>
    <t>BU043628</t>
  </si>
  <si>
    <t>Vestido playero crochet con aberturas y espalda oblicua</t>
  </si>
  <si>
    <t>BU043629</t>
  </si>
  <si>
    <t>Vestido largo estampado azul de cuello healter</t>
  </si>
  <si>
    <t>BU043630</t>
  </si>
  <si>
    <t>Pantalón elegante de pierna ancha color crema</t>
  </si>
  <si>
    <t>BU043631</t>
  </si>
  <si>
    <t>BU043632</t>
  </si>
  <si>
    <t>BU043633</t>
  </si>
  <si>
    <t>BU043634</t>
  </si>
  <si>
    <t>Vestido camisola de ajustado romántico sexy</t>
  </si>
  <si>
    <t>BU043635</t>
  </si>
  <si>
    <t>Vestido largo blanco sin tirantes atado en la espalda</t>
  </si>
  <si>
    <t>BU043636</t>
  </si>
  <si>
    <t>Vestido elegante largo ajustado con hombro atado</t>
  </si>
  <si>
    <t>BU043637</t>
  </si>
  <si>
    <t>BU043638</t>
  </si>
  <si>
    <t>BU043639</t>
  </si>
  <si>
    <t>Vestido largo Sexy y elegante de espalda corrida en degradado de color</t>
  </si>
  <si>
    <t>BU043640</t>
  </si>
  <si>
    <t>BU043641</t>
  </si>
  <si>
    <t>BU043642</t>
  </si>
  <si>
    <t>Vestido camisola negro con abertura</t>
  </si>
  <si>
    <t>BU043643</t>
  </si>
  <si>
    <t>BU043644</t>
  </si>
  <si>
    <t>BU043645</t>
  </si>
  <si>
    <t>Conjunto de dos prendas elegante-casual color blanco</t>
  </si>
  <si>
    <t>BU043646</t>
  </si>
  <si>
    <t>BU043647</t>
  </si>
  <si>
    <t>Vestido de un hombro con abertura trasera color azul celeste</t>
  </si>
  <si>
    <t>BU043648</t>
  </si>
  <si>
    <t>BU043649</t>
  </si>
  <si>
    <t>BU043650</t>
  </si>
  <si>
    <t>Bolsa casual con diseño de gato y mariposa de tamaño mediano</t>
  </si>
  <si>
    <t>BU043651</t>
  </si>
  <si>
    <t>Bolso estilo Tote con estampado floral</t>
  </si>
  <si>
    <t>BU043652</t>
  </si>
  <si>
    <t>Gafas clásicas de metal ovaladas</t>
  </si>
  <si>
    <t>BU043653</t>
  </si>
  <si>
    <t>Vestido largo de algodón elegante con adorno delantero</t>
  </si>
  <si>
    <t>BU043654</t>
  </si>
  <si>
    <t>Vestido playero largo de mangas con escote V</t>
  </si>
  <si>
    <t>BU043655</t>
  </si>
  <si>
    <t>BU043656</t>
  </si>
  <si>
    <t>Gafas de moda estilo rectangular</t>
  </si>
  <si>
    <t>BU043657</t>
  </si>
  <si>
    <t>Traje de baño casual con ajustes laterales</t>
  </si>
  <si>
    <t>BU043658</t>
  </si>
  <si>
    <t>BU043659</t>
  </si>
  <si>
    <t>BU043660</t>
  </si>
  <si>
    <t>Camiseta de moda con estampado de cereza</t>
  </si>
  <si>
    <t>BU043661</t>
  </si>
  <si>
    <t>BU043662</t>
  </si>
  <si>
    <t>BU043663</t>
  </si>
  <si>
    <t>BU043664</t>
  </si>
  <si>
    <t>Traje de baño enterizo de espalda corrida estilo hilo</t>
  </si>
  <si>
    <t>BU043665</t>
  </si>
  <si>
    <t>BU043666</t>
  </si>
  <si>
    <t xml:space="preserve">Traje de baño enterizo elegante de un hombro talla grande </t>
  </si>
  <si>
    <t>BU043667</t>
  </si>
  <si>
    <t xml:space="preserve">Vestido de botones y listas amarillas con abertura </t>
  </si>
  <si>
    <t>BU043668</t>
  </si>
  <si>
    <t>BU043669</t>
  </si>
  <si>
    <t>Vestido largo casual de mangas talla grande</t>
  </si>
  <si>
    <t>BU043670</t>
  </si>
  <si>
    <t>Conjunto de dos prendas elegante-casual color Beis</t>
  </si>
  <si>
    <t>BU043671</t>
  </si>
  <si>
    <t>Pantalón alto de pierna ancha color caramelo</t>
  </si>
  <si>
    <t>BU043672</t>
  </si>
  <si>
    <t>BU043673</t>
  </si>
  <si>
    <t>BU043674</t>
  </si>
  <si>
    <t>talla XL</t>
  </si>
  <si>
    <t>BU043675</t>
  </si>
  <si>
    <t>Mono Sailor amarillo quemado con cinturón</t>
  </si>
  <si>
    <t>BU043676</t>
  </si>
  <si>
    <t>Sandalias de plataforma espadriles con correas doradas</t>
  </si>
  <si>
    <t>BU043677</t>
  </si>
  <si>
    <t>BU043678</t>
  </si>
  <si>
    <t>BU043679</t>
  </si>
  <si>
    <t>falda negra con abertura H&amp;M</t>
  </si>
  <si>
    <t>BU043681</t>
  </si>
  <si>
    <t>Blusa de manga elegante en vuelos con ribete en contraste Color Rosa</t>
  </si>
  <si>
    <t>BU043682</t>
  </si>
  <si>
    <t>BU043683</t>
  </si>
  <si>
    <t>BU043684</t>
  </si>
  <si>
    <t>Blusa de manga elegante en vuelos con ribete en contraste Color Blanco</t>
  </si>
  <si>
    <t>BU043685</t>
  </si>
  <si>
    <t>BU043686</t>
  </si>
  <si>
    <t>BU043687</t>
  </si>
  <si>
    <t>Blusa de manga elegante en vuelos con ribete en contraste Color Negro</t>
  </si>
  <si>
    <t>BU043688</t>
  </si>
  <si>
    <t>BU043689</t>
  </si>
  <si>
    <t>BU043690</t>
  </si>
  <si>
    <t>Blusa de manga elegante en vuelos con ribete en contraste Color Morado</t>
  </si>
  <si>
    <t>BU043691</t>
  </si>
  <si>
    <t>BU043692</t>
  </si>
  <si>
    <t>BU043693</t>
  </si>
  <si>
    <t>Conjunto de 3 piezas (camisa, top y shorts)</t>
  </si>
  <si>
    <t>YILHM0001</t>
  </si>
  <si>
    <t>Shorts cargo negro con dobladillo y bolsillos en tendencia Marca H&amp;M</t>
  </si>
  <si>
    <t>YILHM0002</t>
  </si>
  <si>
    <t>Shorts de algodón color beige de gran calidad Marca H&amp;M</t>
  </si>
  <si>
    <t>YILHM0003</t>
  </si>
  <si>
    <t>Shorts de felpa regular fit gris medio Marca H&amp;M</t>
  </si>
  <si>
    <t>YILHM0004</t>
  </si>
  <si>
    <t>Shorts cargo gris con dobladillo y bolsillos en tendencia Marca H&amp;M</t>
  </si>
  <si>
    <t>YILHM0005</t>
  </si>
  <si>
    <t>YILHM0006</t>
  </si>
  <si>
    <t>Shorts beich cargo regular fit de semi elastano con bolsillos traseros y a los lados Marca H&amp;M</t>
  </si>
  <si>
    <t>YILHM0007</t>
  </si>
  <si>
    <t>Shorts regular fit de algodón color verde army Marca H&amp;M</t>
  </si>
  <si>
    <t>Talla Extra Grande</t>
  </si>
  <si>
    <t>YILHM0008</t>
  </si>
  <si>
    <t>YILHM0009</t>
  </si>
  <si>
    <t>YILHM0010</t>
  </si>
  <si>
    <t>Shorts de felpa color negro con bolsillos discretos Marca H&amp;M</t>
  </si>
  <si>
    <t>YILHM0014</t>
  </si>
  <si>
    <t>Pantalón elegante de pierna ancha gris de listas blancas Marca H&amp;M</t>
  </si>
  <si>
    <t>YILHM00152</t>
  </si>
  <si>
    <t>Pantalón cargo de pierna ancha Marca H&amp;M</t>
  </si>
  <si>
    <t>YILHM0015</t>
  </si>
  <si>
    <t>Jogger de pierna ancha color chantillí Marca H&amp;M</t>
  </si>
  <si>
    <t>YILHM0016</t>
  </si>
  <si>
    <t>Pullover Gris Oscuro jaspeado de algodón Marca H&amp;M</t>
  </si>
  <si>
    <t>YILHM0017</t>
  </si>
  <si>
    <t>Jogger de pierna ancha color negro Marca H&amp;M</t>
  </si>
  <si>
    <t>YILHM0018</t>
  </si>
  <si>
    <t>Jogger de pierna ancha color azul marino Marca H&amp;M</t>
  </si>
  <si>
    <t>YILHM00191</t>
  </si>
  <si>
    <t>Vestido playera oversize de listas Marca H&amp;M</t>
  </si>
  <si>
    <t>YILHM0020</t>
  </si>
  <si>
    <t>Pantalón de vestir de pierna ancha con tejido en contraste negro y blanco H&amp;M</t>
  </si>
  <si>
    <t>YILHM0021</t>
  </si>
  <si>
    <t>Pantalón de traje Gris con pliegues de pierna ancha Marca H&amp;M</t>
  </si>
  <si>
    <t>YILHM0023</t>
  </si>
  <si>
    <t>Vestido verde Maxi ajustado con corrugado de manga corta Marca H&amp;M</t>
  </si>
  <si>
    <t>YILHM0024</t>
  </si>
  <si>
    <t>Vestido negro elegante de línea A con manga media de tela rígida Marca H&amp;M</t>
  </si>
  <si>
    <t>YILHM0025</t>
  </si>
  <si>
    <t>Vestido negro elegante de línea A sin mangas de tela rígida Marca H&amp;M</t>
  </si>
  <si>
    <t>YILHM0026</t>
  </si>
  <si>
    <t>Vestido ajustado de tela brillante en tendencia Marca H&amp;M</t>
  </si>
  <si>
    <t>YILHM0029</t>
  </si>
  <si>
    <t>Vestido corto ajustado de tela acanalada café Marca H&amp;M</t>
  </si>
  <si>
    <t>YILHM0030</t>
  </si>
  <si>
    <t>Vestido estampado de manga larga con elástico en la cintura marca H&amp;M</t>
  </si>
  <si>
    <t>YILHM0031</t>
  </si>
  <si>
    <t>Blusa-Camisa Blanca de tela de viscosa Marca H&amp;M</t>
  </si>
  <si>
    <t>YILHM0032</t>
  </si>
  <si>
    <t>Blusa-Camisa elegante de listas de cuello V Marca H&amp;M</t>
  </si>
  <si>
    <t>YILHM0033</t>
  </si>
  <si>
    <t>YILHM0034</t>
  </si>
  <si>
    <t>Blusa Chantillí de estampado geométrico de manga globo y cuello V Marca H&amp;M</t>
  </si>
  <si>
    <t>YILHM0035</t>
  </si>
  <si>
    <t>Blusa-Camisa negra con estampado en silueta elegante de flores blancas Marca H&amp;M</t>
  </si>
  <si>
    <t>YILHM00355</t>
  </si>
  <si>
    <t>Blusa oversize estampada de crepé Marca H&amp;M</t>
  </si>
  <si>
    <t>YILHM0036</t>
  </si>
  <si>
    <t xml:space="preserve">Blusa negra con hombreras </t>
  </si>
  <si>
    <t>YILHM0037</t>
  </si>
  <si>
    <t>Tops /hm /hombres</t>
  </si>
  <si>
    <t>Pullover blanco de algodón Marca H&amp;M</t>
  </si>
  <si>
    <t>YILHM0038</t>
  </si>
  <si>
    <t>Pullover negro de algodón Marca H&amp;M</t>
  </si>
  <si>
    <t>YILHM0039</t>
  </si>
  <si>
    <t>Blusa negra de escote cuadrado Marca H&amp;M</t>
  </si>
  <si>
    <t>YILHM0040</t>
  </si>
  <si>
    <t>Top jersey de cuello tortuga y manga media Marca H&amp;M</t>
  </si>
  <si>
    <t>YILHM0041</t>
  </si>
  <si>
    <t>Top de manga media de escote cuadrado Marca H&amp;M</t>
  </si>
  <si>
    <t>YILHM0042</t>
  </si>
  <si>
    <t>Top jersey de listas de manga media Marca H&amp;M</t>
  </si>
  <si>
    <t>YILHM0043</t>
  </si>
  <si>
    <t>Pullover slim fit carmelita de algodón Marca H&amp;M</t>
  </si>
  <si>
    <t>YILHM0044</t>
  </si>
  <si>
    <t>Pullover oversize de listas cramelitas Marca H&amp;M</t>
  </si>
  <si>
    <t>YILHM0045</t>
  </si>
  <si>
    <t>YILHM0046</t>
  </si>
  <si>
    <t>Pullover oversize de listas negras con bordado en contraste Marca H&amp;M</t>
  </si>
  <si>
    <t>YILHM0047</t>
  </si>
  <si>
    <t>Pullover slim fit rosa acanalado Marca H&amp;M</t>
  </si>
  <si>
    <t>YILHM0048</t>
  </si>
  <si>
    <t>YILHM0049</t>
  </si>
  <si>
    <t>Pullover de micro fibra rosa Marca H&amp;M</t>
  </si>
  <si>
    <t>YILHM0050</t>
  </si>
  <si>
    <t>Top blanco de cuello lineal Marca H&amp;M</t>
  </si>
  <si>
    <t>YILHM0051</t>
  </si>
  <si>
    <t>Pullover gris oscuro jaspeado de algodón Marca H&amp;M</t>
  </si>
  <si>
    <t>YILHM0052</t>
  </si>
  <si>
    <t>Top de mangas largas de rayas de cuello tortuga Marca H&amp;M</t>
  </si>
  <si>
    <t>YILHM0053</t>
  </si>
  <si>
    <t>Top crema con detalle de costura Marca H&amp;M</t>
  </si>
  <si>
    <t>YILHM0054</t>
  </si>
  <si>
    <t>Top carmelita de mangas largas Marca H&amp;M</t>
  </si>
  <si>
    <t>YILHM0055</t>
  </si>
  <si>
    <t>Top de mangas traslúcido de cuello redondo Marca H&amp;M</t>
  </si>
  <si>
    <t>YILHM0056</t>
  </si>
  <si>
    <t>Top oversize con detalle de costura en espalda Marca H&amp;M</t>
  </si>
  <si>
    <t>YILHM0057</t>
  </si>
  <si>
    <t>Cardigan tejido color crema con botones Marca H&amp;M</t>
  </si>
  <si>
    <t>YILHM0058</t>
  </si>
  <si>
    <t>Suéter oversize de cuello redondo crema con listas finas negras Marca H&amp;M</t>
  </si>
  <si>
    <t>YILHM0059</t>
  </si>
  <si>
    <t>Suéter azul gris tejido de cuello V Marca H&amp;M</t>
  </si>
  <si>
    <t>YILHM0060</t>
  </si>
  <si>
    <t>Suéter oversize crema de franjas azul oscuro de cuello redondo Marca H&amp;M</t>
  </si>
  <si>
    <t>YILHM0061</t>
  </si>
  <si>
    <t>Suéter oversize crema de listas negras cuello de redondo Marca H&amp;M</t>
  </si>
  <si>
    <t>YILHM0062</t>
  </si>
  <si>
    <t>Suéter crema oversize de franjas beich Marca H&amp;M</t>
  </si>
  <si>
    <t>YILHM0063</t>
  </si>
  <si>
    <t>Suéter crema polar con letrero Marca H&amp;M</t>
  </si>
  <si>
    <t>YILHM0064</t>
  </si>
  <si>
    <t>Top de canalé de manga larga de cuello redondo slim fit color crema Marca H&amp;M</t>
  </si>
  <si>
    <t>YILHM0065</t>
  </si>
  <si>
    <t>Top de micro fibra de manga larga Marca H&amp;M</t>
  </si>
  <si>
    <t>YILHM0066</t>
  </si>
  <si>
    <t>YILHM0067</t>
  </si>
  <si>
    <t>Top de manga larga de escote cuadrado Marca H&amp;M</t>
  </si>
  <si>
    <t>YILHM0068</t>
  </si>
  <si>
    <t>Tanga brasileña color verde de algodón Marca H&amp;M</t>
  </si>
  <si>
    <t>YILHM0069</t>
  </si>
  <si>
    <t>Short de felpa con cordón ajustable negro Marca H&amp;M</t>
  </si>
  <si>
    <t>YILHM0070</t>
  </si>
  <si>
    <t>Short Blanco de talle alto y bolsillos de tela gruesa Marca H&amp;M</t>
  </si>
  <si>
    <t>Talla 30</t>
  </si>
  <si>
    <t>YILHM0071</t>
  </si>
  <si>
    <t>Falda negra ajustada a media pierna Marca H&amp;M</t>
  </si>
  <si>
    <t>YILHM0072</t>
  </si>
  <si>
    <t>Blusa de manga corta de cuello V con estampado de listas Marca H&amp;M</t>
  </si>
  <si>
    <t>YILHM0073</t>
  </si>
  <si>
    <t>Leggings mallas negros no transparentables Marca H&amp;M</t>
  </si>
  <si>
    <t>YILHM0074</t>
  </si>
  <si>
    <t>Pullover polo blanco muscle fit de cuello con zíper Marca H&amp;M</t>
  </si>
  <si>
    <t>YILHM0075</t>
  </si>
  <si>
    <t>Pullover polo blanco de viscosa de cuello con botones Marca H&amp;M</t>
  </si>
  <si>
    <t>YILHM0076</t>
  </si>
  <si>
    <t>Pullover polo negro muscle fit de cuello con zíper Marca H&amp;M</t>
  </si>
  <si>
    <t>YILHM0077</t>
  </si>
  <si>
    <t xml:space="preserve">Pullover deportivo verde </t>
  </si>
  <si>
    <t>YILHM0078</t>
  </si>
  <si>
    <t>Pullover de hombre Loose Fit de gran calidad de cuello redondo color blanco vainilla Marca H&amp;M</t>
  </si>
  <si>
    <t>YILHM0079</t>
  </si>
  <si>
    <t>YILHM0080</t>
  </si>
  <si>
    <t>YILHM0081</t>
  </si>
  <si>
    <t>Pullover de hombre Loose Fit de gran calidad de cuello redondo gris oscuro Marca H&amp;M</t>
  </si>
  <si>
    <t>YILHM0082</t>
  </si>
  <si>
    <t>YILHM0083</t>
  </si>
  <si>
    <t>YILHM0084</t>
  </si>
  <si>
    <t>Pullover de hombre Loose Fit de gran calidad de cuello redondo gris claro Marca H&amp;M</t>
  </si>
  <si>
    <t>YILHM0085</t>
  </si>
  <si>
    <t>Pullover de hombre Loose Fit de gran calidad de cuello redondo beige Marca H&amp;M</t>
  </si>
  <si>
    <t>YILHM0086</t>
  </si>
  <si>
    <t>Pullover de hombre Loose Fit de gran calidad de cuello redondo azul Marca H&amp;M</t>
  </si>
  <si>
    <t>YILHM0087</t>
  </si>
  <si>
    <t>Pullover de hombre Loose Fit de gran calidad de cuello redondo verde Marca H&amp;M</t>
  </si>
  <si>
    <t>YILHM0088</t>
  </si>
  <si>
    <t>Pullover de hombre Loose Fit de gran calidad de cuello redondo negro Marca H&amp;M</t>
  </si>
  <si>
    <t>YILHM0089</t>
  </si>
  <si>
    <t>YILHM0090</t>
  </si>
  <si>
    <t>YILHM0091</t>
  </si>
  <si>
    <t>Pullover slim fit verde claro algodón Marca H&amp;M</t>
  </si>
  <si>
    <t>YILHM0092</t>
  </si>
  <si>
    <t>Pullover slim fit gris claro algodón Marca H&amp;M</t>
  </si>
  <si>
    <t>YILHM0093</t>
  </si>
  <si>
    <t>Pullover slim fit blanco algodón Marca H&amp;M</t>
  </si>
  <si>
    <t>YILHM0094</t>
  </si>
  <si>
    <t>Pullover slim fit negro algodón Marca H&amp;M</t>
  </si>
  <si>
    <t>YILHM0095</t>
  </si>
  <si>
    <t>YILHM0096</t>
  </si>
  <si>
    <t>YILHM0097</t>
  </si>
  <si>
    <t>Camisa de algodón estampada en color block Marca H&amp;M</t>
  </si>
  <si>
    <t>YILHM0098</t>
  </si>
  <si>
    <t>Camisa verde oliva de algodón con bolsillo Marca H&amp;M</t>
  </si>
  <si>
    <t>YILHM0099</t>
  </si>
  <si>
    <t>Camisa negra slim fit de cuello chino Marca H&amp;M</t>
  </si>
  <si>
    <t>YILHM0107</t>
  </si>
  <si>
    <t>Enguatada blanco vainilla de viscosa y cuello redondeado Marca H&amp;M</t>
  </si>
  <si>
    <t>Talla Chica</t>
  </si>
  <si>
    <t>YILHM0108</t>
  </si>
  <si>
    <t>Enguatada blanco vainilla de cuello tortuga Marca H&amp;M</t>
  </si>
  <si>
    <t>Talla Extra Chica</t>
  </si>
  <si>
    <t>YILHM0109</t>
  </si>
  <si>
    <t>Enguatada azul navy de viscosa y cuello redondo Marca H&amp;M</t>
  </si>
  <si>
    <t>Talla Mediana</t>
  </si>
  <si>
    <t>YILHM0110</t>
  </si>
  <si>
    <t>Enguatada azul navy de cuello tortuga con zíper de tejido de punto grueso de gran calidad Marca H&amp;M</t>
  </si>
  <si>
    <t>YILHM0111</t>
  </si>
  <si>
    <t>leo</t>
  </si>
  <si>
    <t>Enguatada gris jaspeado oscuro Marca H&amp;M</t>
  </si>
  <si>
    <t>YILHM0112</t>
  </si>
  <si>
    <t>Enguatada jersey negra de cuello tortuga Marca H&amp;M</t>
  </si>
  <si>
    <t>YILHM0113</t>
  </si>
  <si>
    <t>Dieguito</t>
  </si>
  <si>
    <t xml:space="preserve">Niños abrigos   </t>
  </si>
  <si>
    <t>YILHM0114</t>
  </si>
  <si>
    <t xml:space="preserve"> Partes-de-abajo /hm /hombres</t>
  </si>
  <si>
    <t>Jogger negro de estilo cargo Marca H&amp;M</t>
  </si>
  <si>
    <t>YILHM0115</t>
  </si>
  <si>
    <t>Jogger regular fit gris medio Marca H&amp;M</t>
  </si>
  <si>
    <t>YILHM0116</t>
  </si>
  <si>
    <t>Jogger slim fit gris oscuro cargo dry fit Marca H&amp;M</t>
  </si>
  <si>
    <t>YILHM0117</t>
  </si>
  <si>
    <t>Jogger regular fit negro con bolsillos discretos Marca H&amp;M</t>
  </si>
  <si>
    <t>YILHM0118</t>
  </si>
  <si>
    <t>Jogger gris jaspeado con bolsillos discretos Marca H&amp;M</t>
  </si>
  <si>
    <t>YILHM0119</t>
  </si>
  <si>
    <t>YILHM0136</t>
  </si>
  <si>
    <t>Ili</t>
  </si>
  <si>
    <t>Ajustadores Bralette de encaje Blanco Marca H&amp;M</t>
  </si>
  <si>
    <t>YILHM0137</t>
  </si>
  <si>
    <t>ili</t>
  </si>
  <si>
    <t>Ajustadores Bralette de encaje Negro Marca H&amp;M</t>
  </si>
  <si>
    <t>YILHM0138</t>
  </si>
  <si>
    <t>Calzoncillos Boxers de algodón color negro Marca H&amp;M</t>
  </si>
  <si>
    <t>YILHM0139</t>
  </si>
  <si>
    <t>Calzoncillos Boxers de algodón colores variado</t>
  </si>
  <si>
    <t>YILHM0140</t>
  </si>
  <si>
    <t>lencería  /nuevo</t>
  </si>
  <si>
    <t>Calcetines bajos de algodón color beich</t>
  </si>
  <si>
    <t>YILHM0141</t>
  </si>
  <si>
    <t>Calcetines bajos de algodón color blanco</t>
  </si>
  <si>
    <t>YILHM0142</t>
  </si>
  <si>
    <t>Tanga brasileña color blanco de algodón Marca H&amp;M</t>
  </si>
  <si>
    <t>YILHM0143</t>
  </si>
  <si>
    <t>Tanga brasileña color crema de algodón Marca H&amp;M</t>
  </si>
  <si>
    <t>YILHM0144</t>
  </si>
  <si>
    <t>Tanga brasileña color negro de algodón Marca H&amp;M</t>
  </si>
  <si>
    <t>YILHM0145</t>
  </si>
  <si>
    <t>lencería /nuevo /hombres</t>
  </si>
  <si>
    <t>Calcetines altos de moda blancos con listas verdes</t>
  </si>
  <si>
    <t>YILHM0146</t>
  </si>
  <si>
    <t>Calcetines altos de moda negro PULFICTION</t>
  </si>
  <si>
    <t>YILHM0147</t>
  </si>
  <si>
    <t>Calcetines altos de moda negro COCA COLA</t>
  </si>
  <si>
    <t>YILHM0148</t>
  </si>
  <si>
    <t>tops /hm</t>
  </si>
  <si>
    <t>OBLIGATARIO LLENAR</t>
  </si>
  <si>
    <t>NO TOCAR</t>
  </si>
  <si>
    <t>(Datos a intoducir por el gestor cuando se hace una venta)</t>
  </si>
  <si>
    <t>Entrar datos manual</t>
  </si>
  <si>
    <t>Fecha</t>
  </si>
  <si>
    <t>Detalle de compra</t>
  </si>
  <si>
    <t>Nombre del Cliente</t>
  </si>
  <si>
    <t>Nombre del Gestor</t>
  </si>
  <si>
    <t>Código del producto Vendido</t>
  </si>
  <si>
    <t>Descripcion</t>
  </si>
  <si>
    <t>Cantidad</t>
  </si>
  <si>
    <t>Precio Venta</t>
  </si>
  <si>
    <t>Total</t>
  </si>
  <si>
    <t>Costo SIN Comision</t>
  </si>
  <si>
    <t>Ganancia</t>
  </si>
  <si>
    <t>Observaciones</t>
  </si>
  <si>
    <t>T0006</t>
  </si>
  <si>
    <t>OTRO</t>
  </si>
  <si>
    <t>V0111</t>
  </si>
  <si>
    <t>V0112</t>
  </si>
  <si>
    <t>V0107</t>
  </si>
  <si>
    <t>V0108</t>
  </si>
  <si>
    <t>V0104</t>
  </si>
  <si>
    <t>V0103</t>
  </si>
  <si>
    <t>V0101</t>
  </si>
  <si>
    <t>V0099</t>
  </si>
  <si>
    <t>V0095</t>
  </si>
  <si>
    <t>B0028</t>
  </si>
  <si>
    <t>B0032</t>
  </si>
  <si>
    <t>B0049</t>
  </si>
  <si>
    <t>B0038</t>
  </si>
  <si>
    <t>B0039</t>
  </si>
  <si>
    <t>B0042</t>
  </si>
  <si>
    <t>B0034</t>
  </si>
  <si>
    <t>Yudi</t>
  </si>
  <si>
    <t>Yudidi</t>
  </si>
  <si>
    <t>Alejandro</t>
  </si>
  <si>
    <t>Livia</t>
  </si>
  <si>
    <t>livia</t>
  </si>
  <si>
    <t>Dasli</t>
  </si>
  <si>
    <t>Yanet</t>
  </si>
  <si>
    <t>Greter</t>
  </si>
  <si>
    <t>Magdalena</t>
  </si>
  <si>
    <t>Camila</t>
  </si>
  <si>
    <t>Estrella</t>
  </si>
  <si>
    <t>otro</t>
  </si>
  <si>
    <t>Trabajo Leo</t>
  </si>
  <si>
    <t>GRETER</t>
  </si>
  <si>
    <t>Eduardo</t>
  </si>
  <si>
    <t>Lisbetty</t>
  </si>
  <si>
    <t>Maire</t>
  </si>
  <si>
    <t>Yanelsy</t>
  </si>
  <si>
    <t>Saylin</t>
  </si>
  <si>
    <t>Yesica</t>
  </si>
  <si>
    <t>Yami</t>
  </si>
  <si>
    <t>Deivis</t>
  </si>
  <si>
    <t>V0134</t>
  </si>
  <si>
    <t>Khaila</t>
  </si>
  <si>
    <t>Gaby</t>
  </si>
  <si>
    <t>Ely</t>
  </si>
  <si>
    <t>Yaney</t>
  </si>
  <si>
    <t>Amanda</t>
  </si>
  <si>
    <t>cliente day</t>
  </si>
  <si>
    <t>Niurka Encargo</t>
  </si>
  <si>
    <t>Otro</t>
  </si>
  <si>
    <t>Daylin</t>
  </si>
  <si>
    <t>KO Mercado</t>
  </si>
  <si>
    <t xml:space="preserve">Niurka </t>
  </si>
  <si>
    <t>Yuyi</t>
  </si>
  <si>
    <t>Amy</t>
  </si>
  <si>
    <t>Ivelice</t>
  </si>
  <si>
    <t>Rachel</t>
  </si>
  <si>
    <t>Yudith</t>
  </si>
  <si>
    <t>Adriana</t>
  </si>
  <si>
    <t>Madelyn</t>
  </si>
  <si>
    <t>Yisley</t>
  </si>
  <si>
    <t>Ismaray</t>
  </si>
  <si>
    <t>Lianet</t>
  </si>
  <si>
    <t>Clienta Adri</t>
  </si>
  <si>
    <t>Jenny</t>
  </si>
  <si>
    <t>Siulen</t>
  </si>
  <si>
    <t>Yaumara</t>
  </si>
  <si>
    <t>Ailyn</t>
  </si>
  <si>
    <t>Jackelin</t>
  </si>
  <si>
    <t>Dayme</t>
  </si>
  <si>
    <t>Amalia</t>
  </si>
  <si>
    <t>Keylee</t>
  </si>
  <si>
    <t>Claudia</t>
  </si>
  <si>
    <t>Gretel</t>
  </si>
  <si>
    <t>amiga Day</t>
  </si>
  <si>
    <t>Pago Mayo Daylin</t>
  </si>
  <si>
    <t>airn regalo</t>
  </si>
  <si>
    <t>Viaje a México</t>
  </si>
  <si>
    <t>Pago Yane Junio</t>
  </si>
  <si>
    <t>Pago Yasser envíos</t>
  </si>
  <si>
    <t>Pago Junio Daylin</t>
  </si>
  <si>
    <t>Daylin/Pendiente</t>
  </si>
  <si>
    <t>2-Ago</t>
  </si>
  <si>
    <t>Daylin(top blanco devolver)</t>
  </si>
  <si>
    <t>Karen</t>
  </si>
  <si>
    <t>Pau</t>
  </si>
  <si>
    <t>BU0478</t>
  </si>
  <si>
    <t>Yoa</t>
  </si>
  <si>
    <t>3-Ago</t>
  </si>
  <si>
    <t>7-Ago</t>
  </si>
  <si>
    <t>Liz</t>
  </si>
  <si>
    <t>9-Ago</t>
  </si>
  <si>
    <t>14-Ago</t>
  </si>
  <si>
    <t>Arianna</t>
  </si>
  <si>
    <t>Lily</t>
  </si>
  <si>
    <t>Noslen</t>
  </si>
  <si>
    <t>Deborah</t>
  </si>
  <si>
    <t>Greydi</t>
  </si>
  <si>
    <t>Marianne</t>
  </si>
  <si>
    <t>BU0504</t>
  </si>
  <si>
    <t>Katherine</t>
  </si>
  <si>
    <t>Mabel</t>
  </si>
  <si>
    <t>15-Ago</t>
  </si>
  <si>
    <t>16-Ago</t>
  </si>
  <si>
    <t>Amanda HNC</t>
  </si>
  <si>
    <t>Yadita</t>
  </si>
  <si>
    <t>17-Ago</t>
  </si>
  <si>
    <t>Dayana</t>
  </si>
  <si>
    <t>Zamirys</t>
  </si>
  <si>
    <t>19-Ago</t>
  </si>
  <si>
    <t>Lorena</t>
  </si>
  <si>
    <t>pdte pago</t>
  </si>
  <si>
    <t>Nazay</t>
  </si>
  <si>
    <t>Producto sorpresa</t>
  </si>
  <si>
    <t>Luna</t>
  </si>
  <si>
    <t>Zuleira</t>
  </si>
  <si>
    <t>Yiell</t>
  </si>
  <si>
    <t>20-Ago</t>
  </si>
  <si>
    <t>Yaquelin</t>
  </si>
  <si>
    <t>Irasema</t>
  </si>
  <si>
    <t>22-Ago</t>
  </si>
  <si>
    <t>Haydee</t>
  </si>
  <si>
    <t>Maday</t>
  </si>
  <si>
    <t>23-Ago</t>
  </si>
  <si>
    <t>Anabel</t>
  </si>
  <si>
    <t>Mami</t>
  </si>
  <si>
    <t>Mar</t>
  </si>
  <si>
    <t>Mari Banco</t>
  </si>
  <si>
    <t>Monik</t>
  </si>
  <si>
    <t>25-Ago</t>
  </si>
  <si>
    <t>Tania amiga mamá</t>
  </si>
  <si>
    <t>Clieta</t>
  </si>
  <si>
    <t>26-Ago</t>
  </si>
  <si>
    <t>Pujalte</t>
  </si>
  <si>
    <t>27-Ago</t>
  </si>
  <si>
    <t>Kira</t>
  </si>
  <si>
    <t>28-Ago</t>
  </si>
  <si>
    <t>Karla</t>
  </si>
  <si>
    <t>30-Ago</t>
  </si>
  <si>
    <t>Alicia</t>
  </si>
  <si>
    <t>Betzabeth</t>
  </si>
  <si>
    <t>Mercedes</t>
  </si>
  <si>
    <t>31-Ago</t>
  </si>
  <si>
    <t>BU0488</t>
  </si>
  <si>
    <t>Wendy</t>
  </si>
  <si>
    <t>Hija Yasser</t>
  </si>
  <si>
    <t>Greysi</t>
  </si>
  <si>
    <t>Yolaisys</t>
  </si>
  <si>
    <t>Cliente</t>
  </si>
  <si>
    <t>artículo sin entrar</t>
  </si>
  <si>
    <t>Yole</t>
  </si>
  <si>
    <t>Omi</t>
  </si>
  <si>
    <t>erly</t>
  </si>
  <si>
    <t>Inventario</t>
  </si>
  <si>
    <t>tamara</t>
  </si>
  <si>
    <t>Brenda</t>
  </si>
  <si>
    <t>Diciembre</t>
  </si>
  <si>
    <t>BU0546</t>
  </si>
  <si>
    <t>BU0486</t>
  </si>
  <si>
    <t>Enero</t>
  </si>
  <si>
    <t>Adry</t>
  </si>
  <si>
    <t>Jaqueline</t>
  </si>
  <si>
    <t>Yane</t>
  </si>
  <si>
    <t>yo</t>
  </si>
  <si>
    <t>Daniela</t>
  </si>
  <si>
    <t>BU0620</t>
  </si>
  <si>
    <t>Baby</t>
  </si>
  <si>
    <t>Ani</t>
  </si>
  <si>
    <t>yuniel</t>
  </si>
  <si>
    <t>inventario</t>
  </si>
  <si>
    <t>BU0631</t>
  </si>
  <si>
    <t>Orieta</t>
  </si>
  <si>
    <t>Mady</t>
  </si>
  <si>
    <t>Massi vecina</t>
  </si>
  <si>
    <t>Mary Karla Bamboo</t>
  </si>
  <si>
    <t>Karen Dentista</t>
  </si>
  <si>
    <t>Gaby Dra</t>
  </si>
  <si>
    <t>Yake</t>
  </si>
  <si>
    <t>Sayury</t>
  </si>
  <si>
    <t>Ani verde verde</t>
  </si>
  <si>
    <t>Regalo Baby</t>
  </si>
  <si>
    <t>Oferta Promo Mensajería Gratis en ventas de $25USD</t>
  </si>
  <si>
    <t>Yilien</t>
  </si>
  <si>
    <t>neurologa</t>
  </si>
  <si>
    <t>Greter (pendiente pago)</t>
  </si>
  <si>
    <t>Violeta</t>
  </si>
  <si>
    <t>darle 5% a Claudia Gestora</t>
  </si>
  <si>
    <t>bazar</t>
  </si>
  <si>
    <t>Arasay</t>
  </si>
  <si>
    <t>Gloria</t>
  </si>
  <si>
    <t>mio</t>
  </si>
  <si>
    <t>Leisy</t>
  </si>
  <si>
    <t>sayuri</t>
  </si>
  <si>
    <t>ayli</t>
  </si>
  <si>
    <t>Pago Enrique Media Manager</t>
  </si>
  <si>
    <t>Tatiana</t>
  </si>
  <si>
    <t>Lissette encargo</t>
  </si>
  <si>
    <t>estímulo a violeta</t>
  </si>
  <si>
    <t>bu0718</t>
  </si>
  <si>
    <t>bu0623</t>
  </si>
  <si>
    <t>ub0035</t>
  </si>
  <si>
    <t>ub0029</t>
  </si>
  <si>
    <t>ub0030</t>
  </si>
  <si>
    <t>bu0582</t>
  </si>
  <si>
    <t>Tía Mary</t>
  </si>
  <si>
    <t>Yilian notaria</t>
  </si>
  <si>
    <t>Premio</t>
  </si>
  <si>
    <t>premio rifa madres</t>
  </si>
  <si>
    <t>bu0395</t>
  </si>
  <si>
    <t>Susej</t>
  </si>
  <si>
    <t>Yilian</t>
  </si>
  <si>
    <t>Darse</t>
  </si>
  <si>
    <t>Betty regalo</t>
  </si>
  <si>
    <t>Yasmin regalo</t>
  </si>
  <si>
    <t>Michelle</t>
  </si>
  <si>
    <t>Yari &amp; Samuel</t>
  </si>
  <si>
    <t>Yeny</t>
  </si>
  <si>
    <t>yeny</t>
  </si>
  <si>
    <t>Loana</t>
  </si>
  <si>
    <t>Yunisleydis</t>
  </si>
  <si>
    <t>Yenima</t>
  </si>
  <si>
    <t>Sailin</t>
  </si>
  <si>
    <t>Nathaly</t>
  </si>
  <si>
    <t>Jovana</t>
  </si>
  <si>
    <t>Laureen</t>
  </si>
  <si>
    <t>Yuni</t>
  </si>
  <si>
    <t>Angis</t>
  </si>
  <si>
    <t>Yelena</t>
  </si>
  <si>
    <t>Yeni Clienta</t>
  </si>
  <si>
    <t>Nanda</t>
  </si>
  <si>
    <t>Nix</t>
  </si>
  <si>
    <t>Indiana</t>
  </si>
  <si>
    <t>Yipxi</t>
  </si>
  <si>
    <t>Raiza</t>
  </si>
  <si>
    <t>Sandra</t>
  </si>
  <si>
    <t>alexa</t>
  </si>
  <si>
    <t>yarel</t>
  </si>
  <si>
    <t>Adriana Quintana</t>
  </si>
  <si>
    <t>Maria Karla Garage</t>
  </si>
  <si>
    <t>paypal</t>
  </si>
  <si>
    <t>Short blanco hm</t>
  </si>
  <si>
    <t>Yanelis Arrabal</t>
  </si>
  <si>
    <t>vendido x mi</t>
  </si>
  <si>
    <t xml:space="preserve">Lissette </t>
  </si>
  <si>
    <t>Vanessa</t>
  </si>
  <si>
    <t>maricel</t>
  </si>
  <si>
    <t>yamila</t>
  </si>
  <si>
    <t>susana</t>
  </si>
  <si>
    <t>rosi</t>
  </si>
  <si>
    <t>dany</t>
  </si>
  <si>
    <t>vendido x mi (mami)</t>
  </si>
  <si>
    <t>ruthie</t>
  </si>
  <si>
    <t>yuliett</t>
  </si>
  <si>
    <t>arianna</t>
  </si>
  <si>
    <t>BU04344</t>
  </si>
  <si>
    <t>Marianela</t>
  </si>
  <si>
    <t>yaulet</t>
  </si>
  <si>
    <t>leydi</t>
  </si>
  <si>
    <t>xenia</t>
  </si>
  <si>
    <t>ana</t>
  </si>
  <si>
    <t>gema</t>
  </si>
  <si>
    <t>geydis sosa</t>
  </si>
  <si>
    <t>ely</t>
  </si>
  <si>
    <t>mari</t>
  </si>
  <si>
    <t>diana</t>
  </si>
  <si>
    <t>camila</t>
  </si>
  <si>
    <t>ilen</t>
  </si>
  <si>
    <t>adita</t>
  </si>
  <si>
    <t>yisme</t>
  </si>
  <si>
    <t>ari</t>
  </si>
  <si>
    <t>mami</t>
  </si>
  <si>
    <t>fatima</t>
  </si>
  <si>
    <t>maite</t>
  </si>
  <si>
    <t>gretis</t>
  </si>
  <si>
    <t>dayi</t>
  </si>
  <si>
    <t>nancy</t>
  </si>
  <si>
    <t>yaimara</t>
  </si>
  <si>
    <t>airin</t>
  </si>
  <si>
    <t>yilien</t>
  </si>
  <si>
    <t>yunelkis</t>
  </si>
  <si>
    <t>laura</t>
  </si>
  <si>
    <t>isavelita</t>
  </si>
  <si>
    <t>lisandra</t>
  </si>
  <si>
    <t>liz</t>
  </si>
  <si>
    <t>fabiola</t>
  </si>
  <si>
    <t>yaneris</t>
  </si>
  <si>
    <t>mercy</t>
  </si>
  <si>
    <t>alba</t>
  </si>
  <si>
    <t>yunelkys</t>
  </si>
  <si>
    <t>kenia</t>
  </si>
  <si>
    <t>olivia</t>
  </si>
  <si>
    <t>aymara</t>
  </si>
  <si>
    <t>amarilis</t>
  </si>
  <si>
    <t>angels</t>
  </si>
  <si>
    <t>yaritza</t>
  </si>
  <si>
    <t>yilen</t>
  </si>
  <si>
    <t>dessyre</t>
  </si>
  <si>
    <t>niliam</t>
  </si>
  <si>
    <t>niuris</t>
  </si>
  <si>
    <t>lia</t>
  </si>
  <si>
    <t>lissania</t>
  </si>
  <si>
    <t>giulia</t>
  </si>
  <si>
    <t>arleti</t>
  </si>
  <si>
    <t>arabby</t>
  </si>
  <si>
    <t>martha</t>
  </si>
  <si>
    <t>tania</t>
  </si>
  <si>
    <t>cary</t>
  </si>
  <si>
    <t>Orquídea</t>
  </si>
  <si>
    <t>ana flavia</t>
  </si>
  <si>
    <t>Yesy</t>
  </si>
  <si>
    <t>yesy</t>
  </si>
  <si>
    <t>gloria</t>
  </si>
  <si>
    <t>jenny</t>
  </si>
  <si>
    <t>patricia</t>
  </si>
  <si>
    <t>thali</t>
  </si>
  <si>
    <t>barma</t>
  </si>
  <si>
    <t>yimera</t>
  </si>
  <si>
    <t>zulema</t>
  </si>
  <si>
    <t>maribel</t>
  </si>
  <si>
    <t>yanet</t>
  </si>
  <si>
    <t>Samantha</t>
  </si>
  <si>
    <t>Luz</t>
  </si>
  <si>
    <t>yole</t>
  </si>
  <si>
    <t>pendiente de pago</t>
  </si>
  <si>
    <t>greter</t>
  </si>
  <si>
    <t>lurdita</t>
  </si>
  <si>
    <t>dunia</t>
  </si>
  <si>
    <t>aracelia</t>
  </si>
  <si>
    <t>yoly</t>
  </si>
  <si>
    <t>dayana</t>
  </si>
  <si>
    <t>baby</t>
  </si>
  <si>
    <t>kira</t>
  </si>
  <si>
    <t>rosmery</t>
  </si>
  <si>
    <t>Lilian</t>
  </si>
  <si>
    <t>janet</t>
  </si>
  <si>
    <t>thalía</t>
  </si>
  <si>
    <t>lorena</t>
  </si>
  <si>
    <t>acelia</t>
  </si>
  <si>
    <t>deborah</t>
  </si>
  <si>
    <t>baby se la queda</t>
  </si>
  <si>
    <t>Diana</t>
  </si>
  <si>
    <t>Encargo mónica</t>
  </si>
  <si>
    <t>mely</t>
  </si>
  <si>
    <t>yane</t>
  </si>
  <si>
    <t>Malu</t>
  </si>
  <si>
    <t>Encargo lissette</t>
  </si>
  <si>
    <t>Jean campana</t>
  </si>
  <si>
    <t>asignar nombre del gestor</t>
  </si>
  <si>
    <t>dayareni</t>
  </si>
  <si>
    <t>Adiel</t>
  </si>
  <si>
    <t>glenda</t>
  </si>
  <si>
    <t>fernanda</t>
  </si>
  <si>
    <t>Nahimi</t>
  </si>
  <si>
    <t>eliane</t>
  </si>
  <si>
    <t>annia</t>
  </si>
  <si>
    <t>thalia</t>
  </si>
  <si>
    <t>alina</t>
  </si>
  <si>
    <t>amanda</t>
  </si>
  <si>
    <t>erika</t>
  </si>
  <si>
    <t>jenni</t>
  </si>
  <si>
    <t>arita</t>
  </si>
  <si>
    <t>mayda</t>
  </si>
  <si>
    <t>ko</t>
  </si>
  <si>
    <t>dulce</t>
  </si>
  <si>
    <t>Reyima</t>
  </si>
  <si>
    <t>Mayra</t>
  </si>
  <si>
    <t>encargo</t>
  </si>
  <si>
    <t>katheryn</t>
  </si>
  <si>
    <t>asignar vendedor</t>
  </si>
  <si>
    <t>se lo ocmpro para ella</t>
  </si>
  <si>
    <t>esperanza</t>
  </si>
  <si>
    <t>Sarai</t>
  </si>
  <si>
    <t>beatriz</t>
  </si>
  <si>
    <t>merilan</t>
  </si>
  <si>
    <t>maivis</t>
  </si>
  <si>
    <t>sury</t>
  </si>
  <si>
    <t>dani</t>
  </si>
  <si>
    <t>baby por cobrar</t>
  </si>
  <si>
    <t>por cobrar</t>
  </si>
  <si>
    <t>Ania</t>
  </si>
  <si>
    <t>Marime</t>
  </si>
  <si>
    <t>claudia</t>
  </si>
  <si>
    <t>karla</t>
  </si>
  <si>
    <t>Tamara</t>
  </si>
  <si>
    <t>ismary</t>
  </si>
  <si>
    <t>isabel</t>
  </si>
  <si>
    <t>kirenia</t>
  </si>
  <si>
    <t>ana maria</t>
  </si>
  <si>
    <t>mary</t>
  </si>
  <si>
    <t>natalia</t>
  </si>
  <si>
    <t>patri</t>
  </si>
  <si>
    <t>sofia</t>
  </si>
  <si>
    <t>judith</t>
  </si>
  <si>
    <t>barbara</t>
  </si>
  <si>
    <t>nathalia</t>
  </si>
  <si>
    <t>edna</t>
  </si>
  <si>
    <t>melisa</t>
  </si>
  <si>
    <t>stefani</t>
  </si>
  <si>
    <t>Nao</t>
  </si>
  <si>
    <t>eli</t>
  </si>
  <si>
    <t>gabriela</t>
  </si>
  <si>
    <t>yasmi</t>
  </si>
  <si>
    <t>doralis</t>
  </si>
  <si>
    <t>naidelys</t>
  </si>
  <si>
    <t>legna</t>
  </si>
  <si>
    <t>yurina</t>
  </si>
  <si>
    <t>arletis</t>
  </si>
  <si>
    <t>Claudia Yili</t>
  </si>
  <si>
    <t>daysbel</t>
  </si>
  <si>
    <t>klaudiña</t>
  </si>
  <si>
    <t>madeline</t>
  </si>
  <si>
    <t>ariadna</t>
  </si>
  <si>
    <t>anita</t>
  </si>
  <si>
    <t>yumy</t>
  </si>
  <si>
    <t>Gercy</t>
  </si>
  <si>
    <t>maibi</t>
  </si>
  <si>
    <t>yulieth</t>
  </si>
  <si>
    <t>betsy</t>
  </si>
  <si>
    <t>yoelbys</t>
  </si>
  <si>
    <t>chabely</t>
  </si>
  <si>
    <t>amy</t>
  </si>
  <si>
    <t>eliani</t>
  </si>
  <si>
    <t>yuyi</t>
  </si>
  <si>
    <t>nayelis</t>
  </si>
  <si>
    <t>ernesto</t>
  </si>
  <si>
    <t>yusleyvi</t>
  </si>
  <si>
    <t>dayami</t>
  </si>
  <si>
    <t>miladys</t>
  </si>
  <si>
    <t>ayexa</t>
  </si>
  <si>
    <t>daniela</t>
  </si>
  <si>
    <t>arlette</t>
  </si>
  <si>
    <t>sarai</t>
  </si>
  <si>
    <t>clienta marmolina</t>
  </si>
  <si>
    <t>Luanda</t>
  </si>
  <si>
    <t>isabella</t>
  </si>
  <si>
    <t>mío (Pagado 23 oct)</t>
  </si>
  <si>
    <t>mío (Pagado 24 oct)</t>
  </si>
  <si>
    <t>mío (Pagado 25 oct)</t>
  </si>
  <si>
    <t>mío (Pagado 26 oct)</t>
  </si>
  <si>
    <t>mío (Pagado 27 oct)</t>
  </si>
  <si>
    <t>mío (Pagado 28 oct)</t>
  </si>
  <si>
    <t>mío (Pagado 29 oct)</t>
  </si>
  <si>
    <t>mío (Pagado 30 oct)</t>
  </si>
  <si>
    <t>baby (pagado yilian baby deuda mía)</t>
  </si>
  <si>
    <t>mío mío (Pagado 30 oct)</t>
  </si>
  <si>
    <t>mío mío (Pagado 31 oct)</t>
  </si>
  <si>
    <t>mío mío (Pagado 32 oct)</t>
  </si>
  <si>
    <t>mío mío (Pagado 33 oct)</t>
  </si>
  <si>
    <t>mío mío (Pagado 34 oct)</t>
  </si>
  <si>
    <t>SOLO LLENAR SI TIENE GESTOR
USAR SIEMPRE EL MISMO NOMBRE PARA EL GESTOR</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</si>
  <si>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</si>
  <si>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BLETTA58</t>
  </si>
  <si>
    <t>BU04337</t>
  </si>
  <si>
    <t>BU04343</t>
  </si>
  <si>
    <t>BU04345</t>
  </si>
  <si>
    <t>i) NO BORRAR ESTA FILA ii) NO ESCRIBIR NADA DEBAJO DE ESTA FILA, iii) PARA CREAR UNA NUEVA, MARCA ESTA FILA COMPLETA Y DALE EN EL BOTON INSERTAR</t>
  </si>
</sst>
</file>

<file path=xl/styles.xml><?xml version="1.0" encoding="utf-8"?>
<styleSheet xmlns="http://schemas.openxmlformats.org/spreadsheetml/2006/main">
  <numFmts count="8">
    <numFmt numFmtId="176" formatCode="dd\-mmm"/>
    <numFmt numFmtId="177" formatCode="&quot;$&quot;#,##0.0"/>
    <numFmt numFmtId="178" formatCode="&quot;$&quot;#,##0.00"/>
    <numFmt numFmtId="42" formatCode="_-&quot;£&quot;* #,##0_-;\-&quot;£&quot;* #,##0_-;_-&quot;£&quot;* &quot;-&quot;_-;_-@_-"/>
    <numFmt numFmtId="43" formatCode="_-* #,##0.00_-;\-* #,##0.00_-;_-* &quot;-&quot;??_-;_-@_-"/>
    <numFmt numFmtId="41" formatCode="_-* #,##0_-;\-* #,##0_-;_-* &quot;-&quot;_-;_-@_-"/>
    <numFmt numFmtId="179" formatCode="_-&quot;$&quot;* #,##0.00_-;\-&quot;$&quot;* #,##0.00_-;_-&quot;$&quot;* &quot;-&quot;??_-;_-@_-"/>
    <numFmt numFmtId="44" formatCode="_-&quot;£&quot;* #,##0.00_-;\-&quot;£&quot;* #,##0.00_-;_-&quot;£&quot;* &quot;-&quot;??_-;_-@_-"/>
  </numFmts>
  <fonts count="46">
    <font>
      <sz val="1"/>
      <color indexed="8"/>
      <name val="Helvetica Neue"/>
      <charset val="134"/>
    </font>
    <font>
      <b/>
      <sz val="10"/>
      <color theme="0" tint="-0.0499893185216834"/>
      <name val="Helvetica Neue (Body)"/>
      <charset val="134"/>
    </font>
    <font>
      <sz val="10"/>
      <color indexed="8"/>
      <name val="Helvetica Neue"/>
      <charset val="134"/>
    </font>
    <font>
      <sz val="10"/>
      <color indexed="8"/>
      <name val="Helvetica Neue"/>
      <charset val="134"/>
      <scheme val="major"/>
    </font>
    <font>
      <sz val="10"/>
      <color rgb="FF000000"/>
      <name val="Helvetica Neue"/>
      <charset val="134"/>
      <scheme val="major"/>
    </font>
    <font>
      <b/>
      <sz val="10"/>
      <color rgb="FF000000"/>
      <name val="Helvetica Neue"/>
      <charset val="134"/>
      <scheme val="major"/>
    </font>
    <font>
      <sz val="10"/>
      <color rgb="FF000000"/>
      <name val="Helvetica Neue"/>
      <charset val="134"/>
    </font>
    <font>
      <sz val="10"/>
      <color theme="1"/>
      <name val="Helvetica Neue"/>
      <charset val="134"/>
    </font>
    <font>
      <sz val="9"/>
      <color indexed="8"/>
      <name val="Helvetica Neue"/>
      <charset val="134"/>
    </font>
    <font>
      <b/>
      <sz val="10"/>
      <color theme="0"/>
      <name val="Helvetica Neue"/>
      <charset val="134"/>
    </font>
    <font>
      <sz val="9"/>
      <color rgb="FF000000"/>
      <name val="Helvetica Neue"/>
      <charset val="134"/>
    </font>
    <font>
      <sz val="9"/>
      <color indexed="8"/>
      <name val="Helvetica Neue"/>
      <charset val="134"/>
      <scheme val="major"/>
    </font>
    <font>
      <i/>
      <sz val="9"/>
      <color indexed="8"/>
      <name val="Helvetica Neue"/>
      <charset val="134"/>
    </font>
    <font>
      <b/>
      <sz val="9"/>
      <color indexed="8"/>
      <name val="Helvetica Neue"/>
      <charset val="134"/>
    </font>
    <font>
      <b/>
      <sz val="9"/>
      <color indexed="8"/>
      <name val="Helvetica Neue"/>
      <charset val="134"/>
      <scheme val="major"/>
    </font>
    <font>
      <b/>
      <sz val="9"/>
      <color theme="0"/>
      <name val="Helvetica Neue"/>
      <charset val="134"/>
    </font>
    <font>
      <b/>
      <sz val="9"/>
      <color theme="0"/>
      <name val="Helvetica Neue (Headings)"/>
      <charset val="134"/>
    </font>
    <font>
      <sz val="12"/>
      <color indexed="8"/>
      <name val="Helvetica Neue (Body)"/>
      <charset val="134"/>
    </font>
    <font>
      <b/>
      <sz val="10"/>
      <color indexed="8"/>
      <name val="Helvetica Neue"/>
      <charset val="134"/>
      <scheme val="minor"/>
    </font>
    <font>
      <b/>
      <sz val="12"/>
      <color theme="2" tint="-0.899990844447157"/>
      <name val="Helvetica Neue (Body)"/>
      <charset val="134"/>
    </font>
    <font>
      <u/>
      <sz val="10"/>
      <color indexed="8"/>
      <name val="Helvetica Neue"/>
      <charset val="134"/>
      <scheme val="major"/>
    </font>
    <font>
      <b/>
      <sz val="10"/>
      <color indexed="8"/>
      <name val="Helvetica Neue"/>
      <charset val="134"/>
      <scheme val="major"/>
    </font>
    <font>
      <b/>
      <sz val="10"/>
      <color theme="0"/>
      <name val="Helvetica Neue (Headings)"/>
      <charset val="134"/>
    </font>
    <font>
      <sz val="11"/>
      <color theme="1"/>
      <name val="Helvetica Neue"/>
      <charset val="134"/>
      <scheme val="minor"/>
    </font>
    <font>
      <b/>
      <sz val="11"/>
      <color rgb="FFFFFFFF"/>
      <name val="Helvetica Neue"/>
      <charset val="0"/>
      <scheme val="minor"/>
    </font>
    <font>
      <sz val="11"/>
      <color theme="0"/>
      <name val="Helvetica Neue"/>
      <charset val="0"/>
      <scheme val="minor"/>
    </font>
    <font>
      <b/>
      <sz val="18"/>
      <color theme="3"/>
      <name val="Helvetica Neue"/>
      <charset val="134"/>
      <scheme val="minor"/>
    </font>
    <font>
      <u/>
      <sz val="11"/>
      <color rgb="FF0000FF"/>
      <name val="Helvetica Neue"/>
      <charset val="0"/>
      <scheme val="minor"/>
    </font>
    <font>
      <i/>
      <sz val="11"/>
      <color rgb="FF7F7F7F"/>
      <name val="Helvetica Neue"/>
      <charset val="0"/>
      <scheme val="minor"/>
    </font>
    <font>
      <b/>
      <sz val="11"/>
      <color theme="1"/>
      <name val="Helvetica Neue"/>
      <charset val="0"/>
      <scheme val="minor"/>
    </font>
    <font>
      <b/>
      <sz val="11"/>
      <color theme="3"/>
      <name val="Helvetica Neue"/>
      <charset val="134"/>
      <scheme val="minor"/>
    </font>
    <font>
      <b/>
      <sz val="13"/>
      <color theme="3"/>
      <name val="Helvetica Neue"/>
      <charset val="134"/>
      <scheme val="minor"/>
    </font>
    <font>
      <sz val="11"/>
      <color rgb="FFFF0000"/>
      <name val="Helvetica Neue"/>
      <charset val="0"/>
      <scheme val="minor"/>
    </font>
    <font>
      <sz val="11"/>
      <color theme="1"/>
      <name val="Helvetica Neue"/>
      <charset val="0"/>
      <scheme val="minor"/>
    </font>
    <font>
      <sz val="11"/>
      <color rgb="FF006100"/>
      <name val="Helvetica Neue"/>
      <charset val="0"/>
      <scheme val="minor"/>
    </font>
    <font>
      <b/>
      <sz val="11"/>
      <color rgb="FFFA7D00"/>
      <name val="Helvetica Neue"/>
      <charset val="0"/>
      <scheme val="minor"/>
    </font>
    <font>
      <sz val="11"/>
      <color rgb="FF3F3F76"/>
      <name val="Helvetica Neue"/>
      <charset val="0"/>
      <scheme val="minor"/>
    </font>
    <font>
      <b/>
      <sz val="15"/>
      <color theme="3"/>
      <name val="Helvetica Neue"/>
      <charset val="134"/>
      <scheme val="minor"/>
    </font>
    <font>
      <b/>
      <sz val="11"/>
      <color rgb="FF3F3F3F"/>
      <name val="Helvetica Neue"/>
      <charset val="0"/>
      <scheme val="minor"/>
    </font>
    <font>
      <sz val="11"/>
      <color rgb="FF9C0006"/>
      <name val="Helvetica Neue"/>
      <charset val="0"/>
      <scheme val="minor"/>
    </font>
    <font>
      <sz val="12"/>
      <color theme="1"/>
      <name val="Helvetica Neue"/>
      <charset val="134"/>
      <scheme val="minor"/>
    </font>
    <font>
      <sz val="11"/>
      <color rgb="FF9C6500"/>
      <name val="Helvetica Neue"/>
      <charset val="0"/>
      <scheme val="minor"/>
    </font>
    <font>
      <u/>
      <sz val="11"/>
      <color rgb="FF800080"/>
      <name val="Helvetica Neue"/>
      <charset val="0"/>
      <scheme val="minor"/>
    </font>
    <font>
      <sz val="11"/>
      <color rgb="FFFA7D00"/>
      <name val="Helvetica Neue"/>
      <charset val="0"/>
      <scheme val="minor"/>
    </font>
    <font>
      <sz val="10"/>
      <color rgb="FF000000"/>
      <name val="Tahoma"/>
      <charset val="134"/>
    </font>
    <font>
      <b/>
      <sz val="10"/>
      <color rgb="FF000000"/>
      <name val="Tahoma"/>
      <charset val="134"/>
    </font>
  </fonts>
  <fills count="39">
    <fill>
      <patternFill patternType="none"/>
    </fill>
    <fill>
      <patternFill patternType="gray125"/>
    </fill>
    <fill>
      <patternFill patternType="solid">
        <fgColor theme="6" tint="-0.249977111117893"/>
        <bgColor indexed="64"/>
      </patternFill>
    </fill>
    <fill>
      <patternFill patternType="solid">
        <fgColor rgb="FF002060"/>
        <bgColor indexed="64"/>
      </patternFill>
    </fill>
    <fill>
      <patternFill patternType="solid">
        <fgColor theme="7" tint="0.399975585192419"/>
        <bgColor indexed="64"/>
      </patternFill>
    </fill>
    <fill>
      <patternFill patternType="solid">
        <fgColor theme="8"/>
        <bgColor indexed="64"/>
      </patternFill>
    </fill>
    <fill>
      <patternFill patternType="solid">
        <fgColor theme="6" tint="0.399975585192419"/>
        <bgColor indexed="64"/>
      </patternFill>
    </fill>
    <fill>
      <patternFill patternType="solid">
        <fgColor theme="0"/>
        <bgColor indexed="64"/>
      </patternFill>
    </fill>
    <fill>
      <patternFill patternType="solid">
        <fgColor theme="0"/>
        <bgColor rgb="FFCEFBF5"/>
      </patternFill>
    </fill>
    <fill>
      <patternFill patternType="solid">
        <fgColor theme="7"/>
        <bgColor indexed="64"/>
      </patternFill>
    </fill>
    <fill>
      <patternFill patternType="solid">
        <fgColor rgb="FF00B050"/>
        <bgColor indexed="64"/>
      </patternFill>
    </fill>
    <fill>
      <patternFill patternType="solid">
        <fgColor theme="6" tint="0.799981688894314"/>
        <bgColor indexed="64"/>
      </patternFill>
    </fill>
    <fill>
      <patternFill patternType="solid">
        <fgColor theme="6"/>
        <bgColor indexed="64"/>
      </patternFill>
    </fill>
    <fill>
      <patternFill patternType="solid">
        <fgColor theme="8" tint="-0.249977111117893"/>
        <bgColor rgb="FF000000"/>
      </patternFill>
    </fill>
    <fill>
      <patternFill patternType="solid">
        <fgColor rgb="FFA5A5A5"/>
        <bgColor indexed="64"/>
      </patternFill>
    </fill>
    <fill>
      <patternFill patternType="solid">
        <fgColor theme="5" tint="0.599993896298105"/>
        <bgColor indexed="64"/>
      </patternFill>
    </fill>
    <fill>
      <patternFill patternType="solid">
        <fgColor rgb="FFC6EFCE"/>
        <bgColor indexed="64"/>
      </patternFill>
    </fill>
    <fill>
      <patternFill patternType="solid">
        <fgColor rgb="FFF2F2F2"/>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rgb="FFFFCC99"/>
        <bgColor indexed="64"/>
      </patternFill>
    </fill>
    <fill>
      <patternFill patternType="solid">
        <fgColor theme="9" tint="0.799981688894314"/>
        <bgColor indexed="64"/>
      </patternFill>
    </fill>
    <fill>
      <patternFill patternType="solid">
        <fgColor theme="7" tint="0.799981688894314"/>
        <bgColor indexed="64"/>
      </patternFill>
    </fill>
    <fill>
      <patternFill patternType="solid">
        <fgColor rgb="FFFFC7CE"/>
        <bgColor indexed="64"/>
      </patternFill>
    </fill>
    <fill>
      <patternFill patternType="solid">
        <fgColor theme="8" tint="0.399975585192419"/>
        <bgColor indexed="64"/>
      </patternFill>
    </fill>
    <fill>
      <patternFill patternType="solid">
        <fgColor rgb="FFFFEB9C"/>
        <bgColor indexed="64"/>
      </patternFill>
    </fill>
    <fill>
      <patternFill patternType="solid">
        <fgColor theme="8" tint="0.599993896298105"/>
        <bgColor indexed="64"/>
      </patternFill>
    </fill>
    <fill>
      <patternFill patternType="solid">
        <fgColor theme="5"/>
        <bgColor indexed="64"/>
      </patternFill>
    </fill>
    <fill>
      <patternFill patternType="solid">
        <fgColor theme="5" tint="0.799981688894314"/>
        <bgColor indexed="64"/>
      </patternFill>
    </fill>
    <fill>
      <patternFill patternType="solid">
        <fgColor theme="7" tint="0.599993896298105"/>
        <bgColor indexed="64"/>
      </patternFill>
    </fill>
    <fill>
      <patternFill patternType="solid">
        <fgColor theme="6" tint="0.599993896298105"/>
        <bgColor indexed="64"/>
      </patternFill>
    </fill>
    <fill>
      <patternFill patternType="solid">
        <fgColor theme="4" tint="0.399975585192419"/>
        <bgColor indexed="64"/>
      </patternFill>
    </fill>
    <fill>
      <patternFill patternType="solid">
        <fgColor theme="9" tint="0.399975585192419"/>
        <bgColor indexed="64"/>
      </patternFill>
    </fill>
    <fill>
      <patternFill patternType="solid">
        <fgColor theme="9" tint="0.599993896298105"/>
        <bgColor indexed="64"/>
      </patternFill>
    </fill>
    <fill>
      <patternFill patternType="solid">
        <fgColor rgb="FFFFFFCC"/>
        <bgColor indexed="64"/>
      </patternFill>
    </fill>
    <fill>
      <patternFill patternType="solid">
        <fgColor theme="4" tint="0.599993896298105"/>
        <bgColor indexed="64"/>
      </patternFill>
    </fill>
    <fill>
      <patternFill patternType="solid">
        <fgColor theme="9"/>
        <bgColor indexed="64"/>
      </patternFill>
    </fill>
    <fill>
      <patternFill patternType="solid">
        <fgColor theme="5" tint="0.399975585192419"/>
        <bgColor indexed="64"/>
      </patternFill>
    </fill>
    <fill>
      <patternFill patternType="solid">
        <fgColor theme="4"/>
        <bgColor indexed="64"/>
      </patternFill>
    </fill>
  </fills>
  <borders count="17">
    <border>
      <left/>
      <right/>
      <top/>
      <bottom/>
      <diagonal/>
    </border>
    <border>
      <left style="thin">
        <color theme="0" tint="-0.0499893185216834"/>
      </left>
      <right style="thin">
        <color theme="0" tint="-0.0499893185216834"/>
      </right>
      <top style="thin">
        <color theme="0" tint="-0.0499893185216834"/>
      </top>
      <bottom style="thin">
        <color theme="0" tint="-0.0499893185216834"/>
      </bottom>
      <diagonal/>
    </border>
    <border>
      <left style="thin">
        <color rgb="FFF2F2F2"/>
      </left>
      <right style="thin">
        <color rgb="FFF2F2F2"/>
      </right>
      <top style="thin">
        <color rgb="FFF2F2F2"/>
      </top>
      <bottom style="thin">
        <color rgb="FFF2F2F2"/>
      </bottom>
      <diagonal/>
    </border>
    <border>
      <left style="thin">
        <color theme="0" tint="-0.0499893185216834"/>
      </left>
      <right style="thin">
        <color theme="0" tint="-0.0499893185216834"/>
      </right>
      <top style="thin">
        <color theme="0" tint="-0.0499893185216834"/>
      </top>
      <bottom/>
      <diagonal/>
    </border>
    <border>
      <left style="thin">
        <color theme="3" tint="0.799981688894314"/>
      </left>
      <right style="thin">
        <color theme="3" tint="0.799981688894314"/>
      </right>
      <top style="thin">
        <color theme="3" tint="0.799981688894314"/>
      </top>
      <bottom style="thin">
        <color theme="3" tint="0.799981688894314"/>
      </bottom>
      <diagonal/>
    </border>
    <border>
      <left style="thin">
        <color theme="0" tint="-0.0499893185216834"/>
      </left>
      <right style="thin">
        <color theme="0" tint="-0.0499893185216834"/>
      </right>
      <top/>
      <bottom style="thin">
        <color theme="0" tint="-0.0499893185216834"/>
      </bottom>
      <diagonal/>
    </border>
    <border>
      <left style="thin">
        <color theme="0" tint="-0.499984740745262"/>
      </left>
      <right style="thin">
        <color theme="0" tint="-0.499984740745262"/>
      </right>
      <top/>
      <bottom style="thin">
        <color theme="0" tint="-0.499984740745262"/>
      </bottom>
      <diagonal/>
    </border>
    <border>
      <left style="thin">
        <color theme="0" tint="-0.0499893185216834"/>
      </left>
      <right style="thin">
        <color theme="0" tint="-0.0499893185216834"/>
      </right>
      <top/>
      <bottom/>
      <diagonal/>
    </border>
    <border>
      <left/>
      <right style="thin">
        <color theme="0" tint="-0.0499893185216834"/>
      </right>
      <top/>
      <bottom style="thin">
        <color theme="0" tint="-0.0499893185216834"/>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right/>
      <top/>
      <bottom style="medium">
        <color theme="4" tint="0.499984740745262"/>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s>
  <cellStyleXfs count="52">
    <xf numFmtId="0" fontId="0" fillId="0" borderId="0" applyNumberFormat="0" applyFill="0" applyBorder="0" applyProtection="0">
      <alignment vertical="top" wrapText="1"/>
    </xf>
    <xf numFmtId="0" fontId="40" fillId="0" borderId="0"/>
    <xf numFmtId="179" fontId="40" fillId="0" borderId="0" applyFont="0" applyFill="0" applyBorder="0" applyAlignment="0" applyProtection="0"/>
    <xf numFmtId="0" fontId="25" fillId="32" borderId="0" applyNumberFormat="0" applyBorder="0" applyAlignment="0" applyProtection="0">
      <alignment vertical="center"/>
    </xf>
    <xf numFmtId="0" fontId="33" fillId="33" borderId="0" applyNumberFormat="0" applyBorder="0" applyAlignment="0" applyProtection="0">
      <alignment vertical="center"/>
    </xf>
    <xf numFmtId="0" fontId="25" fillId="24" borderId="0" applyNumberFormat="0" applyBorder="0" applyAlignment="0" applyProtection="0">
      <alignment vertical="center"/>
    </xf>
    <xf numFmtId="0" fontId="25" fillId="36" borderId="0" applyNumberFormat="0" applyBorder="0" applyAlignment="0" applyProtection="0">
      <alignment vertical="center"/>
    </xf>
    <xf numFmtId="0" fontId="33" fillId="26" borderId="0" applyNumberFormat="0" applyBorder="0" applyAlignment="0" applyProtection="0">
      <alignment vertical="center"/>
    </xf>
    <xf numFmtId="0" fontId="33" fillId="19" borderId="0" applyNumberFormat="0" applyBorder="0" applyAlignment="0" applyProtection="0">
      <alignment vertical="center"/>
    </xf>
    <xf numFmtId="0" fontId="25" fillId="4" borderId="0" applyNumberFormat="0" applyBorder="0" applyAlignment="0" applyProtection="0">
      <alignment vertical="center"/>
    </xf>
    <xf numFmtId="0" fontId="25" fillId="5" borderId="0" applyNumberFormat="0" applyBorder="0" applyAlignment="0" applyProtection="0">
      <alignment vertical="center"/>
    </xf>
    <xf numFmtId="0" fontId="33" fillId="29" borderId="0" applyNumberFormat="0" applyBorder="0" applyAlignment="0" applyProtection="0">
      <alignment vertical="center"/>
    </xf>
    <xf numFmtId="0" fontId="25" fillId="9" borderId="0" applyNumberFormat="0" applyBorder="0" applyAlignment="0" applyProtection="0">
      <alignment vertical="center"/>
    </xf>
    <xf numFmtId="0" fontId="43" fillId="0" borderId="15" applyNumberFormat="0" applyFill="0" applyAlignment="0" applyProtection="0">
      <alignment vertical="center"/>
    </xf>
    <xf numFmtId="0" fontId="33" fillId="30" borderId="0" applyNumberFormat="0" applyBorder="0" applyAlignment="0" applyProtection="0">
      <alignment vertical="center"/>
    </xf>
    <xf numFmtId="0" fontId="25" fillId="37" borderId="0" applyNumberFormat="0" applyBorder="0" applyAlignment="0" applyProtection="0">
      <alignment vertical="center"/>
    </xf>
    <xf numFmtId="0" fontId="25" fillId="12" borderId="0" applyNumberFormat="0" applyBorder="0" applyAlignment="0" applyProtection="0">
      <alignment vertical="center"/>
    </xf>
    <xf numFmtId="0" fontId="33" fillId="15" borderId="0" applyNumberFormat="0" applyBorder="0" applyAlignment="0" applyProtection="0">
      <alignment vertical="center"/>
    </xf>
    <xf numFmtId="0" fontId="33" fillId="28" borderId="0" applyNumberFormat="0" applyBorder="0" applyAlignment="0" applyProtection="0">
      <alignment vertical="center"/>
    </xf>
    <xf numFmtId="0" fontId="25" fillId="27" borderId="0" applyNumberFormat="0" applyBorder="0" applyAlignment="0" applyProtection="0">
      <alignment vertical="center"/>
    </xf>
    <xf numFmtId="0" fontId="33" fillId="35" borderId="0" applyNumberFormat="0" applyBorder="0" applyAlignment="0" applyProtection="0">
      <alignment vertical="center"/>
    </xf>
    <xf numFmtId="0" fontId="2" fillId="0" borderId="0" applyNumberFormat="0" applyFill="0" applyBorder="0" applyProtection="0">
      <alignment vertical="top" wrapText="1"/>
    </xf>
    <xf numFmtId="0" fontId="33" fillId="18" borderId="0" applyNumberFormat="0" applyBorder="0" applyAlignment="0" applyProtection="0">
      <alignment vertical="center"/>
    </xf>
    <xf numFmtId="0" fontId="25" fillId="38" borderId="0" applyNumberFormat="0" applyBorder="0" applyAlignment="0" applyProtection="0">
      <alignment vertical="center"/>
    </xf>
    <xf numFmtId="0" fontId="41" fillId="25" borderId="0" applyNumberFormat="0" applyBorder="0" applyAlignment="0" applyProtection="0">
      <alignment vertical="center"/>
    </xf>
    <xf numFmtId="0" fontId="25" fillId="31" borderId="0" applyNumberFormat="0" applyBorder="0" applyAlignment="0" applyProtection="0">
      <alignment vertical="center"/>
    </xf>
    <xf numFmtId="0" fontId="39" fillId="23" borderId="0" applyNumberFormat="0" applyBorder="0" applyAlignment="0" applyProtection="0">
      <alignment vertical="center"/>
    </xf>
    <xf numFmtId="0" fontId="33" fillId="22" borderId="0" applyNumberFormat="0" applyBorder="0" applyAlignment="0" applyProtection="0">
      <alignment vertical="center"/>
    </xf>
    <xf numFmtId="0" fontId="29" fillId="0" borderId="10" applyNumberFormat="0" applyFill="0" applyAlignment="0" applyProtection="0">
      <alignment vertical="center"/>
    </xf>
    <xf numFmtId="0" fontId="38" fillId="17" borderId="14" applyNumberFormat="0" applyAlignment="0" applyProtection="0">
      <alignment vertical="center"/>
    </xf>
    <xf numFmtId="44" fontId="23" fillId="0" borderId="0" applyFont="0" applyFill="0" applyBorder="0" applyAlignment="0" applyProtection="0">
      <alignment vertical="center"/>
    </xf>
    <xf numFmtId="0" fontId="33" fillId="11" borderId="0" applyNumberFormat="0" applyBorder="0" applyAlignment="0" applyProtection="0">
      <alignment vertical="center"/>
    </xf>
    <xf numFmtId="0" fontId="23" fillId="34" borderId="16" applyNumberFormat="0" applyFont="0" applyAlignment="0" applyProtection="0">
      <alignment vertical="center"/>
    </xf>
    <xf numFmtId="0" fontId="36" fillId="20" borderId="13" applyNumberFormat="0" applyAlignment="0" applyProtection="0">
      <alignment vertical="center"/>
    </xf>
    <xf numFmtId="0" fontId="30" fillId="0" borderId="0" applyNumberFormat="0" applyFill="0" applyBorder="0" applyAlignment="0" applyProtection="0">
      <alignment vertical="center"/>
    </xf>
    <xf numFmtId="0" fontId="35" fillId="17" borderId="13" applyNumberFormat="0" applyAlignment="0" applyProtection="0">
      <alignment vertical="center"/>
    </xf>
    <xf numFmtId="0" fontId="34" fillId="16" borderId="0" applyNumberFormat="0" applyBorder="0" applyAlignment="0" applyProtection="0">
      <alignment vertical="center"/>
    </xf>
    <xf numFmtId="0" fontId="30" fillId="0" borderId="11" applyNumberFormat="0" applyFill="0" applyAlignment="0" applyProtection="0">
      <alignment vertical="center"/>
    </xf>
    <xf numFmtId="0" fontId="28" fillId="0" borderId="0" applyNumberFormat="0" applyFill="0" applyBorder="0" applyAlignment="0" applyProtection="0">
      <alignment vertical="center"/>
    </xf>
    <xf numFmtId="0" fontId="37" fillId="0" borderId="12" applyNumberFormat="0" applyFill="0" applyAlignment="0" applyProtection="0">
      <alignment vertical="center"/>
    </xf>
    <xf numFmtId="41" fontId="23" fillId="0" borderId="0" applyFont="0" applyFill="0" applyBorder="0" applyAlignment="0" applyProtection="0">
      <alignment vertical="center"/>
    </xf>
    <xf numFmtId="0" fontId="33" fillId="21" borderId="0" applyNumberFormat="0" applyBorder="0" applyAlignment="0" applyProtection="0">
      <alignment vertical="center"/>
    </xf>
    <xf numFmtId="0" fontId="26" fillId="0" borderId="0" applyNumberFormat="0" applyFill="0" applyBorder="0" applyAlignment="0" applyProtection="0">
      <alignment vertical="center"/>
    </xf>
    <xf numFmtId="42" fontId="23" fillId="0" borderId="0" applyFont="0" applyFill="0" applyBorder="0" applyAlignment="0" applyProtection="0">
      <alignment vertical="center"/>
    </xf>
    <xf numFmtId="0" fontId="32" fillId="0" borderId="0" applyNumberFormat="0" applyFill="0" applyBorder="0" applyAlignment="0" applyProtection="0">
      <alignment vertical="center"/>
    </xf>
    <xf numFmtId="0" fontId="42" fillId="0" borderId="0" applyNumberFormat="0" applyFill="0" applyBorder="0" applyAlignment="0" applyProtection="0">
      <alignment vertical="center"/>
    </xf>
    <xf numFmtId="0" fontId="31" fillId="0" borderId="12" applyNumberFormat="0" applyFill="0" applyAlignment="0" applyProtection="0">
      <alignment vertical="center"/>
    </xf>
    <xf numFmtId="43" fontId="23" fillId="0" borderId="0" applyFont="0" applyFill="0" applyBorder="0" applyAlignment="0" applyProtection="0">
      <alignment vertical="center"/>
    </xf>
    <xf numFmtId="0" fontId="24" fillId="14" borderId="9" applyNumberFormat="0" applyAlignment="0" applyProtection="0">
      <alignment vertical="center"/>
    </xf>
    <xf numFmtId="0" fontId="25" fillId="6" borderId="0" applyNumberFormat="0" applyBorder="0" applyAlignment="0" applyProtection="0">
      <alignment vertical="center"/>
    </xf>
    <xf numFmtId="9" fontId="23" fillId="0" borderId="0" applyFont="0" applyFill="0" applyBorder="0" applyAlignment="0" applyProtection="0">
      <alignment vertical="center"/>
    </xf>
    <xf numFmtId="0" fontId="27" fillId="0" borderId="0" applyNumberFormat="0" applyFill="0" applyBorder="0" applyAlignment="0" applyProtection="0">
      <alignment vertical="center"/>
    </xf>
  </cellStyleXfs>
  <cellXfs count="105">
    <xf numFmtId="0" fontId="0" fillId="0" borderId="0" xfId="0">
      <alignment vertical="top" wrapText="1"/>
    </xf>
    <xf numFmtId="0" fontId="0" fillId="2" borderId="0" xfId="0" applyFill="1" applyAlignment="1">
      <alignment vertical="center" wrapText="1"/>
    </xf>
    <xf numFmtId="0" fontId="0" fillId="0" borderId="0" xfId="0" applyFill="1">
      <alignment vertical="top" wrapText="1"/>
    </xf>
    <xf numFmtId="0" fontId="1" fillId="3" borderId="0" xfId="0" applyFont="1" applyFill="1">
      <alignment vertical="top" wrapText="1"/>
    </xf>
    <xf numFmtId="0" fontId="2" fillId="2" borderId="0" xfId="0" applyFont="1" applyFill="1" applyAlignment="1">
      <alignment vertical="center" wrapText="1"/>
    </xf>
    <xf numFmtId="0" fontId="3" fillId="0" borderId="1" xfId="0" applyNumberFormat="1" applyFont="1" applyFill="1" applyBorder="1" applyAlignment="1">
      <alignment vertical="top"/>
    </xf>
    <xf numFmtId="178" fontId="3" fillId="0" borderId="1" xfId="0" applyNumberFormat="1" applyFont="1" applyFill="1" applyBorder="1" applyAlignment="1">
      <alignment horizontal="left" vertical="top"/>
    </xf>
    <xf numFmtId="0" fontId="2" fillId="0" borderId="0" xfId="0" applyFont="1" applyFill="1">
      <alignment vertical="top" wrapText="1"/>
    </xf>
    <xf numFmtId="1" fontId="0" fillId="0" borderId="0" xfId="0" applyNumberFormat="1" applyFill="1">
      <alignment vertical="top" wrapText="1"/>
    </xf>
    <xf numFmtId="0" fontId="0" fillId="0" borderId="0" xfId="0" applyNumberFormat="1" applyFill="1">
      <alignment vertical="top" wrapText="1"/>
    </xf>
    <xf numFmtId="0" fontId="3" fillId="0" borderId="1" xfId="0" applyNumberFormat="1" applyFont="1" applyFill="1" applyBorder="1" applyAlignment="1">
      <alignment horizontal="left" vertical="top"/>
    </xf>
    <xf numFmtId="0" fontId="4" fillId="0" borderId="1" xfId="0" applyNumberFormat="1" applyFont="1" applyFill="1" applyBorder="1">
      <alignment vertical="top" wrapText="1"/>
    </xf>
    <xf numFmtId="178" fontId="5" fillId="0" borderId="1" xfId="0" applyNumberFormat="1" applyFont="1" applyFill="1" applyBorder="1" applyAlignment="1">
      <alignment horizontal="left" vertical="top"/>
    </xf>
    <xf numFmtId="178" fontId="4" fillId="0" borderId="1" xfId="0" applyNumberFormat="1" applyFont="1" applyFill="1" applyBorder="1" applyAlignment="1">
      <alignment horizontal="left" vertical="top"/>
    </xf>
    <xf numFmtId="0" fontId="2" fillId="0" borderId="0" xfId="0" applyNumberFormat="1" applyFont="1" applyFill="1">
      <alignment vertical="top" wrapText="1"/>
    </xf>
    <xf numFmtId="0" fontId="6" fillId="0" borderId="2" xfId="0" applyNumberFormat="1" applyFont="1" applyFill="1" applyBorder="1" applyAlignment="1">
      <alignment vertical="top"/>
    </xf>
    <xf numFmtId="0" fontId="3" fillId="0" borderId="3" xfId="0" applyNumberFormat="1" applyFont="1" applyFill="1" applyBorder="1" applyAlignment="1">
      <alignment vertical="top"/>
    </xf>
    <xf numFmtId="0" fontId="0" fillId="0" borderId="0" xfId="0" applyNumberFormat="1" applyFill="1" applyBorder="1">
      <alignment vertical="top" wrapText="1"/>
    </xf>
    <xf numFmtId="0" fontId="1" fillId="3" borderId="1" xfId="0" applyNumberFormat="1" applyFont="1" applyFill="1" applyBorder="1" applyAlignment="1">
      <alignment vertical="top"/>
    </xf>
    <xf numFmtId="178" fontId="1" fillId="3" borderId="1" xfId="0" applyNumberFormat="1" applyFont="1" applyFill="1" applyBorder="1" applyAlignment="1">
      <alignment horizontal="left" vertical="top"/>
    </xf>
    <xf numFmtId="0" fontId="1" fillId="3" borderId="0" xfId="0" applyNumberFormat="1" applyFont="1" applyFill="1" applyBorder="1">
      <alignment vertical="top" wrapText="1"/>
    </xf>
    <xf numFmtId="0" fontId="0" fillId="2" borderId="4" xfId="0" applyFill="1" applyBorder="1" applyAlignment="1">
      <alignment vertical="center" wrapText="1"/>
    </xf>
    <xf numFmtId="0" fontId="0" fillId="4" borderId="4" xfId="0" applyFill="1" applyBorder="1">
      <alignment vertical="top" wrapText="1"/>
    </xf>
    <xf numFmtId="0" fontId="0" fillId="5" borderId="4" xfId="0" applyFill="1" applyBorder="1">
      <alignment vertical="top" wrapText="1"/>
    </xf>
    <xf numFmtId="0" fontId="0" fillId="0" borderId="4" xfId="0" applyBorder="1">
      <alignment vertical="top" wrapText="1"/>
    </xf>
    <xf numFmtId="0" fontId="0" fillId="0" borderId="4" xfId="0" applyNumberFormat="1" applyBorder="1">
      <alignment vertical="top" wrapText="1"/>
    </xf>
    <xf numFmtId="178" fontId="0" fillId="0" borderId="4" xfId="0" applyNumberFormat="1" applyBorder="1">
      <alignment vertical="top" wrapText="1"/>
    </xf>
    <xf numFmtId="0" fontId="7" fillId="6" borderId="4" xfId="0" applyFont="1" applyFill="1" applyBorder="1" applyAlignment="1">
      <alignment horizontal="center" vertical="top" wrapText="1"/>
    </xf>
    <xf numFmtId="0" fontId="2" fillId="2" borderId="4" xfId="0" applyFont="1" applyFill="1" applyBorder="1" applyAlignment="1">
      <alignment vertical="center" wrapText="1"/>
    </xf>
    <xf numFmtId="176" fontId="8" fillId="0" borderId="4" xfId="0" applyNumberFormat="1" applyFont="1" applyBorder="1">
      <alignment vertical="top" wrapText="1"/>
    </xf>
    <xf numFmtId="0" fontId="8" fillId="0" borderId="4" xfId="0" applyFont="1" applyBorder="1">
      <alignment vertical="top" wrapText="1"/>
    </xf>
    <xf numFmtId="0" fontId="7" fillId="6" borderId="4" xfId="0" applyNumberFormat="1" applyFont="1" applyFill="1" applyBorder="1" applyAlignment="1">
      <alignment horizontal="center" vertical="top" wrapText="1"/>
    </xf>
    <xf numFmtId="0" fontId="2" fillId="2" borderId="4" xfId="0" applyNumberFormat="1" applyFont="1" applyFill="1" applyBorder="1" applyAlignment="1">
      <alignment vertical="center" wrapText="1"/>
    </xf>
    <xf numFmtId="178" fontId="2" fillId="2" borderId="4" xfId="0" applyNumberFormat="1" applyFont="1" applyFill="1" applyBorder="1" applyAlignment="1">
      <alignment vertical="center" wrapText="1"/>
    </xf>
    <xf numFmtId="0" fontId="8" fillId="0" borderId="4" xfId="0" applyNumberFormat="1" applyFont="1" applyBorder="1">
      <alignment vertical="top" wrapText="1"/>
    </xf>
    <xf numFmtId="178" fontId="8" fillId="0" borderId="4" xfId="0" applyNumberFormat="1" applyFont="1" applyBorder="1">
      <alignment vertical="top" wrapText="1"/>
    </xf>
    <xf numFmtId="0" fontId="9" fillId="7" borderId="4" xfId="0" applyFont="1" applyFill="1" applyBorder="1">
      <alignment vertical="top" wrapText="1"/>
    </xf>
    <xf numFmtId="178" fontId="0" fillId="7" borderId="4" xfId="0" applyNumberFormat="1" applyFill="1" applyBorder="1">
      <alignment vertical="top" wrapText="1"/>
    </xf>
    <xf numFmtId="0" fontId="2" fillId="0" borderId="4" xfId="0" applyFont="1" applyBorder="1">
      <alignment vertical="top" wrapText="1"/>
    </xf>
    <xf numFmtId="1" fontId="0" fillId="0" borderId="4" xfId="0" applyNumberFormat="1" applyBorder="1">
      <alignment vertical="top" wrapText="1"/>
    </xf>
    <xf numFmtId="176" fontId="8" fillId="4" borderId="4" xfId="0" applyNumberFormat="1" applyFont="1" applyFill="1" applyBorder="1">
      <alignment vertical="top" wrapText="1"/>
    </xf>
    <xf numFmtId="0" fontId="8" fillId="4" borderId="4" xfId="0" applyFont="1" applyFill="1" applyBorder="1">
      <alignment vertical="top" wrapText="1"/>
    </xf>
    <xf numFmtId="176" fontId="10" fillId="0" borderId="4" xfId="0" applyNumberFormat="1" applyFont="1" applyBorder="1">
      <alignment vertical="top" wrapText="1"/>
    </xf>
    <xf numFmtId="0" fontId="8" fillId="4" borderId="4" xfId="0" applyNumberFormat="1" applyFont="1" applyFill="1" applyBorder="1">
      <alignment vertical="top" wrapText="1"/>
    </xf>
    <xf numFmtId="178" fontId="8" fillId="4" borderId="4" xfId="0" applyNumberFormat="1" applyFont="1" applyFill="1" applyBorder="1">
      <alignment vertical="top" wrapText="1"/>
    </xf>
    <xf numFmtId="178" fontId="10" fillId="8" borderId="4" xfId="0" applyNumberFormat="1" applyFont="1" applyFill="1" applyBorder="1" applyAlignment="1">
      <alignment vertical="top"/>
    </xf>
    <xf numFmtId="0" fontId="8" fillId="9" borderId="4" xfId="0" applyFont="1" applyFill="1" applyBorder="1">
      <alignment vertical="top" wrapText="1"/>
    </xf>
    <xf numFmtId="178" fontId="10" fillId="0" borderId="4" xfId="0" applyNumberFormat="1" applyFont="1" applyBorder="1" applyAlignment="1">
      <alignment vertical="top"/>
    </xf>
    <xf numFmtId="176" fontId="8" fillId="10" borderId="4" xfId="0" applyNumberFormat="1" applyFont="1" applyFill="1" applyBorder="1">
      <alignment vertical="top" wrapText="1"/>
    </xf>
    <xf numFmtId="0" fontId="8" fillId="10" borderId="4" xfId="0" applyFont="1" applyFill="1" applyBorder="1">
      <alignment vertical="top" wrapText="1"/>
    </xf>
    <xf numFmtId="0" fontId="8" fillId="10" borderId="4" xfId="0" applyNumberFormat="1" applyFont="1" applyFill="1" applyBorder="1">
      <alignment vertical="top" wrapText="1"/>
    </xf>
    <xf numFmtId="178" fontId="8" fillId="10" borderId="4" xfId="0" applyNumberFormat="1" applyFont="1" applyFill="1" applyBorder="1">
      <alignment vertical="top" wrapText="1"/>
    </xf>
    <xf numFmtId="176" fontId="8" fillId="0" borderId="4" xfId="0" applyNumberFormat="1" applyFont="1" applyBorder="1" applyAlignment="1">
      <alignment horizontal="right" vertical="top" wrapText="1"/>
    </xf>
    <xf numFmtId="176" fontId="8" fillId="4" borderId="4" xfId="0" applyNumberFormat="1" applyFont="1" applyFill="1" applyBorder="1" applyAlignment="1">
      <alignment horizontal="right" vertical="top" wrapText="1"/>
    </xf>
    <xf numFmtId="176" fontId="10" fillId="0" borderId="4" xfId="0" applyNumberFormat="1" applyFont="1" applyBorder="1" applyAlignment="1">
      <alignment horizontal="right" vertical="top" wrapText="1"/>
    </xf>
    <xf numFmtId="176" fontId="8" fillId="10" borderId="4" xfId="0" applyNumberFormat="1" applyFont="1" applyFill="1" applyBorder="1" applyAlignment="1">
      <alignment horizontal="right" vertical="top" wrapText="1"/>
    </xf>
    <xf numFmtId="176" fontId="10" fillId="5" borderId="4" xfId="0" applyNumberFormat="1" applyFont="1" applyFill="1" applyBorder="1" applyAlignment="1">
      <alignment horizontal="right" vertical="top" wrapText="1"/>
    </xf>
    <xf numFmtId="0" fontId="8" fillId="5" borderId="4" xfId="0" applyFont="1" applyFill="1" applyBorder="1">
      <alignment vertical="top" wrapText="1"/>
    </xf>
    <xf numFmtId="178" fontId="11" fillId="4" borderId="4" xfId="0" applyNumberFormat="1" applyFont="1" applyFill="1" applyBorder="1" applyAlignment="1">
      <alignment vertical="top"/>
    </xf>
    <xf numFmtId="178" fontId="11" fillId="10" borderId="4" xfId="0" applyNumberFormat="1" applyFont="1" applyFill="1" applyBorder="1" applyAlignment="1">
      <alignment vertical="top"/>
    </xf>
    <xf numFmtId="178" fontId="8" fillId="5" borderId="4" xfId="0" applyNumberFormat="1" applyFont="1" applyFill="1" applyBorder="1">
      <alignment vertical="top" wrapText="1"/>
    </xf>
    <xf numFmtId="176" fontId="8" fillId="7" borderId="4" xfId="0" applyNumberFormat="1" applyFont="1" applyFill="1" applyBorder="1">
      <alignment vertical="top" wrapText="1"/>
    </xf>
    <xf numFmtId="176" fontId="8" fillId="11" borderId="4" xfId="0" applyNumberFormat="1" applyFont="1" applyFill="1" applyBorder="1">
      <alignment vertical="top" wrapText="1"/>
    </xf>
    <xf numFmtId="0" fontId="8" fillId="7" borderId="4" xfId="0" applyFont="1" applyFill="1" applyBorder="1">
      <alignment vertical="top" wrapText="1"/>
    </xf>
    <xf numFmtId="176" fontId="8" fillId="7" borderId="4" xfId="0" applyNumberFormat="1" applyFont="1" applyFill="1" applyBorder="1" applyAlignment="1">
      <alignment horizontal="right" vertical="top" wrapText="1"/>
    </xf>
    <xf numFmtId="176" fontId="8" fillId="11" borderId="4" xfId="0" applyNumberFormat="1" applyFont="1" applyFill="1" applyBorder="1" applyAlignment="1">
      <alignment horizontal="right" vertical="top" wrapText="1"/>
    </xf>
    <xf numFmtId="178" fontId="11" fillId="0" borderId="4" xfId="0" applyNumberFormat="1" applyFont="1" applyFill="1" applyBorder="1" applyAlignment="1">
      <alignment vertical="top"/>
    </xf>
    <xf numFmtId="0" fontId="10" fillId="0" borderId="4" xfId="0" applyFont="1" applyBorder="1">
      <alignment vertical="top" wrapText="1"/>
    </xf>
    <xf numFmtId="178" fontId="12" fillId="0" borderId="4" xfId="0" applyNumberFormat="1" applyFont="1" applyBorder="1">
      <alignment vertical="top" wrapText="1"/>
    </xf>
    <xf numFmtId="0" fontId="8" fillId="3" borderId="4" xfId="0" applyFont="1" applyFill="1" applyBorder="1">
      <alignment vertical="top" wrapText="1"/>
    </xf>
    <xf numFmtId="0" fontId="13" fillId="4" borderId="4" xfId="0" applyFont="1" applyFill="1" applyBorder="1" applyAlignment="1">
      <alignment horizontal="center" vertical="center" wrapText="1"/>
    </xf>
    <xf numFmtId="178" fontId="14" fillId="12" borderId="4" xfId="0" applyNumberFormat="1" applyFont="1" applyFill="1" applyBorder="1" applyAlignment="1">
      <alignment horizontal="center" vertical="center" wrapText="1"/>
    </xf>
    <xf numFmtId="0" fontId="15" fillId="3" borderId="4" xfId="0" applyNumberFormat="1" applyFont="1" applyFill="1" applyBorder="1">
      <alignment vertical="top" wrapText="1"/>
    </xf>
    <xf numFmtId="178" fontId="16" fillId="13" borderId="4" xfId="0" applyNumberFormat="1" applyFont="1" applyFill="1" applyBorder="1" applyAlignment="1">
      <alignment horizontal="center" vertical="center"/>
    </xf>
    <xf numFmtId="178" fontId="8" fillId="3" borderId="4" xfId="0" applyNumberFormat="1" applyFont="1" applyFill="1" applyBorder="1">
      <alignment vertical="top" wrapText="1"/>
    </xf>
    <xf numFmtId="0" fontId="17" fillId="0" borderId="0" xfId="0" applyNumberFormat="1" applyFont="1" applyAlignment="1">
      <alignment vertical="top"/>
    </xf>
    <xf numFmtId="178" fontId="3" fillId="0" borderId="5" xfId="0" applyNumberFormat="1" applyFont="1" applyBorder="1" applyAlignment="1">
      <alignment vertical="top"/>
    </xf>
    <xf numFmtId="178" fontId="3" fillId="0" borderId="1" xfId="0" applyNumberFormat="1" applyFont="1" applyBorder="1" applyAlignment="1">
      <alignment vertical="top"/>
    </xf>
    <xf numFmtId="178" fontId="3" fillId="0" borderId="0" xfId="0" applyNumberFormat="1" applyFont="1" applyBorder="1" applyAlignment="1">
      <alignment vertical="top"/>
    </xf>
    <xf numFmtId="0" fontId="0" fillId="0" borderId="0" xfId="0" applyNumberFormat="1" applyFill="1" applyAlignment="1">
      <alignment vertical="top"/>
    </xf>
    <xf numFmtId="0" fontId="0" fillId="0" borderId="0" xfId="0" applyNumberFormat="1" applyAlignment="1">
      <alignment vertical="top"/>
    </xf>
    <xf numFmtId="0" fontId="18" fillId="0" borderId="0" xfId="0" applyNumberFormat="1" applyFont="1" applyAlignment="1">
      <alignment vertical="top"/>
    </xf>
    <xf numFmtId="0" fontId="0" fillId="0" borderId="0" xfId="0" applyNumberFormat="1">
      <alignment vertical="top" wrapText="1"/>
    </xf>
    <xf numFmtId="178" fontId="0" fillId="0" borderId="0" xfId="0" applyNumberFormat="1" applyAlignment="1">
      <alignment vertical="top"/>
    </xf>
    <xf numFmtId="177" fontId="0" fillId="0" borderId="0" xfId="0" applyNumberFormat="1" applyAlignment="1">
      <alignment vertical="top"/>
    </xf>
    <xf numFmtId="49" fontId="0" fillId="0" borderId="0" xfId="0" applyNumberFormat="1" applyAlignment="1">
      <alignment vertical="top"/>
    </xf>
    <xf numFmtId="178" fontId="19" fillId="4" borderId="6" xfId="0" applyNumberFormat="1" applyFont="1" applyFill="1" applyBorder="1" applyAlignment="1">
      <alignment horizontal="center" vertical="center" wrapText="1"/>
    </xf>
    <xf numFmtId="49" fontId="19" fillId="4" borderId="6" xfId="0" applyNumberFormat="1" applyFont="1" applyFill="1" applyBorder="1" applyAlignment="1">
      <alignment horizontal="center" vertical="center" wrapText="1"/>
    </xf>
    <xf numFmtId="49" fontId="19" fillId="4" borderId="6" xfId="0" applyNumberFormat="1" applyFont="1" applyFill="1" applyBorder="1" applyAlignment="1">
      <alignment horizontal="left" vertical="center" wrapText="1"/>
    </xf>
    <xf numFmtId="178" fontId="19" fillId="4" borderId="6" xfId="0" applyNumberFormat="1" applyFont="1" applyFill="1" applyBorder="1" applyAlignment="1">
      <alignment horizontal="left" vertical="center" wrapText="1"/>
    </xf>
    <xf numFmtId="0" fontId="19" fillId="4" borderId="6" xfId="0" applyNumberFormat="1" applyFont="1" applyFill="1" applyBorder="1" applyAlignment="1">
      <alignment horizontal="left" vertical="center" wrapText="1"/>
    </xf>
    <xf numFmtId="0" fontId="3" fillId="0" borderId="5" xfId="0" applyNumberFormat="1" applyFont="1" applyBorder="1" applyAlignment="1">
      <alignment vertical="top"/>
    </xf>
    <xf numFmtId="0" fontId="3" fillId="0" borderId="1" xfId="0" applyNumberFormat="1" applyFont="1" applyBorder="1" applyAlignment="1">
      <alignment vertical="top"/>
    </xf>
    <xf numFmtId="177" fontId="19" fillId="4" borderId="6" xfId="0" applyNumberFormat="1" applyFont="1" applyFill="1" applyBorder="1" applyAlignment="1">
      <alignment horizontal="left" vertical="center" wrapText="1"/>
    </xf>
    <xf numFmtId="178" fontId="3" fillId="0" borderId="7" xfId="0" applyNumberFormat="1" applyFont="1" applyBorder="1" applyAlignment="1">
      <alignment vertical="top"/>
    </xf>
    <xf numFmtId="178" fontId="3" fillId="0" borderId="7" xfId="0" applyNumberFormat="1" applyFont="1" applyFill="1" applyBorder="1" applyAlignment="1">
      <alignment horizontal="left" vertical="top"/>
    </xf>
    <xf numFmtId="0" fontId="3" fillId="0" borderId="7" xfId="0" applyNumberFormat="1" applyFont="1" applyBorder="1" applyAlignment="1">
      <alignment vertical="top"/>
    </xf>
    <xf numFmtId="178" fontId="4" fillId="0" borderId="5" xfId="0" applyNumberFormat="1" applyFont="1" applyBorder="1" applyAlignment="1">
      <alignment vertical="top"/>
    </xf>
    <xf numFmtId="178" fontId="4" fillId="0" borderId="7" xfId="0" applyNumberFormat="1" applyFont="1" applyBorder="1" applyAlignment="1">
      <alignment vertical="top"/>
    </xf>
    <xf numFmtId="178" fontId="20" fillId="0" borderId="7" xfId="0" applyNumberFormat="1" applyFont="1" applyBorder="1" applyAlignment="1">
      <alignment vertical="top"/>
    </xf>
    <xf numFmtId="178" fontId="3" fillId="0" borderId="8" xfId="0" applyNumberFormat="1" applyFont="1" applyBorder="1" applyAlignment="1">
      <alignment vertical="top"/>
    </xf>
    <xf numFmtId="178" fontId="21" fillId="12" borderId="1" xfId="0" applyNumberFormat="1" applyFont="1" applyFill="1" applyBorder="1" applyAlignment="1">
      <alignment horizontal="center" vertical="center" wrapText="1"/>
    </xf>
    <xf numFmtId="178" fontId="22" fillId="13" borderId="1" xfId="0" applyNumberFormat="1" applyFont="1" applyFill="1" applyBorder="1" applyAlignment="1">
      <alignment horizontal="center" vertical="center"/>
    </xf>
    <xf numFmtId="178" fontId="3" fillId="3" borderId="1" xfId="0" applyNumberFormat="1" applyFont="1" applyFill="1" applyBorder="1" applyAlignment="1">
      <alignment vertical="top"/>
    </xf>
    <xf numFmtId="49" fontId="3" fillId="3" borderId="1" xfId="0" applyNumberFormat="1" applyFont="1" applyFill="1" applyBorder="1" applyAlignment="1">
      <alignment vertical="top"/>
    </xf>
  </cellXfs>
  <cellStyles count="52">
    <cellStyle name="Normal" xfId="0" builtinId="0"/>
    <cellStyle name="Normal 2" xfId="1"/>
    <cellStyle name="Currency 2" xfId="2"/>
    <cellStyle name="60% - Accent6" xfId="3" builtinId="52"/>
    <cellStyle name="40% - Accent6" xfId="4" builtinId="51"/>
    <cellStyle name="60% - Accent5" xfId="5" builtinId="48"/>
    <cellStyle name="Accent6" xfId="6" builtinId="49"/>
    <cellStyle name="40% - Accent5" xfId="7" builtinId="47"/>
    <cellStyle name="20% - Accent5" xfId="8" builtinId="46"/>
    <cellStyle name="60% - Accent4" xfId="9" builtinId="44"/>
    <cellStyle name="Accent5" xfId="10" builtinId="45"/>
    <cellStyle name="40% - Accent4" xfId="11" builtinId="43"/>
    <cellStyle name="Accent4" xfId="12" builtinId="41"/>
    <cellStyle name="Linked Cell" xfId="13" builtinId="24"/>
    <cellStyle name="40% - Accent3" xfId="14" builtinId="39"/>
    <cellStyle name="60% - Accent2" xfId="15" builtinId="36"/>
    <cellStyle name="Accent3" xfId="16" builtinId="37"/>
    <cellStyle name="40% - Accent2" xfId="17" builtinId="35"/>
    <cellStyle name="20% - Accent2" xfId="18" builtinId="34"/>
    <cellStyle name="Accent2" xfId="19" builtinId="33"/>
    <cellStyle name="40% - Accent1" xfId="20" builtinId="31"/>
    <cellStyle name="Normal 3" xfId="21"/>
    <cellStyle name="20% - Accent1" xfId="22" builtinId="30"/>
    <cellStyle name="Accent1" xfId="23" builtinId="29"/>
    <cellStyle name="Neutral" xfId="24" builtinId="28"/>
    <cellStyle name="60% - Accent1" xfId="25" builtinId="32"/>
    <cellStyle name="Bad" xfId="26" builtinId="27"/>
    <cellStyle name="20% - Accent4" xfId="27" builtinId="42"/>
    <cellStyle name="Total" xfId="28" builtinId="25"/>
    <cellStyle name="Output" xfId="29" builtinId="21"/>
    <cellStyle name="Currency" xfId="30" builtinId="4"/>
    <cellStyle name="20% - Accent3" xfId="31" builtinId="38"/>
    <cellStyle name="Note" xfId="32" builtinId="10"/>
    <cellStyle name="Input" xfId="33" builtinId="20"/>
    <cellStyle name="Heading 4" xfId="34" builtinId="19"/>
    <cellStyle name="Calculation" xfId="35" builtinId="22"/>
    <cellStyle name="Good" xfId="36" builtinId="26"/>
    <cellStyle name="Heading 3" xfId="37" builtinId="18"/>
    <cellStyle name="CExplanatory Text" xfId="38" builtinId="53"/>
    <cellStyle name="Heading 1" xfId="39" builtinId="16"/>
    <cellStyle name="Comma [0]" xfId="40" builtinId="6"/>
    <cellStyle name="20% - Accent6" xfId="41" builtinId="50"/>
    <cellStyle name="Title" xfId="42" builtinId="15"/>
    <cellStyle name="Currency [0]" xfId="43" builtinId="7"/>
    <cellStyle name="Warning Text" xfId="44" builtinId="11"/>
    <cellStyle name="Followed Hyperlink" xfId="45" builtinId="9"/>
    <cellStyle name="Heading 2" xfId="46" builtinId="17"/>
    <cellStyle name="Comma" xfId="47" builtinId="3"/>
    <cellStyle name="Check Cell" xfId="48" builtinId="23"/>
    <cellStyle name="60% - Accent3" xfId="49" builtinId="40"/>
    <cellStyle name="Percent" xfId="50" builtinId="5"/>
    <cellStyle name="Hyperlink" xfId="51" builtinId="8"/>
  </cellStyles>
  <dxfs count="49">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fill>
        <patternFill patternType="solid">
          <fgColor rgb="FF000000"/>
          <bgColor rgb="FFFFFFFF"/>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1"/>
        <i val="0"/>
        <strike val="0"/>
        <u val="none"/>
        <sz val="10"/>
        <color rgb="FF000000"/>
      </font>
      <numFmt numFmtId="178" formatCode="&quot;$&quot;#,##0.00"/>
      <fill>
        <patternFill patternType="none"/>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theme="1"/>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fill>
        <patternFill patternType="solid">
          <bgColor theme="0"/>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49" formatCode="@"/>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ill>
        <patternFill patternType="solid">
          <bgColor theme="8" tint="0.399945066682943"/>
        </patternFill>
      </fill>
    </dxf>
    <dxf>
      <font>
        <color rgb="FF9C5700"/>
      </font>
      <fill>
        <patternFill patternType="solid">
          <bgColor rgb="FFFFEB9C"/>
        </patternFill>
      </fill>
    </dxf>
    <dxf>
      <font>
        <color rgb="FF9C0006"/>
      </font>
      <fill>
        <patternFill patternType="solid">
          <bgColor rgb="FFFFC7CE"/>
        </patternFill>
      </fill>
    </dxf>
    <dxf>
      <font>
        <color rgb="FF9C0006"/>
      </font>
    </dxf>
    <dxf>
      <font>
        <strike val="0"/>
        <u val="none"/>
        <sz val="9"/>
      </font>
      <border>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top style="thin">
          <color theme="3" tint="0.799981688894314"/>
        </top>
        <bottom style="thin">
          <color theme="3" tint="0.799981688894314"/>
        </bottom>
      </border>
    </dxf>
    <dxf>
      <font>
        <name val="Helvetica Neue"/>
        <scheme val="none"/>
        <family val="2"/>
        <b val="0"/>
        <i val="0"/>
        <strike val="0"/>
        <u val="none"/>
        <sz val="10"/>
        <color indexed="8"/>
      </font>
      <numFmt numFmtId="0" formatCode="General"/>
      <fill>
        <patternFill patternType="none"/>
      </fill>
      <alignment vertical="top"/>
      <border>
        <left style="thin">
          <color theme="0" tint="-0.0499893185216834"/>
        </left>
        <right style="thin">
          <color theme="0" tint="-0.0499893185216834"/>
        </right>
        <top style="thin">
          <color theme="0" tint="-0.0499893185216834"/>
        </top>
        <bottom style="thin">
          <color theme="0" tint="-0.0499893185216834"/>
        </bottom>
      </border>
    </dxf>
    <dxf>
      <font>
        <name val="Helvetica Neue"/>
        <scheme val="none"/>
        <family val="2"/>
        <b val="0"/>
        <i val="0"/>
        <strike val="0"/>
        <u val="none"/>
        <sz val="10"/>
        <color indexed="8"/>
      </font>
      <numFmt numFmtId="178" formatCode="&quot;$&quot;#,##0.00"/>
      <fill>
        <patternFill patternType="none"/>
      </fill>
      <alignment horizontal="left" vertical="top"/>
      <border>
        <left style="thin">
          <color theme="0" tint="-0.0499893185216834"/>
        </left>
        <right style="thin">
          <color theme="0" tint="-0.0499893185216834"/>
        </right>
        <top style="thin">
          <color theme="0" tint="-0.0499893185216834"/>
        </top>
        <bottom style="thin">
          <color theme="0" tint="-0.0499893185216834"/>
        </bottom>
      </border>
    </dxf>
    <dxf>
      <numFmt numFmtId="0" formatCode="General"/>
      <fill>
        <patternFill patternType="none"/>
      </fill>
    </dxf>
  </dxfs>
  <tableStyles count="0"/>
  <colors>
    <indexedColors>
      <rgbColor rgb="00000000"/>
      <rgbColor rgb="00FFFFFF"/>
      <rgbColor rgb="00FF0000"/>
      <rgbColor rgb="0000FF00"/>
      <rgbColor rgb="000000FF"/>
      <rgbColor rgb="00FFFF00"/>
      <rgbColor rgb="00FF00FF"/>
      <rgbColor rgb="0000FFFF"/>
      <rgbColor rgb="00000000"/>
      <rgbColor rgb="00BDC0BF"/>
      <rgbColor rgb="00A5A5A5"/>
      <rgbColor rgb="003F3F3F"/>
      <rgbColor rgb="00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00FACDFF"/>
      <color rgb="00DE9FFD"/>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620.jpeg"/><Relationship Id="rId8" Type="http://schemas.openxmlformats.org/officeDocument/2006/relationships/image" Target="media/image1619.jpeg"/><Relationship Id="rId7" Type="http://schemas.openxmlformats.org/officeDocument/2006/relationships/image" Target="media/image1618.jpeg"/><Relationship Id="rId68" Type="http://schemas.openxmlformats.org/officeDocument/2006/relationships/image" Target="media/image1679.jpeg"/><Relationship Id="rId67" Type="http://schemas.openxmlformats.org/officeDocument/2006/relationships/image" Target="media/image1678.jpeg"/><Relationship Id="rId66" Type="http://schemas.openxmlformats.org/officeDocument/2006/relationships/image" Target="media/image1677.jpeg"/><Relationship Id="rId65" Type="http://schemas.openxmlformats.org/officeDocument/2006/relationships/image" Target="media/image1676.jpeg"/><Relationship Id="rId64" Type="http://schemas.openxmlformats.org/officeDocument/2006/relationships/image" Target="media/image1675.jpeg"/><Relationship Id="rId63" Type="http://schemas.openxmlformats.org/officeDocument/2006/relationships/image" Target="media/image1674.jpeg"/><Relationship Id="rId62" Type="http://schemas.openxmlformats.org/officeDocument/2006/relationships/image" Target="media/image1673.jpeg"/><Relationship Id="rId61" Type="http://schemas.openxmlformats.org/officeDocument/2006/relationships/image" Target="media/image1672.jpeg"/><Relationship Id="rId60" Type="http://schemas.openxmlformats.org/officeDocument/2006/relationships/image" Target="media/image1671.jpeg"/><Relationship Id="rId6" Type="http://schemas.openxmlformats.org/officeDocument/2006/relationships/image" Target="media/image1617.jpeg"/><Relationship Id="rId59" Type="http://schemas.openxmlformats.org/officeDocument/2006/relationships/image" Target="media/image1670.jpeg"/><Relationship Id="rId58" Type="http://schemas.openxmlformats.org/officeDocument/2006/relationships/image" Target="media/image1669.jpeg"/><Relationship Id="rId57" Type="http://schemas.openxmlformats.org/officeDocument/2006/relationships/image" Target="media/image1668.jpeg"/><Relationship Id="rId56" Type="http://schemas.openxmlformats.org/officeDocument/2006/relationships/image" Target="media/image1667.jpeg"/><Relationship Id="rId55" Type="http://schemas.openxmlformats.org/officeDocument/2006/relationships/image" Target="media/image1666.jpeg"/><Relationship Id="rId54" Type="http://schemas.openxmlformats.org/officeDocument/2006/relationships/image" Target="media/image1665.jpeg"/><Relationship Id="rId53" Type="http://schemas.openxmlformats.org/officeDocument/2006/relationships/image" Target="media/image1664.jpeg"/><Relationship Id="rId52" Type="http://schemas.openxmlformats.org/officeDocument/2006/relationships/image" Target="media/image1663.jpeg"/><Relationship Id="rId51" Type="http://schemas.openxmlformats.org/officeDocument/2006/relationships/image" Target="media/image1662.jpeg"/><Relationship Id="rId50" Type="http://schemas.openxmlformats.org/officeDocument/2006/relationships/image" Target="media/image1661.jpeg"/><Relationship Id="rId5" Type="http://schemas.openxmlformats.org/officeDocument/2006/relationships/image" Target="media/image1616.jpeg"/><Relationship Id="rId49" Type="http://schemas.openxmlformats.org/officeDocument/2006/relationships/image" Target="media/image1660.jpeg"/><Relationship Id="rId48" Type="http://schemas.openxmlformats.org/officeDocument/2006/relationships/image" Target="media/image1659.jpeg"/><Relationship Id="rId47" Type="http://schemas.openxmlformats.org/officeDocument/2006/relationships/image" Target="media/image1658.jpeg"/><Relationship Id="rId46" Type="http://schemas.openxmlformats.org/officeDocument/2006/relationships/image" Target="media/image1657.jpeg"/><Relationship Id="rId45" Type="http://schemas.openxmlformats.org/officeDocument/2006/relationships/image" Target="media/image1656.jpeg"/><Relationship Id="rId44" Type="http://schemas.openxmlformats.org/officeDocument/2006/relationships/image" Target="media/image1655.jpeg"/><Relationship Id="rId43" Type="http://schemas.openxmlformats.org/officeDocument/2006/relationships/image" Target="media/image1654.jpeg"/><Relationship Id="rId42" Type="http://schemas.openxmlformats.org/officeDocument/2006/relationships/image" Target="media/image1653.jpeg"/><Relationship Id="rId41" Type="http://schemas.openxmlformats.org/officeDocument/2006/relationships/image" Target="media/image1652.jpeg"/><Relationship Id="rId40" Type="http://schemas.openxmlformats.org/officeDocument/2006/relationships/image" Target="media/image1651.jpeg"/><Relationship Id="rId4" Type="http://schemas.openxmlformats.org/officeDocument/2006/relationships/image" Target="media/image1615.jpeg"/><Relationship Id="rId39" Type="http://schemas.openxmlformats.org/officeDocument/2006/relationships/image" Target="media/image1650.jpeg"/><Relationship Id="rId38" Type="http://schemas.openxmlformats.org/officeDocument/2006/relationships/image" Target="media/image1649.jpeg"/><Relationship Id="rId37" Type="http://schemas.openxmlformats.org/officeDocument/2006/relationships/image" Target="media/image1648.jpeg"/><Relationship Id="rId36" Type="http://schemas.openxmlformats.org/officeDocument/2006/relationships/image" Target="media/image1647.jpeg"/><Relationship Id="rId35" Type="http://schemas.openxmlformats.org/officeDocument/2006/relationships/image" Target="media/image1646.jpeg"/><Relationship Id="rId34" Type="http://schemas.openxmlformats.org/officeDocument/2006/relationships/image" Target="media/image1645.jpeg"/><Relationship Id="rId33" Type="http://schemas.openxmlformats.org/officeDocument/2006/relationships/image" Target="media/image1644.jpeg"/><Relationship Id="rId32" Type="http://schemas.openxmlformats.org/officeDocument/2006/relationships/image" Target="media/image1643.jpeg"/><Relationship Id="rId31" Type="http://schemas.openxmlformats.org/officeDocument/2006/relationships/image" Target="media/image1642.jpeg"/><Relationship Id="rId30" Type="http://schemas.openxmlformats.org/officeDocument/2006/relationships/image" Target="media/image1641.jpeg"/><Relationship Id="rId3" Type="http://schemas.openxmlformats.org/officeDocument/2006/relationships/image" Target="media/image1614.jpeg"/><Relationship Id="rId29" Type="http://schemas.openxmlformats.org/officeDocument/2006/relationships/image" Target="media/image1640.jpeg"/><Relationship Id="rId28" Type="http://schemas.openxmlformats.org/officeDocument/2006/relationships/image" Target="media/image1639.jpeg"/><Relationship Id="rId27" Type="http://schemas.openxmlformats.org/officeDocument/2006/relationships/image" Target="media/image1638.jpeg"/><Relationship Id="rId26" Type="http://schemas.openxmlformats.org/officeDocument/2006/relationships/image" Target="media/image1637.jpeg"/><Relationship Id="rId25" Type="http://schemas.openxmlformats.org/officeDocument/2006/relationships/image" Target="media/image1636.jpeg"/><Relationship Id="rId24" Type="http://schemas.openxmlformats.org/officeDocument/2006/relationships/image" Target="media/image1635.jpeg"/><Relationship Id="rId23" Type="http://schemas.openxmlformats.org/officeDocument/2006/relationships/image" Target="media/image1634.jpeg"/><Relationship Id="rId22" Type="http://schemas.openxmlformats.org/officeDocument/2006/relationships/image" Target="media/image1633.jpeg"/><Relationship Id="rId21" Type="http://schemas.openxmlformats.org/officeDocument/2006/relationships/image" Target="media/image1632.jpeg"/><Relationship Id="rId20" Type="http://schemas.openxmlformats.org/officeDocument/2006/relationships/image" Target="media/image1631.jpeg"/><Relationship Id="rId2" Type="http://schemas.openxmlformats.org/officeDocument/2006/relationships/image" Target="media/image1613.jpeg"/><Relationship Id="rId19" Type="http://schemas.openxmlformats.org/officeDocument/2006/relationships/image" Target="media/image1630.jpeg"/><Relationship Id="rId18" Type="http://schemas.openxmlformats.org/officeDocument/2006/relationships/image" Target="media/image1629.jpeg"/><Relationship Id="rId17" Type="http://schemas.openxmlformats.org/officeDocument/2006/relationships/image" Target="media/image1628.jpeg"/><Relationship Id="rId16" Type="http://schemas.openxmlformats.org/officeDocument/2006/relationships/image" Target="media/image1627.jpeg"/><Relationship Id="rId15" Type="http://schemas.openxmlformats.org/officeDocument/2006/relationships/image" Target="media/image1626.jpeg"/><Relationship Id="rId14" Type="http://schemas.openxmlformats.org/officeDocument/2006/relationships/image" Target="media/image1625.jpeg"/><Relationship Id="rId13" Type="http://schemas.openxmlformats.org/officeDocument/2006/relationships/image" Target="media/image1624.jpeg"/><Relationship Id="rId12" Type="http://schemas.openxmlformats.org/officeDocument/2006/relationships/image" Target="media/image1623.jpeg"/><Relationship Id="rId11" Type="http://schemas.openxmlformats.org/officeDocument/2006/relationships/image" Target="media/image1622.jpeg"/><Relationship Id="rId10" Type="http://schemas.openxmlformats.org/officeDocument/2006/relationships/image" Target="media/image1621.jpeg"/><Relationship Id="rId1" Type="http://schemas.openxmlformats.org/officeDocument/2006/relationships/image" Target="media/image1612.jpeg"/></Relationships>
</file>

<file path=xl/_rels/workbook.xml.rels><?xml version="1.0" encoding="UTF-8" standalone="yes"?>
<Relationships xmlns="http://schemas.openxmlformats.org/package/2006/relationships"><Relationship Id="rId8" Type="http://www.wps.cn/officeDocument/2020/cellImage" Target="cellimages.xml"/><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8" Type="http://schemas.openxmlformats.org/officeDocument/2006/relationships/image" Target="../media/image968.jpeg"/><Relationship Id="rId967" Type="http://schemas.openxmlformats.org/officeDocument/2006/relationships/image" Target="../media/image967.jpeg"/><Relationship Id="rId966" Type="http://schemas.openxmlformats.org/officeDocument/2006/relationships/image" Target="../media/image966.jpeg"/><Relationship Id="rId965" Type="http://schemas.openxmlformats.org/officeDocument/2006/relationships/image" Target="../media/image965.jpeg"/><Relationship Id="rId964" Type="http://schemas.openxmlformats.org/officeDocument/2006/relationships/image" Target="../media/image964.jpeg"/><Relationship Id="rId963" Type="http://schemas.openxmlformats.org/officeDocument/2006/relationships/image" Target="../media/image963.jpeg"/><Relationship Id="rId962" Type="http://schemas.openxmlformats.org/officeDocument/2006/relationships/image" Target="../media/image962.jpeg"/><Relationship Id="rId961" Type="http://schemas.openxmlformats.org/officeDocument/2006/relationships/image" Target="../media/image961.jpeg"/><Relationship Id="rId960" Type="http://schemas.openxmlformats.org/officeDocument/2006/relationships/image" Target="../media/image960.jpeg"/><Relationship Id="rId96" Type="http://schemas.openxmlformats.org/officeDocument/2006/relationships/image" Target="../media/image96.jpeg"/><Relationship Id="rId959" Type="http://schemas.openxmlformats.org/officeDocument/2006/relationships/image" Target="../media/image959.jpeg"/><Relationship Id="rId958" Type="http://schemas.openxmlformats.org/officeDocument/2006/relationships/image" Target="../media/image958.jpeg"/><Relationship Id="rId957" Type="http://schemas.openxmlformats.org/officeDocument/2006/relationships/image" Target="../media/image957.jpeg"/><Relationship Id="rId956" Type="http://schemas.openxmlformats.org/officeDocument/2006/relationships/image" Target="../media/image956.jpeg"/><Relationship Id="rId955" Type="http://schemas.openxmlformats.org/officeDocument/2006/relationships/image" Target="../media/image955.jpeg"/><Relationship Id="rId954" Type="http://schemas.openxmlformats.org/officeDocument/2006/relationships/image" Target="../media/image954.jpeg"/><Relationship Id="rId953" Type="http://schemas.openxmlformats.org/officeDocument/2006/relationships/image" Target="../media/image953.jpeg"/><Relationship Id="rId952" Type="http://schemas.openxmlformats.org/officeDocument/2006/relationships/image" Target="../media/image952.jpeg"/><Relationship Id="rId951" Type="http://schemas.openxmlformats.org/officeDocument/2006/relationships/image" Target="../media/image951.jpeg"/><Relationship Id="rId950" Type="http://schemas.openxmlformats.org/officeDocument/2006/relationships/image" Target="../media/image950.jpeg"/><Relationship Id="rId95" Type="http://schemas.openxmlformats.org/officeDocument/2006/relationships/image" Target="../media/image95.jpeg"/><Relationship Id="rId949" Type="http://schemas.openxmlformats.org/officeDocument/2006/relationships/image" Target="../media/image949.jpeg"/><Relationship Id="rId948" Type="http://schemas.openxmlformats.org/officeDocument/2006/relationships/image" Target="../media/image948.jpeg"/><Relationship Id="rId947" Type="http://schemas.openxmlformats.org/officeDocument/2006/relationships/image" Target="../media/image947.jpeg"/><Relationship Id="rId946" Type="http://schemas.openxmlformats.org/officeDocument/2006/relationships/image" Target="../media/image946.jpeg"/><Relationship Id="rId945" Type="http://schemas.openxmlformats.org/officeDocument/2006/relationships/image" Target="../media/image945.jpeg"/><Relationship Id="rId944" Type="http://schemas.openxmlformats.org/officeDocument/2006/relationships/image" Target="../media/image944.jpeg"/><Relationship Id="rId943" Type="http://schemas.openxmlformats.org/officeDocument/2006/relationships/image" Target="../media/image943.jpeg"/><Relationship Id="rId942" Type="http://schemas.openxmlformats.org/officeDocument/2006/relationships/image" Target="../media/image942.jpeg"/><Relationship Id="rId941" Type="http://schemas.openxmlformats.org/officeDocument/2006/relationships/image" Target="../media/image941.jpeg"/><Relationship Id="rId940" Type="http://schemas.openxmlformats.org/officeDocument/2006/relationships/image" Target="../media/image940.jpeg"/><Relationship Id="rId94" Type="http://schemas.openxmlformats.org/officeDocument/2006/relationships/image" Target="../media/image94.jpeg"/><Relationship Id="rId939" Type="http://schemas.openxmlformats.org/officeDocument/2006/relationships/image" Target="../media/image939.jpeg"/><Relationship Id="rId938" Type="http://schemas.openxmlformats.org/officeDocument/2006/relationships/image" Target="../media/image938.jpeg"/><Relationship Id="rId937" Type="http://schemas.openxmlformats.org/officeDocument/2006/relationships/image" Target="../media/image937.jpeg"/><Relationship Id="rId936" Type="http://schemas.openxmlformats.org/officeDocument/2006/relationships/image" Target="../media/image936.jpeg"/><Relationship Id="rId935" Type="http://schemas.openxmlformats.org/officeDocument/2006/relationships/image" Target="../media/image935.jpeg"/><Relationship Id="rId934" Type="http://schemas.openxmlformats.org/officeDocument/2006/relationships/image" Target="../media/image934.jpeg"/><Relationship Id="rId933" Type="http://schemas.openxmlformats.org/officeDocument/2006/relationships/image" Target="../media/image933.jpeg"/><Relationship Id="rId932" Type="http://schemas.openxmlformats.org/officeDocument/2006/relationships/image" Target="../media/image932.jpeg"/><Relationship Id="rId931" Type="http://schemas.openxmlformats.org/officeDocument/2006/relationships/image" Target="../media/image931.jpeg"/><Relationship Id="rId930" Type="http://schemas.openxmlformats.org/officeDocument/2006/relationships/image" Target="../media/image930.jpeg"/><Relationship Id="rId93" Type="http://schemas.openxmlformats.org/officeDocument/2006/relationships/image" Target="../media/image93.jpeg"/><Relationship Id="rId929" Type="http://schemas.openxmlformats.org/officeDocument/2006/relationships/image" Target="../media/image929.jpeg"/><Relationship Id="rId928" Type="http://schemas.openxmlformats.org/officeDocument/2006/relationships/image" Target="../media/image928.jpeg"/><Relationship Id="rId927" Type="http://schemas.openxmlformats.org/officeDocument/2006/relationships/image" Target="../media/image927.jpeg"/><Relationship Id="rId926" Type="http://schemas.openxmlformats.org/officeDocument/2006/relationships/image" Target="../media/image926.jpeg"/><Relationship Id="rId925" Type="http://schemas.openxmlformats.org/officeDocument/2006/relationships/image" Target="../media/image925.jpeg"/><Relationship Id="rId924" Type="http://schemas.openxmlformats.org/officeDocument/2006/relationships/image" Target="../media/image924.jpeg"/><Relationship Id="rId923" Type="http://schemas.openxmlformats.org/officeDocument/2006/relationships/image" Target="../media/image923.jpeg"/><Relationship Id="rId922" Type="http://schemas.openxmlformats.org/officeDocument/2006/relationships/image" Target="../media/image922.jpeg"/><Relationship Id="rId921" Type="http://schemas.openxmlformats.org/officeDocument/2006/relationships/image" Target="../media/image921.jpeg"/><Relationship Id="rId920" Type="http://schemas.openxmlformats.org/officeDocument/2006/relationships/image" Target="../media/image920.jpeg"/><Relationship Id="rId92" Type="http://schemas.openxmlformats.org/officeDocument/2006/relationships/image" Target="../media/image92.jpeg"/><Relationship Id="rId919" Type="http://schemas.openxmlformats.org/officeDocument/2006/relationships/image" Target="../media/image919.jpeg"/><Relationship Id="rId918" Type="http://schemas.openxmlformats.org/officeDocument/2006/relationships/image" Target="../media/image918.jpeg"/><Relationship Id="rId917" Type="http://schemas.openxmlformats.org/officeDocument/2006/relationships/image" Target="../media/image917.jpeg"/><Relationship Id="rId916" Type="http://schemas.openxmlformats.org/officeDocument/2006/relationships/image" Target="../media/image916.jpeg"/><Relationship Id="rId915" Type="http://schemas.openxmlformats.org/officeDocument/2006/relationships/image" Target="../media/image915.jpeg"/><Relationship Id="rId914" Type="http://schemas.openxmlformats.org/officeDocument/2006/relationships/image" Target="../media/image914.jpeg"/><Relationship Id="rId913" Type="http://schemas.openxmlformats.org/officeDocument/2006/relationships/image" Target="../media/image913.jpeg"/><Relationship Id="rId912" Type="http://schemas.openxmlformats.org/officeDocument/2006/relationships/image" Target="../media/image912.jpeg"/><Relationship Id="rId911" Type="http://schemas.openxmlformats.org/officeDocument/2006/relationships/image" Target="../media/image911.jpeg"/><Relationship Id="rId910" Type="http://schemas.openxmlformats.org/officeDocument/2006/relationships/image" Target="../media/image910.jpeg"/><Relationship Id="rId91" Type="http://schemas.openxmlformats.org/officeDocument/2006/relationships/image" Target="../media/image91.jpeg"/><Relationship Id="rId909" Type="http://schemas.openxmlformats.org/officeDocument/2006/relationships/image" Target="../media/image909.jpeg"/><Relationship Id="rId908" Type="http://schemas.openxmlformats.org/officeDocument/2006/relationships/image" Target="../media/image908.jpeg"/><Relationship Id="rId907" Type="http://schemas.openxmlformats.org/officeDocument/2006/relationships/image" Target="../media/image907.jpeg"/><Relationship Id="rId906" Type="http://schemas.openxmlformats.org/officeDocument/2006/relationships/image" Target="../media/image906.jpeg"/><Relationship Id="rId905" Type="http://schemas.openxmlformats.org/officeDocument/2006/relationships/image" Target="../media/image905.jpeg"/><Relationship Id="rId904" Type="http://schemas.openxmlformats.org/officeDocument/2006/relationships/image" Target="../media/image904.jpeg"/><Relationship Id="rId903" Type="http://schemas.openxmlformats.org/officeDocument/2006/relationships/image" Target="../media/image903.jpeg"/><Relationship Id="rId902" Type="http://schemas.openxmlformats.org/officeDocument/2006/relationships/image" Target="../media/image902.jpeg"/><Relationship Id="rId901" Type="http://schemas.openxmlformats.org/officeDocument/2006/relationships/image" Target="../media/image901.jpeg"/><Relationship Id="rId900" Type="http://schemas.openxmlformats.org/officeDocument/2006/relationships/image" Target="../media/image900.jpeg"/><Relationship Id="rId90" Type="http://schemas.openxmlformats.org/officeDocument/2006/relationships/image" Target="../media/image90.jpeg"/><Relationship Id="rId9" Type="http://schemas.openxmlformats.org/officeDocument/2006/relationships/image" Target="../media/image9.jpeg"/><Relationship Id="rId899" Type="http://schemas.openxmlformats.org/officeDocument/2006/relationships/image" Target="../media/image899.jpeg"/><Relationship Id="rId898" Type="http://schemas.openxmlformats.org/officeDocument/2006/relationships/image" Target="../media/image898.jpeg"/><Relationship Id="rId897" Type="http://schemas.openxmlformats.org/officeDocument/2006/relationships/image" Target="../media/image897.jpeg"/><Relationship Id="rId896" Type="http://schemas.openxmlformats.org/officeDocument/2006/relationships/image" Target="../media/image896.jpeg"/><Relationship Id="rId895" Type="http://schemas.openxmlformats.org/officeDocument/2006/relationships/image" Target="../media/image895.jpeg"/><Relationship Id="rId894" Type="http://schemas.openxmlformats.org/officeDocument/2006/relationships/image" Target="../media/image894.jpeg"/><Relationship Id="rId893" Type="http://schemas.openxmlformats.org/officeDocument/2006/relationships/image" Target="../media/image893.jpeg"/><Relationship Id="rId892" Type="http://schemas.openxmlformats.org/officeDocument/2006/relationships/image" Target="../media/image892.jpeg"/><Relationship Id="rId891" Type="http://schemas.openxmlformats.org/officeDocument/2006/relationships/image" Target="../media/image891.jpeg"/><Relationship Id="rId890" Type="http://schemas.openxmlformats.org/officeDocument/2006/relationships/image" Target="../media/image890.jpeg"/><Relationship Id="rId89" Type="http://schemas.openxmlformats.org/officeDocument/2006/relationships/image" Target="../media/image89.jpeg"/><Relationship Id="rId889" Type="http://schemas.openxmlformats.org/officeDocument/2006/relationships/image" Target="../media/image889.jpeg"/><Relationship Id="rId888" Type="http://schemas.openxmlformats.org/officeDocument/2006/relationships/image" Target="../media/image888.jpeg"/><Relationship Id="rId887" Type="http://schemas.openxmlformats.org/officeDocument/2006/relationships/image" Target="../media/image887.jpeg"/><Relationship Id="rId886" Type="http://schemas.openxmlformats.org/officeDocument/2006/relationships/image" Target="../media/image886.jpeg"/><Relationship Id="rId885" Type="http://schemas.openxmlformats.org/officeDocument/2006/relationships/image" Target="../media/image885.jpeg"/><Relationship Id="rId884" Type="http://schemas.openxmlformats.org/officeDocument/2006/relationships/image" Target="../media/image884.jpeg"/><Relationship Id="rId883" Type="http://schemas.openxmlformats.org/officeDocument/2006/relationships/image" Target="../media/image883.jpeg"/><Relationship Id="rId882" Type="http://schemas.openxmlformats.org/officeDocument/2006/relationships/image" Target="../media/image882.jpeg"/><Relationship Id="rId881" Type="http://schemas.openxmlformats.org/officeDocument/2006/relationships/image" Target="../media/image881.jpeg"/><Relationship Id="rId880" Type="http://schemas.openxmlformats.org/officeDocument/2006/relationships/image" Target="../media/image880.jpeg"/><Relationship Id="rId88" Type="http://schemas.openxmlformats.org/officeDocument/2006/relationships/image" Target="../media/image88.jpeg"/><Relationship Id="rId879" Type="http://schemas.openxmlformats.org/officeDocument/2006/relationships/image" Target="../media/image879.jpeg"/><Relationship Id="rId878" Type="http://schemas.openxmlformats.org/officeDocument/2006/relationships/image" Target="../media/image878.jpeg"/><Relationship Id="rId877" Type="http://schemas.openxmlformats.org/officeDocument/2006/relationships/image" Target="../media/image877.jpeg"/><Relationship Id="rId876" Type="http://schemas.openxmlformats.org/officeDocument/2006/relationships/image" Target="../media/image876.jpeg"/><Relationship Id="rId875" Type="http://schemas.openxmlformats.org/officeDocument/2006/relationships/image" Target="../media/image875.jpeg"/><Relationship Id="rId874" Type="http://schemas.openxmlformats.org/officeDocument/2006/relationships/image" Target="../media/image874.jpeg"/><Relationship Id="rId873" Type="http://schemas.openxmlformats.org/officeDocument/2006/relationships/image" Target="../media/image873.jpeg"/><Relationship Id="rId872" Type="http://schemas.openxmlformats.org/officeDocument/2006/relationships/image" Target="../media/image872.jpeg"/><Relationship Id="rId871" Type="http://schemas.openxmlformats.org/officeDocument/2006/relationships/image" Target="../media/image871.jpeg"/><Relationship Id="rId870" Type="http://schemas.openxmlformats.org/officeDocument/2006/relationships/image" Target="../media/image870.jpeg"/><Relationship Id="rId87" Type="http://schemas.openxmlformats.org/officeDocument/2006/relationships/image" Target="../media/image87.jpeg"/><Relationship Id="rId869" Type="http://schemas.openxmlformats.org/officeDocument/2006/relationships/image" Target="../media/image869.jpeg"/><Relationship Id="rId868" Type="http://schemas.openxmlformats.org/officeDocument/2006/relationships/image" Target="../media/image868.jpeg"/><Relationship Id="rId867" Type="http://schemas.openxmlformats.org/officeDocument/2006/relationships/image" Target="../media/image867.jpeg"/><Relationship Id="rId866" Type="http://schemas.openxmlformats.org/officeDocument/2006/relationships/image" Target="../media/image866.jpeg"/><Relationship Id="rId865" Type="http://schemas.openxmlformats.org/officeDocument/2006/relationships/image" Target="../media/image865.jpeg"/><Relationship Id="rId864" Type="http://schemas.openxmlformats.org/officeDocument/2006/relationships/image" Target="../media/image864.jpeg"/><Relationship Id="rId863" Type="http://schemas.openxmlformats.org/officeDocument/2006/relationships/image" Target="../media/image863.jpeg"/><Relationship Id="rId862" Type="http://schemas.openxmlformats.org/officeDocument/2006/relationships/image" Target="../media/image862.jpeg"/><Relationship Id="rId861" Type="http://schemas.openxmlformats.org/officeDocument/2006/relationships/image" Target="../media/image861.jpeg"/><Relationship Id="rId860" Type="http://schemas.openxmlformats.org/officeDocument/2006/relationships/image" Target="../media/image860.jpeg"/><Relationship Id="rId86" Type="http://schemas.openxmlformats.org/officeDocument/2006/relationships/image" Target="../media/image86.jpeg"/><Relationship Id="rId859" Type="http://schemas.openxmlformats.org/officeDocument/2006/relationships/image" Target="../media/image859.jpeg"/><Relationship Id="rId858" Type="http://schemas.openxmlformats.org/officeDocument/2006/relationships/image" Target="../media/image858.jpeg"/><Relationship Id="rId857" Type="http://schemas.openxmlformats.org/officeDocument/2006/relationships/image" Target="../media/image857.jpeg"/><Relationship Id="rId856" Type="http://schemas.openxmlformats.org/officeDocument/2006/relationships/image" Target="../media/image856.jpeg"/><Relationship Id="rId855" Type="http://schemas.openxmlformats.org/officeDocument/2006/relationships/image" Target="../media/image855.jpeg"/><Relationship Id="rId854" Type="http://schemas.openxmlformats.org/officeDocument/2006/relationships/image" Target="../media/image854.jpeg"/><Relationship Id="rId853" Type="http://schemas.openxmlformats.org/officeDocument/2006/relationships/image" Target="../media/image853.jpeg"/><Relationship Id="rId852" Type="http://schemas.openxmlformats.org/officeDocument/2006/relationships/image" Target="../media/image852.jpeg"/><Relationship Id="rId851" Type="http://schemas.openxmlformats.org/officeDocument/2006/relationships/image" Target="../media/image851.jpeg"/><Relationship Id="rId850" Type="http://schemas.openxmlformats.org/officeDocument/2006/relationships/image" Target="../media/image850.jpeg"/><Relationship Id="rId85" Type="http://schemas.openxmlformats.org/officeDocument/2006/relationships/image" Target="../media/image85.jpeg"/><Relationship Id="rId849" Type="http://schemas.openxmlformats.org/officeDocument/2006/relationships/image" Target="../media/image849.jpeg"/><Relationship Id="rId848" Type="http://schemas.openxmlformats.org/officeDocument/2006/relationships/image" Target="../media/image848.jpeg"/><Relationship Id="rId847" Type="http://schemas.openxmlformats.org/officeDocument/2006/relationships/image" Target="../media/image847.jpeg"/><Relationship Id="rId846" Type="http://schemas.openxmlformats.org/officeDocument/2006/relationships/image" Target="../media/image846.jpeg"/><Relationship Id="rId845" Type="http://schemas.openxmlformats.org/officeDocument/2006/relationships/image" Target="../media/image845.jpeg"/><Relationship Id="rId844" Type="http://schemas.openxmlformats.org/officeDocument/2006/relationships/image" Target="../media/image844.jpeg"/><Relationship Id="rId843" Type="http://schemas.openxmlformats.org/officeDocument/2006/relationships/image" Target="../media/image843.jpeg"/><Relationship Id="rId842" Type="http://schemas.openxmlformats.org/officeDocument/2006/relationships/image" Target="../media/image842.jpeg"/><Relationship Id="rId841" Type="http://schemas.openxmlformats.org/officeDocument/2006/relationships/image" Target="../media/image841.jpeg"/><Relationship Id="rId840" Type="http://schemas.openxmlformats.org/officeDocument/2006/relationships/image" Target="../media/image840.jpeg"/><Relationship Id="rId84" Type="http://schemas.openxmlformats.org/officeDocument/2006/relationships/image" Target="../media/image84.jpeg"/><Relationship Id="rId839" Type="http://schemas.openxmlformats.org/officeDocument/2006/relationships/image" Target="../media/image839.jpeg"/><Relationship Id="rId838" Type="http://schemas.openxmlformats.org/officeDocument/2006/relationships/image" Target="../media/image838.jpeg"/><Relationship Id="rId837" Type="http://schemas.openxmlformats.org/officeDocument/2006/relationships/image" Target="../media/image837.jpeg"/><Relationship Id="rId836" Type="http://schemas.openxmlformats.org/officeDocument/2006/relationships/image" Target="../media/image836.jpeg"/><Relationship Id="rId835" Type="http://schemas.openxmlformats.org/officeDocument/2006/relationships/image" Target="../media/image835.jpeg"/><Relationship Id="rId834" Type="http://schemas.openxmlformats.org/officeDocument/2006/relationships/image" Target="../media/image834.jpeg"/><Relationship Id="rId833" Type="http://schemas.openxmlformats.org/officeDocument/2006/relationships/image" Target="../media/image833.jpeg"/><Relationship Id="rId832" Type="http://schemas.openxmlformats.org/officeDocument/2006/relationships/image" Target="../media/image832.jpeg"/><Relationship Id="rId831" Type="http://schemas.openxmlformats.org/officeDocument/2006/relationships/image" Target="../media/image831.jpeg"/><Relationship Id="rId830" Type="http://schemas.openxmlformats.org/officeDocument/2006/relationships/image" Target="../media/image830.jpeg"/><Relationship Id="rId83" Type="http://schemas.openxmlformats.org/officeDocument/2006/relationships/image" Target="../media/image83.jpeg"/><Relationship Id="rId829" Type="http://schemas.openxmlformats.org/officeDocument/2006/relationships/image" Target="../media/image829.jpeg"/><Relationship Id="rId828" Type="http://schemas.openxmlformats.org/officeDocument/2006/relationships/image" Target="../media/image828.jpeg"/><Relationship Id="rId827" Type="http://schemas.openxmlformats.org/officeDocument/2006/relationships/image" Target="../media/image827.jpeg"/><Relationship Id="rId826" Type="http://schemas.openxmlformats.org/officeDocument/2006/relationships/image" Target="../media/image826.jpeg"/><Relationship Id="rId825" Type="http://schemas.openxmlformats.org/officeDocument/2006/relationships/image" Target="../media/image825.jpeg"/><Relationship Id="rId824" Type="http://schemas.openxmlformats.org/officeDocument/2006/relationships/image" Target="../media/image824.jpeg"/><Relationship Id="rId823" Type="http://schemas.openxmlformats.org/officeDocument/2006/relationships/image" Target="../media/image823.jpeg"/><Relationship Id="rId822" Type="http://schemas.openxmlformats.org/officeDocument/2006/relationships/image" Target="../media/image822.jpeg"/><Relationship Id="rId821" Type="http://schemas.openxmlformats.org/officeDocument/2006/relationships/image" Target="../media/image821.jpeg"/><Relationship Id="rId820" Type="http://schemas.openxmlformats.org/officeDocument/2006/relationships/image" Target="../media/image820.jpeg"/><Relationship Id="rId82" Type="http://schemas.openxmlformats.org/officeDocument/2006/relationships/image" Target="../media/image82.jpeg"/><Relationship Id="rId819" Type="http://schemas.openxmlformats.org/officeDocument/2006/relationships/image" Target="../media/image819.jpeg"/><Relationship Id="rId818" Type="http://schemas.openxmlformats.org/officeDocument/2006/relationships/image" Target="../media/image818.jpeg"/><Relationship Id="rId817" Type="http://schemas.openxmlformats.org/officeDocument/2006/relationships/image" Target="../media/image817.jpeg"/><Relationship Id="rId816" Type="http://schemas.openxmlformats.org/officeDocument/2006/relationships/image" Target="../media/image816.jpeg"/><Relationship Id="rId815" Type="http://schemas.openxmlformats.org/officeDocument/2006/relationships/image" Target="../media/image815.jpeg"/><Relationship Id="rId814" Type="http://schemas.openxmlformats.org/officeDocument/2006/relationships/image" Target="../media/image814.jpeg"/><Relationship Id="rId813" Type="http://schemas.openxmlformats.org/officeDocument/2006/relationships/image" Target="../media/image813.jpeg"/><Relationship Id="rId812" Type="http://schemas.openxmlformats.org/officeDocument/2006/relationships/image" Target="../media/image812.jpeg"/><Relationship Id="rId811" Type="http://schemas.openxmlformats.org/officeDocument/2006/relationships/image" Target="../media/image811.jpeg"/><Relationship Id="rId810" Type="http://schemas.openxmlformats.org/officeDocument/2006/relationships/image" Target="../media/image810.jpeg"/><Relationship Id="rId81" Type="http://schemas.openxmlformats.org/officeDocument/2006/relationships/image" Target="../media/image81.jpeg"/><Relationship Id="rId809" Type="http://schemas.openxmlformats.org/officeDocument/2006/relationships/image" Target="../media/image809.jpeg"/><Relationship Id="rId808" Type="http://schemas.openxmlformats.org/officeDocument/2006/relationships/image" Target="../media/image808.jpeg"/><Relationship Id="rId807" Type="http://schemas.openxmlformats.org/officeDocument/2006/relationships/image" Target="../media/image807.jpeg"/><Relationship Id="rId806" Type="http://schemas.openxmlformats.org/officeDocument/2006/relationships/image" Target="../media/image806.jpeg"/><Relationship Id="rId805" Type="http://schemas.openxmlformats.org/officeDocument/2006/relationships/image" Target="../media/image805.jpeg"/><Relationship Id="rId804" Type="http://schemas.openxmlformats.org/officeDocument/2006/relationships/image" Target="../media/image804.jpeg"/><Relationship Id="rId803" Type="http://schemas.openxmlformats.org/officeDocument/2006/relationships/image" Target="../media/image803.jpeg"/><Relationship Id="rId802" Type="http://schemas.openxmlformats.org/officeDocument/2006/relationships/image" Target="../media/image802.jpeg"/><Relationship Id="rId801" Type="http://schemas.openxmlformats.org/officeDocument/2006/relationships/image" Target="../media/image801.jpeg"/><Relationship Id="rId800" Type="http://schemas.openxmlformats.org/officeDocument/2006/relationships/image" Target="../media/image800.jpeg"/><Relationship Id="rId80" Type="http://schemas.openxmlformats.org/officeDocument/2006/relationships/image" Target="../media/image80.jpeg"/><Relationship Id="rId8" Type="http://schemas.openxmlformats.org/officeDocument/2006/relationships/image" Target="../media/image8.jpeg"/><Relationship Id="rId799" Type="http://schemas.openxmlformats.org/officeDocument/2006/relationships/image" Target="../media/image799.jpeg"/><Relationship Id="rId798" Type="http://schemas.openxmlformats.org/officeDocument/2006/relationships/image" Target="../media/image798.jpeg"/><Relationship Id="rId797" Type="http://schemas.openxmlformats.org/officeDocument/2006/relationships/image" Target="../media/image797.jpeg"/><Relationship Id="rId796" Type="http://schemas.openxmlformats.org/officeDocument/2006/relationships/image" Target="../media/image796.jpeg"/><Relationship Id="rId795" Type="http://schemas.openxmlformats.org/officeDocument/2006/relationships/image" Target="../media/image795.jpeg"/><Relationship Id="rId794" Type="http://schemas.openxmlformats.org/officeDocument/2006/relationships/image" Target="../media/image794.jpeg"/><Relationship Id="rId793" Type="http://schemas.openxmlformats.org/officeDocument/2006/relationships/image" Target="../media/image793.jpeg"/><Relationship Id="rId792" Type="http://schemas.openxmlformats.org/officeDocument/2006/relationships/image" Target="../media/image792.jpeg"/><Relationship Id="rId791" Type="http://schemas.openxmlformats.org/officeDocument/2006/relationships/image" Target="../media/image791.jpeg"/><Relationship Id="rId790" Type="http://schemas.openxmlformats.org/officeDocument/2006/relationships/image" Target="../media/image790.jpeg"/><Relationship Id="rId79" Type="http://schemas.openxmlformats.org/officeDocument/2006/relationships/image" Target="../media/image79.jpeg"/><Relationship Id="rId789" Type="http://schemas.openxmlformats.org/officeDocument/2006/relationships/image" Target="../media/image789.jpeg"/><Relationship Id="rId788" Type="http://schemas.openxmlformats.org/officeDocument/2006/relationships/image" Target="../media/image788.jpeg"/><Relationship Id="rId787" Type="http://schemas.openxmlformats.org/officeDocument/2006/relationships/image" Target="../media/image787.jpeg"/><Relationship Id="rId786" Type="http://schemas.openxmlformats.org/officeDocument/2006/relationships/image" Target="../media/image786.jpeg"/><Relationship Id="rId785" Type="http://schemas.openxmlformats.org/officeDocument/2006/relationships/image" Target="../media/image785.jpeg"/><Relationship Id="rId784" Type="http://schemas.openxmlformats.org/officeDocument/2006/relationships/image" Target="../media/image784.jpeg"/><Relationship Id="rId783" Type="http://schemas.openxmlformats.org/officeDocument/2006/relationships/image" Target="../media/image783.jpeg"/><Relationship Id="rId782" Type="http://schemas.openxmlformats.org/officeDocument/2006/relationships/image" Target="../media/image782.jpeg"/><Relationship Id="rId781" Type="http://schemas.openxmlformats.org/officeDocument/2006/relationships/image" Target="../media/image781.jpeg"/><Relationship Id="rId780" Type="http://schemas.openxmlformats.org/officeDocument/2006/relationships/image" Target="../media/image780.jpeg"/><Relationship Id="rId78" Type="http://schemas.openxmlformats.org/officeDocument/2006/relationships/image" Target="../media/image78.jpeg"/><Relationship Id="rId779" Type="http://schemas.openxmlformats.org/officeDocument/2006/relationships/image" Target="../media/image779.jpeg"/><Relationship Id="rId778" Type="http://schemas.openxmlformats.org/officeDocument/2006/relationships/image" Target="../media/image778.jpeg"/><Relationship Id="rId777" Type="http://schemas.openxmlformats.org/officeDocument/2006/relationships/image" Target="../media/image777.jpeg"/><Relationship Id="rId776" Type="http://schemas.openxmlformats.org/officeDocument/2006/relationships/image" Target="../media/image776.jpeg"/><Relationship Id="rId775" Type="http://schemas.openxmlformats.org/officeDocument/2006/relationships/image" Target="../media/image775.jpeg"/><Relationship Id="rId774" Type="http://schemas.openxmlformats.org/officeDocument/2006/relationships/image" Target="../media/image774.jpeg"/><Relationship Id="rId773" Type="http://schemas.openxmlformats.org/officeDocument/2006/relationships/image" Target="../media/image773.jpeg"/><Relationship Id="rId772" Type="http://schemas.openxmlformats.org/officeDocument/2006/relationships/image" Target="../media/image772.jpeg"/><Relationship Id="rId771" Type="http://schemas.openxmlformats.org/officeDocument/2006/relationships/image" Target="../media/image771.jpeg"/><Relationship Id="rId770" Type="http://schemas.openxmlformats.org/officeDocument/2006/relationships/image" Target="../media/image770.jpeg"/><Relationship Id="rId77" Type="http://schemas.openxmlformats.org/officeDocument/2006/relationships/image" Target="../media/image77.jpeg"/><Relationship Id="rId769" Type="http://schemas.openxmlformats.org/officeDocument/2006/relationships/image" Target="../media/image769.jpeg"/><Relationship Id="rId768" Type="http://schemas.openxmlformats.org/officeDocument/2006/relationships/image" Target="../media/image768.jpeg"/><Relationship Id="rId767" Type="http://schemas.openxmlformats.org/officeDocument/2006/relationships/image" Target="../media/image767.jpeg"/><Relationship Id="rId766" Type="http://schemas.openxmlformats.org/officeDocument/2006/relationships/image" Target="../media/image766.jpeg"/><Relationship Id="rId765" Type="http://schemas.openxmlformats.org/officeDocument/2006/relationships/image" Target="../media/image765.jpeg"/><Relationship Id="rId764" Type="http://schemas.openxmlformats.org/officeDocument/2006/relationships/image" Target="../media/image764.jpeg"/><Relationship Id="rId763" Type="http://schemas.openxmlformats.org/officeDocument/2006/relationships/image" Target="../media/image763.jpeg"/><Relationship Id="rId762" Type="http://schemas.openxmlformats.org/officeDocument/2006/relationships/image" Target="../media/image762.jpeg"/><Relationship Id="rId761" Type="http://schemas.openxmlformats.org/officeDocument/2006/relationships/image" Target="../media/image761.jpeg"/><Relationship Id="rId760" Type="http://schemas.openxmlformats.org/officeDocument/2006/relationships/image" Target="../media/image760.jpeg"/><Relationship Id="rId76" Type="http://schemas.openxmlformats.org/officeDocument/2006/relationships/image" Target="../media/image76.jpeg"/><Relationship Id="rId759" Type="http://schemas.openxmlformats.org/officeDocument/2006/relationships/image" Target="../media/image759.jpeg"/><Relationship Id="rId758" Type="http://schemas.openxmlformats.org/officeDocument/2006/relationships/image" Target="../media/image758.jpeg"/><Relationship Id="rId757" Type="http://schemas.openxmlformats.org/officeDocument/2006/relationships/image" Target="../media/image757.jpeg"/><Relationship Id="rId756" Type="http://schemas.openxmlformats.org/officeDocument/2006/relationships/image" Target="../media/image756.jpeg"/><Relationship Id="rId755" Type="http://schemas.openxmlformats.org/officeDocument/2006/relationships/image" Target="../media/image755.jpeg"/><Relationship Id="rId754" Type="http://schemas.openxmlformats.org/officeDocument/2006/relationships/image" Target="../media/image754.jpeg"/><Relationship Id="rId753" Type="http://schemas.openxmlformats.org/officeDocument/2006/relationships/image" Target="../media/image753.jpeg"/><Relationship Id="rId752" Type="http://schemas.openxmlformats.org/officeDocument/2006/relationships/image" Target="../media/image752.jpeg"/><Relationship Id="rId751" Type="http://schemas.openxmlformats.org/officeDocument/2006/relationships/image" Target="../media/image751.jpeg"/><Relationship Id="rId750" Type="http://schemas.openxmlformats.org/officeDocument/2006/relationships/image" Target="../media/image750.jpeg"/><Relationship Id="rId75" Type="http://schemas.openxmlformats.org/officeDocument/2006/relationships/image" Target="../media/image75.jpeg"/><Relationship Id="rId749" Type="http://schemas.openxmlformats.org/officeDocument/2006/relationships/image" Target="../media/image749.jpeg"/><Relationship Id="rId748" Type="http://schemas.openxmlformats.org/officeDocument/2006/relationships/image" Target="../media/image748.jpeg"/><Relationship Id="rId747" Type="http://schemas.openxmlformats.org/officeDocument/2006/relationships/image" Target="../media/image747.jpeg"/><Relationship Id="rId746" Type="http://schemas.openxmlformats.org/officeDocument/2006/relationships/image" Target="../media/image746.jpeg"/><Relationship Id="rId745" Type="http://schemas.openxmlformats.org/officeDocument/2006/relationships/image" Target="../media/image745.jpeg"/><Relationship Id="rId744" Type="http://schemas.openxmlformats.org/officeDocument/2006/relationships/image" Target="../media/image744.jpeg"/><Relationship Id="rId743" Type="http://schemas.openxmlformats.org/officeDocument/2006/relationships/image" Target="../media/image743.jpeg"/><Relationship Id="rId742" Type="http://schemas.openxmlformats.org/officeDocument/2006/relationships/image" Target="../media/image742.jpeg"/><Relationship Id="rId741" Type="http://schemas.openxmlformats.org/officeDocument/2006/relationships/image" Target="../media/image741.jpeg"/><Relationship Id="rId740" Type="http://schemas.openxmlformats.org/officeDocument/2006/relationships/image" Target="../media/image740.jpeg"/><Relationship Id="rId74" Type="http://schemas.openxmlformats.org/officeDocument/2006/relationships/image" Target="../media/image74.jpeg"/><Relationship Id="rId739" Type="http://schemas.openxmlformats.org/officeDocument/2006/relationships/image" Target="../media/image739.jpeg"/><Relationship Id="rId738" Type="http://schemas.openxmlformats.org/officeDocument/2006/relationships/image" Target="../media/image738.jpeg"/><Relationship Id="rId737" Type="http://schemas.openxmlformats.org/officeDocument/2006/relationships/image" Target="../media/image737.jpeg"/><Relationship Id="rId736" Type="http://schemas.openxmlformats.org/officeDocument/2006/relationships/image" Target="../media/image736.jpeg"/><Relationship Id="rId735" Type="http://schemas.openxmlformats.org/officeDocument/2006/relationships/image" Target="../media/image735.jpeg"/><Relationship Id="rId734" Type="http://schemas.openxmlformats.org/officeDocument/2006/relationships/image" Target="../media/image734.jpeg"/><Relationship Id="rId733" Type="http://schemas.openxmlformats.org/officeDocument/2006/relationships/image" Target="../media/image733.jpeg"/><Relationship Id="rId732" Type="http://schemas.openxmlformats.org/officeDocument/2006/relationships/image" Target="../media/image732.jpeg"/><Relationship Id="rId731" Type="http://schemas.openxmlformats.org/officeDocument/2006/relationships/image" Target="../media/image731.jpeg"/><Relationship Id="rId730" Type="http://schemas.openxmlformats.org/officeDocument/2006/relationships/image" Target="../media/image730.jpeg"/><Relationship Id="rId73" Type="http://schemas.openxmlformats.org/officeDocument/2006/relationships/image" Target="../media/image73.jpeg"/><Relationship Id="rId729" Type="http://schemas.openxmlformats.org/officeDocument/2006/relationships/image" Target="../media/image729.jpeg"/><Relationship Id="rId728" Type="http://schemas.openxmlformats.org/officeDocument/2006/relationships/image" Target="../media/image728.jpeg"/><Relationship Id="rId727" Type="http://schemas.openxmlformats.org/officeDocument/2006/relationships/image" Target="../media/image727.jpeg"/><Relationship Id="rId726" Type="http://schemas.openxmlformats.org/officeDocument/2006/relationships/image" Target="../media/image726.jpeg"/><Relationship Id="rId725" Type="http://schemas.openxmlformats.org/officeDocument/2006/relationships/image" Target="../media/image725.jpeg"/><Relationship Id="rId724" Type="http://schemas.openxmlformats.org/officeDocument/2006/relationships/image" Target="../media/image724.jpeg"/><Relationship Id="rId723" Type="http://schemas.openxmlformats.org/officeDocument/2006/relationships/image" Target="../media/image723.jpeg"/><Relationship Id="rId722" Type="http://schemas.openxmlformats.org/officeDocument/2006/relationships/image" Target="../media/image722.jpeg"/><Relationship Id="rId721" Type="http://schemas.openxmlformats.org/officeDocument/2006/relationships/image" Target="../media/image721.jpeg"/><Relationship Id="rId720" Type="http://schemas.openxmlformats.org/officeDocument/2006/relationships/image" Target="../media/image720.jpeg"/><Relationship Id="rId72" Type="http://schemas.openxmlformats.org/officeDocument/2006/relationships/image" Target="../media/image72.jpeg"/><Relationship Id="rId719" Type="http://schemas.openxmlformats.org/officeDocument/2006/relationships/image" Target="../media/image719.jpeg"/><Relationship Id="rId718" Type="http://schemas.openxmlformats.org/officeDocument/2006/relationships/image" Target="../media/image718.jpeg"/><Relationship Id="rId717" Type="http://schemas.openxmlformats.org/officeDocument/2006/relationships/image" Target="../media/image717.jpeg"/><Relationship Id="rId716" Type="http://schemas.openxmlformats.org/officeDocument/2006/relationships/image" Target="../media/image716.jpeg"/><Relationship Id="rId715" Type="http://schemas.openxmlformats.org/officeDocument/2006/relationships/image" Target="../media/image715.jpeg"/><Relationship Id="rId714" Type="http://schemas.openxmlformats.org/officeDocument/2006/relationships/image" Target="../media/image714.jpeg"/><Relationship Id="rId713" Type="http://schemas.openxmlformats.org/officeDocument/2006/relationships/image" Target="../media/image713.jpeg"/><Relationship Id="rId712" Type="http://schemas.openxmlformats.org/officeDocument/2006/relationships/image" Target="../media/image712.jpeg"/><Relationship Id="rId711" Type="http://schemas.openxmlformats.org/officeDocument/2006/relationships/image" Target="../media/image711.jpeg"/><Relationship Id="rId710" Type="http://schemas.openxmlformats.org/officeDocument/2006/relationships/image" Target="../media/image710.jpeg"/><Relationship Id="rId71" Type="http://schemas.openxmlformats.org/officeDocument/2006/relationships/image" Target="../media/image71.jpeg"/><Relationship Id="rId709" Type="http://schemas.openxmlformats.org/officeDocument/2006/relationships/image" Target="../media/image709.jpeg"/><Relationship Id="rId708" Type="http://schemas.openxmlformats.org/officeDocument/2006/relationships/image" Target="../media/image708.jpeg"/><Relationship Id="rId707" Type="http://schemas.openxmlformats.org/officeDocument/2006/relationships/image" Target="../media/image707.jpeg"/><Relationship Id="rId706" Type="http://schemas.openxmlformats.org/officeDocument/2006/relationships/image" Target="../media/image706.jpeg"/><Relationship Id="rId705" Type="http://schemas.openxmlformats.org/officeDocument/2006/relationships/image" Target="../media/image705.jpeg"/><Relationship Id="rId704" Type="http://schemas.openxmlformats.org/officeDocument/2006/relationships/image" Target="../media/image704.jpeg"/><Relationship Id="rId703" Type="http://schemas.openxmlformats.org/officeDocument/2006/relationships/image" Target="../media/image703.jpeg"/><Relationship Id="rId702" Type="http://schemas.openxmlformats.org/officeDocument/2006/relationships/image" Target="../media/image702.jpeg"/><Relationship Id="rId701" Type="http://schemas.openxmlformats.org/officeDocument/2006/relationships/image" Target="../media/image701.jpeg"/><Relationship Id="rId700" Type="http://schemas.openxmlformats.org/officeDocument/2006/relationships/image" Target="../media/image700.jpeg"/><Relationship Id="rId70" Type="http://schemas.openxmlformats.org/officeDocument/2006/relationships/image" Target="../media/image70.jpeg"/><Relationship Id="rId7" Type="http://schemas.openxmlformats.org/officeDocument/2006/relationships/image" Target="../media/image7.jpeg"/><Relationship Id="rId699" Type="http://schemas.openxmlformats.org/officeDocument/2006/relationships/image" Target="../media/image699.jpeg"/><Relationship Id="rId698" Type="http://schemas.openxmlformats.org/officeDocument/2006/relationships/image" Target="../media/image698.jpeg"/><Relationship Id="rId697" Type="http://schemas.openxmlformats.org/officeDocument/2006/relationships/image" Target="../media/image697.jpeg"/><Relationship Id="rId696" Type="http://schemas.openxmlformats.org/officeDocument/2006/relationships/image" Target="../media/image696.jpeg"/><Relationship Id="rId695" Type="http://schemas.openxmlformats.org/officeDocument/2006/relationships/image" Target="../media/image695.jpeg"/><Relationship Id="rId694" Type="http://schemas.openxmlformats.org/officeDocument/2006/relationships/image" Target="../media/image694.jpeg"/><Relationship Id="rId693" Type="http://schemas.openxmlformats.org/officeDocument/2006/relationships/image" Target="../media/image693.jpeg"/><Relationship Id="rId692" Type="http://schemas.openxmlformats.org/officeDocument/2006/relationships/image" Target="../media/image692.jpeg"/><Relationship Id="rId691" Type="http://schemas.openxmlformats.org/officeDocument/2006/relationships/image" Target="../media/image691.png"/><Relationship Id="rId690" Type="http://schemas.openxmlformats.org/officeDocument/2006/relationships/image" Target="../media/image690.jpeg"/><Relationship Id="rId69" Type="http://schemas.openxmlformats.org/officeDocument/2006/relationships/image" Target="../media/image69.jpeg"/><Relationship Id="rId689" Type="http://schemas.openxmlformats.org/officeDocument/2006/relationships/image" Target="../media/image689.jpeg"/><Relationship Id="rId688" Type="http://schemas.openxmlformats.org/officeDocument/2006/relationships/image" Target="../media/image688.jpeg"/><Relationship Id="rId687" Type="http://schemas.openxmlformats.org/officeDocument/2006/relationships/image" Target="../media/image687.jpeg"/><Relationship Id="rId686" Type="http://schemas.openxmlformats.org/officeDocument/2006/relationships/image" Target="../media/image686.jpeg"/><Relationship Id="rId685" Type="http://schemas.openxmlformats.org/officeDocument/2006/relationships/image" Target="../media/image685.jpeg"/><Relationship Id="rId684" Type="http://schemas.openxmlformats.org/officeDocument/2006/relationships/image" Target="../media/image684.jpeg"/><Relationship Id="rId683" Type="http://schemas.openxmlformats.org/officeDocument/2006/relationships/image" Target="../media/image683.jpeg"/><Relationship Id="rId682" Type="http://schemas.openxmlformats.org/officeDocument/2006/relationships/image" Target="../media/image682.jpeg"/><Relationship Id="rId681" Type="http://schemas.openxmlformats.org/officeDocument/2006/relationships/image" Target="../media/image681.jpeg"/><Relationship Id="rId680" Type="http://schemas.openxmlformats.org/officeDocument/2006/relationships/image" Target="../media/image680.jpeg"/><Relationship Id="rId68" Type="http://schemas.openxmlformats.org/officeDocument/2006/relationships/image" Target="../media/image68.jpeg"/><Relationship Id="rId679" Type="http://schemas.openxmlformats.org/officeDocument/2006/relationships/image" Target="../media/image679.jpeg"/><Relationship Id="rId678" Type="http://schemas.openxmlformats.org/officeDocument/2006/relationships/image" Target="../media/image678.jpeg"/><Relationship Id="rId677" Type="http://schemas.openxmlformats.org/officeDocument/2006/relationships/image" Target="../media/image677.jpeg"/><Relationship Id="rId676" Type="http://schemas.openxmlformats.org/officeDocument/2006/relationships/image" Target="../media/image676.jpeg"/><Relationship Id="rId675" Type="http://schemas.openxmlformats.org/officeDocument/2006/relationships/image" Target="../media/image675.jpeg"/><Relationship Id="rId674" Type="http://schemas.openxmlformats.org/officeDocument/2006/relationships/image" Target="../media/image674.jpeg"/><Relationship Id="rId673" Type="http://schemas.openxmlformats.org/officeDocument/2006/relationships/image" Target="../media/image673.jpeg"/><Relationship Id="rId672" Type="http://schemas.openxmlformats.org/officeDocument/2006/relationships/image" Target="../media/image672.jpeg"/><Relationship Id="rId671" Type="http://schemas.openxmlformats.org/officeDocument/2006/relationships/image" Target="../media/image671.jpeg"/><Relationship Id="rId670" Type="http://schemas.openxmlformats.org/officeDocument/2006/relationships/image" Target="../media/image670.jpeg"/><Relationship Id="rId67" Type="http://schemas.openxmlformats.org/officeDocument/2006/relationships/image" Target="../media/image67.jpeg"/><Relationship Id="rId669" Type="http://schemas.openxmlformats.org/officeDocument/2006/relationships/image" Target="../media/image669.jpeg"/><Relationship Id="rId668" Type="http://schemas.openxmlformats.org/officeDocument/2006/relationships/image" Target="../media/image668.jpeg"/><Relationship Id="rId667" Type="http://schemas.openxmlformats.org/officeDocument/2006/relationships/image" Target="../media/image667.jpeg"/><Relationship Id="rId666" Type="http://schemas.openxmlformats.org/officeDocument/2006/relationships/image" Target="../media/image666.jpeg"/><Relationship Id="rId665" Type="http://schemas.openxmlformats.org/officeDocument/2006/relationships/image" Target="../media/image665.jpeg"/><Relationship Id="rId664" Type="http://schemas.openxmlformats.org/officeDocument/2006/relationships/image" Target="../media/image664.jpeg"/><Relationship Id="rId663" Type="http://schemas.openxmlformats.org/officeDocument/2006/relationships/image" Target="../media/image663.jpeg"/><Relationship Id="rId662" Type="http://schemas.openxmlformats.org/officeDocument/2006/relationships/image" Target="../media/image662.jpeg"/><Relationship Id="rId661" Type="http://schemas.openxmlformats.org/officeDocument/2006/relationships/image" Target="../media/image661.jpeg"/><Relationship Id="rId660" Type="http://schemas.openxmlformats.org/officeDocument/2006/relationships/image" Target="../media/image660.jpeg"/><Relationship Id="rId66" Type="http://schemas.openxmlformats.org/officeDocument/2006/relationships/image" Target="../media/image66.jpeg"/><Relationship Id="rId659" Type="http://schemas.openxmlformats.org/officeDocument/2006/relationships/image" Target="../media/image659.jpeg"/><Relationship Id="rId658" Type="http://schemas.openxmlformats.org/officeDocument/2006/relationships/image" Target="../media/image658.jpeg"/><Relationship Id="rId657" Type="http://schemas.openxmlformats.org/officeDocument/2006/relationships/image" Target="../media/image657.jpeg"/><Relationship Id="rId656" Type="http://schemas.openxmlformats.org/officeDocument/2006/relationships/image" Target="../media/image656.jpeg"/><Relationship Id="rId655" Type="http://schemas.openxmlformats.org/officeDocument/2006/relationships/image" Target="../media/image655.jpeg"/><Relationship Id="rId654" Type="http://schemas.openxmlformats.org/officeDocument/2006/relationships/image" Target="../media/image654.jpeg"/><Relationship Id="rId653" Type="http://schemas.openxmlformats.org/officeDocument/2006/relationships/image" Target="../media/image653.jpeg"/><Relationship Id="rId652" Type="http://schemas.openxmlformats.org/officeDocument/2006/relationships/image" Target="../media/image652.jpeg"/><Relationship Id="rId651" Type="http://schemas.openxmlformats.org/officeDocument/2006/relationships/image" Target="../media/image651.jpeg"/><Relationship Id="rId650" Type="http://schemas.openxmlformats.org/officeDocument/2006/relationships/image" Target="../media/image650.jpeg"/><Relationship Id="rId65" Type="http://schemas.openxmlformats.org/officeDocument/2006/relationships/image" Target="../media/image65.jpeg"/><Relationship Id="rId649" Type="http://schemas.openxmlformats.org/officeDocument/2006/relationships/image" Target="../media/image649.jpeg"/><Relationship Id="rId648" Type="http://schemas.openxmlformats.org/officeDocument/2006/relationships/image" Target="../media/image648.jpeg"/><Relationship Id="rId647" Type="http://schemas.openxmlformats.org/officeDocument/2006/relationships/image" Target="../media/image647.jpeg"/><Relationship Id="rId646" Type="http://schemas.openxmlformats.org/officeDocument/2006/relationships/image" Target="../media/image646.jpeg"/><Relationship Id="rId645" Type="http://schemas.openxmlformats.org/officeDocument/2006/relationships/image" Target="../media/image645.jpeg"/><Relationship Id="rId644" Type="http://schemas.openxmlformats.org/officeDocument/2006/relationships/image" Target="../media/image644.jpeg"/><Relationship Id="rId643" Type="http://schemas.openxmlformats.org/officeDocument/2006/relationships/image" Target="../media/image643.jpeg"/><Relationship Id="rId642" Type="http://schemas.openxmlformats.org/officeDocument/2006/relationships/image" Target="../media/image642.jpeg"/><Relationship Id="rId641" Type="http://schemas.openxmlformats.org/officeDocument/2006/relationships/image" Target="../media/image641.jpeg"/><Relationship Id="rId640" Type="http://schemas.openxmlformats.org/officeDocument/2006/relationships/image" Target="../media/image640.jpeg"/><Relationship Id="rId64" Type="http://schemas.openxmlformats.org/officeDocument/2006/relationships/image" Target="../media/image64.jpeg"/><Relationship Id="rId639" Type="http://schemas.openxmlformats.org/officeDocument/2006/relationships/image" Target="../media/image639.jpeg"/><Relationship Id="rId638" Type="http://schemas.openxmlformats.org/officeDocument/2006/relationships/image" Target="../media/image638.jpeg"/><Relationship Id="rId637" Type="http://schemas.openxmlformats.org/officeDocument/2006/relationships/image" Target="../media/image637.jpeg"/><Relationship Id="rId636" Type="http://schemas.openxmlformats.org/officeDocument/2006/relationships/image" Target="../media/image636.jpeg"/><Relationship Id="rId635" Type="http://schemas.openxmlformats.org/officeDocument/2006/relationships/image" Target="../media/image635.jpeg"/><Relationship Id="rId634" Type="http://schemas.openxmlformats.org/officeDocument/2006/relationships/image" Target="../media/image634.jpeg"/><Relationship Id="rId633" Type="http://schemas.openxmlformats.org/officeDocument/2006/relationships/image" Target="../media/image633.jpeg"/><Relationship Id="rId632" Type="http://schemas.openxmlformats.org/officeDocument/2006/relationships/image" Target="../media/image632.jpeg"/><Relationship Id="rId631" Type="http://schemas.openxmlformats.org/officeDocument/2006/relationships/image" Target="../media/image631.jpeg"/><Relationship Id="rId630" Type="http://schemas.openxmlformats.org/officeDocument/2006/relationships/image" Target="../media/image630.jpeg"/><Relationship Id="rId63" Type="http://schemas.openxmlformats.org/officeDocument/2006/relationships/image" Target="../media/image63.jpeg"/><Relationship Id="rId629" Type="http://schemas.openxmlformats.org/officeDocument/2006/relationships/image" Target="../media/image629.jpeg"/><Relationship Id="rId628" Type="http://schemas.openxmlformats.org/officeDocument/2006/relationships/image" Target="../media/image628.jpeg"/><Relationship Id="rId627" Type="http://schemas.openxmlformats.org/officeDocument/2006/relationships/image" Target="../media/image627.jpeg"/><Relationship Id="rId626" Type="http://schemas.openxmlformats.org/officeDocument/2006/relationships/image" Target="../media/image626.jpeg"/><Relationship Id="rId625" Type="http://schemas.openxmlformats.org/officeDocument/2006/relationships/image" Target="../media/image625.jpeg"/><Relationship Id="rId624" Type="http://schemas.openxmlformats.org/officeDocument/2006/relationships/image" Target="../media/image624.jpeg"/><Relationship Id="rId623" Type="http://schemas.openxmlformats.org/officeDocument/2006/relationships/image" Target="../media/image623.jpeg"/><Relationship Id="rId622" Type="http://schemas.openxmlformats.org/officeDocument/2006/relationships/image" Target="../media/image622.jpeg"/><Relationship Id="rId621" Type="http://schemas.openxmlformats.org/officeDocument/2006/relationships/image" Target="../media/image621.jpeg"/><Relationship Id="rId620" Type="http://schemas.openxmlformats.org/officeDocument/2006/relationships/image" Target="../media/image620.jpeg"/><Relationship Id="rId62" Type="http://schemas.openxmlformats.org/officeDocument/2006/relationships/image" Target="../media/image62.jpeg"/><Relationship Id="rId619" Type="http://schemas.openxmlformats.org/officeDocument/2006/relationships/image" Target="../media/image619.jpeg"/><Relationship Id="rId618" Type="http://schemas.openxmlformats.org/officeDocument/2006/relationships/image" Target="../media/image618.jpeg"/><Relationship Id="rId617" Type="http://schemas.openxmlformats.org/officeDocument/2006/relationships/image" Target="../media/image617.jpeg"/><Relationship Id="rId616" Type="http://schemas.openxmlformats.org/officeDocument/2006/relationships/image" Target="../media/image616.jpeg"/><Relationship Id="rId615" Type="http://schemas.openxmlformats.org/officeDocument/2006/relationships/image" Target="../media/image615.jpeg"/><Relationship Id="rId614" Type="http://schemas.openxmlformats.org/officeDocument/2006/relationships/image" Target="../media/image614.jpeg"/><Relationship Id="rId613" Type="http://schemas.openxmlformats.org/officeDocument/2006/relationships/image" Target="../media/image613.jpeg"/><Relationship Id="rId612" Type="http://schemas.openxmlformats.org/officeDocument/2006/relationships/image" Target="../media/image612.jpeg"/><Relationship Id="rId611" Type="http://schemas.openxmlformats.org/officeDocument/2006/relationships/image" Target="../media/image611.jpeg"/><Relationship Id="rId610" Type="http://schemas.openxmlformats.org/officeDocument/2006/relationships/image" Target="../media/image610.jpeg"/><Relationship Id="rId61" Type="http://schemas.openxmlformats.org/officeDocument/2006/relationships/image" Target="../media/image61.jpeg"/><Relationship Id="rId609" Type="http://schemas.openxmlformats.org/officeDocument/2006/relationships/image" Target="../media/image609.jpeg"/><Relationship Id="rId608" Type="http://schemas.openxmlformats.org/officeDocument/2006/relationships/image" Target="../media/image608.jpeg"/><Relationship Id="rId607" Type="http://schemas.openxmlformats.org/officeDocument/2006/relationships/image" Target="../media/image607.jpeg"/><Relationship Id="rId606" Type="http://schemas.openxmlformats.org/officeDocument/2006/relationships/image" Target="../media/image606.jpeg"/><Relationship Id="rId605" Type="http://schemas.openxmlformats.org/officeDocument/2006/relationships/image" Target="../media/image605.jpeg"/><Relationship Id="rId604" Type="http://schemas.openxmlformats.org/officeDocument/2006/relationships/image" Target="../media/image604.jpeg"/><Relationship Id="rId603" Type="http://schemas.openxmlformats.org/officeDocument/2006/relationships/image" Target="../media/image603.jpeg"/><Relationship Id="rId602" Type="http://schemas.openxmlformats.org/officeDocument/2006/relationships/image" Target="../media/image602.jpeg"/><Relationship Id="rId601" Type="http://schemas.openxmlformats.org/officeDocument/2006/relationships/image" Target="../media/image601.jpeg"/><Relationship Id="rId600" Type="http://schemas.openxmlformats.org/officeDocument/2006/relationships/image" Target="../media/image600.jpeg"/><Relationship Id="rId60" Type="http://schemas.openxmlformats.org/officeDocument/2006/relationships/image" Target="../media/image60.jpeg"/><Relationship Id="rId6" Type="http://schemas.openxmlformats.org/officeDocument/2006/relationships/image" Target="../media/image6.jpeg"/><Relationship Id="rId599" Type="http://schemas.openxmlformats.org/officeDocument/2006/relationships/image" Target="../media/image599.jpeg"/><Relationship Id="rId598" Type="http://schemas.openxmlformats.org/officeDocument/2006/relationships/image" Target="../media/image598.jpeg"/><Relationship Id="rId597" Type="http://schemas.openxmlformats.org/officeDocument/2006/relationships/image" Target="../media/image597.jpeg"/><Relationship Id="rId596" Type="http://schemas.openxmlformats.org/officeDocument/2006/relationships/image" Target="../media/image596.jpeg"/><Relationship Id="rId595" Type="http://schemas.openxmlformats.org/officeDocument/2006/relationships/image" Target="../media/image595.jpeg"/><Relationship Id="rId594" Type="http://schemas.openxmlformats.org/officeDocument/2006/relationships/image" Target="../media/image594.jpeg"/><Relationship Id="rId593" Type="http://schemas.openxmlformats.org/officeDocument/2006/relationships/image" Target="../media/image593.jpeg"/><Relationship Id="rId592" Type="http://schemas.openxmlformats.org/officeDocument/2006/relationships/image" Target="../media/image592.jpeg"/><Relationship Id="rId591" Type="http://schemas.openxmlformats.org/officeDocument/2006/relationships/image" Target="../media/image591.jpeg"/><Relationship Id="rId590" Type="http://schemas.openxmlformats.org/officeDocument/2006/relationships/image" Target="../media/image590.jpeg"/><Relationship Id="rId59" Type="http://schemas.openxmlformats.org/officeDocument/2006/relationships/image" Target="../media/image59.jpeg"/><Relationship Id="rId589" Type="http://schemas.openxmlformats.org/officeDocument/2006/relationships/image" Target="../media/image589.jpeg"/><Relationship Id="rId588" Type="http://schemas.openxmlformats.org/officeDocument/2006/relationships/image" Target="../media/image588.jpeg"/><Relationship Id="rId587" Type="http://schemas.openxmlformats.org/officeDocument/2006/relationships/image" Target="../media/image587.jpeg"/><Relationship Id="rId586" Type="http://schemas.openxmlformats.org/officeDocument/2006/relationships/image" Target="../media/image586.jpeg"/><Relationship Id="rId585" Type="http://schemas.openxmlformats.org/officeDocument/2006/relationships/image" Target="../media/image585.jpeg"/><Relationship Id="rId584" Type="http://schemas.openxmlformats.org/officeDocument/2006/relationships/image" Target="../media/image584.jpeg"/><Relationship Id="rId583" Type="http://schemas.openxmlformats.org/officeDocument/2006/relationships/image" Target="../media/image583.jpeg"/><Relationship Id="rId582" Type="http://schemas.openxmlformats.org/officeDocument/2006/relationships/image" Target="../media/image582.jpeg"/><Relationship Id="rId581" Type="http://schemas.openxmlformats.org/officeDocument/2006/relationships/image" Target="../media/image581.jpeg"/><Relationship Id="rId580" Type="http://schemas.openxmlformats.org/officeDocument/2006/relationships/image" Target="../media/image580.jpeg"/><Relationship Id="rId58" Type="http://schemas.openxmlformats.org/officeDocument/2006/relationships/image" Target="../media/image58.jpeg"/><Relationship Id="rId579" Type="http://schemas.openxmlformats.org/officeDocument/2006/relationships/image" Target="../media/image579.jpeg"/><Relationship Id="rId578" Type="http://schemas.openxmlformats.org/officeDocument/2006/relationships/image" Target="../media/image578.jpeg"/><Relationship Id="rId577" Type="http://schemas.openxmlformats.org/officeDocument/2006/relationships/image" Target="../media/image577.jpeg"/><Relationship Id="rId576" Type="http://schemas.openxmlformats.org/officeDocument/2006/relationships/image" Target="../media/image576.jpeg"/><Relationship Id="rId575" Type="http://schemas.openxmlformats.org/officeDocument/2006/relationships/image" Target="../media/image575.jpeg"/><Relationship Id="rId574" Type="http://schemas.openxmlformats.org/officeDocument/2006/relationships/image" Target="../media/image574.jpeg"/><Relationship Id="rId573" Type="http://schemas.openxmlformats.org/officeDocument/2006/relationships/image" Target="../media/image573.jpeg"/><Relationship Id="rId572" Type="http://schemas.openxmlformats.org/officeDocument/2006/relationships/image" Target="../media/image572.jpeg"/><Relationship Id="rId571" Type="http://schemas.openxmlformats.org/officeDocument/2006/relationships/image" Target="../media/image571.jpeg"/><Relationship Id="rId570" Type="http://schemas.openxmlformats.org/officeDocument/2006/relationships/image" Target="../media/image570.jpeg"/><Relationship Id="rId57" Type="http://schemas.openxmlformats.org/officeDocument/2006/relationships/image" Target="../media/image57.jpeg"/><Relationship Id="rId569" Type="http://schemas.openxmlformats.org/officeDocument/2006/relationships/image" Target="../media/image569.jpeg"/><Relationship Id="rId568" Type="http://schemas.openxmlformats.org/officeDocument/2006/relationships/image" Target="../media/image568.jpeg"/><Relationship Id="rId567" Type="http://schemas.openxmlformats.org/officeDocument/2006/relationships/image" Target="../media/image567.jpeg"/><Relationship Id="rId566" Type="http://schemas.openxmlformats.org/officeDocument/2006/relationships/image" Target="../media/image566.jpeg"/><Relationship Id="rId565" Type="http://schemas.openxmlformats.org/officeDocument/2006/relationships/image" Target="../media/image565.jpeg"/><Relationship Id="rId564" Type="http://schemas.openxmlformats.org/officeDocument/2006/relationships/image" Target="../media/image564.jpeg"/><Relationship Id="rId563" Type="http://schemas.openxmlformats.org/officeDocument/2006/relationships/image" Target="../media/image563.jpeg"/><Relationship Id="rId562" Type="http://schemas.openxmlformats.org/officeDocument/2006/relationships/image" Target="../media/image562.jpeg"/><Relationship Id="rId561" Type="http://schemas.openxmlformats.org/officeDocument/2006/relationships/image" Target="../media/image561.jpeg"/><Relationship Id="rId560" Type="http://schemas.openxmlformats.org/officeDocument/2006/relationships/image" Target="../media/image560.jpeg"/><Relationship Id="rId56" Type="http://schemas.openxmlformats.org/officeDocument/2006/relationships/image" Target="../media/image56.jpeg"/><Relationship Id="rId559" Type="http://schemas.openxmlformats.org/officeDocument/2006/relationships/image" Target="../media/image559.jpeg"/><Relationship Id="rId558" Type="http://schemas.openxmlformats.org/officeDocument/2006/relationships/image" Target="../media/image558.jpeg"/><Relationship Id="rId557" Type="http://schemas.openxmlformats.org/officeDocument/2006/relationships/image" Target="../media/image557.jpeg"/><Relationship Id="rId556" Type="http://schemas.openxmlformats.org/officeDocument/2006/relationships/image" Target="../media/image556.jpeg"/><Relationship Id="rId555" Type="http://schemas.openxmlformats.org/officeDocument/2006/relationships/image" Target="../media/image555.jpeg"/><Relationship Id="rId554" Type="http://schemas.openxmlformats.org/officeDocument/2006/relationships/image" Target="../media/image554.jpeg"/><Relationship Id="rId553" Type="http://schemas.openxmlformats.org/officeDocument/2006/relationships/image" Target="../media/image553.jpeg"/><Relationship Id="rId552" Type="http://schemas.openxmlformats.org/officeDocument/2006/relationships/image" Target="../media/image552.jpeg"/><Relationship Id="rId551" Type="http://schemas.openxmlformats.org/officeDocument/2006/relationships/image" Target="../media/image551.jpeg"/><Relationship Id="rId550" Type="http://schemas.openxmlformats.org/officeDocument/2006/relationships/image" Target="../media/image550.jpeg"/><Relationship Id="rId55" Type="http://schemas.openxmlformats.org/officeDocument/2006/relationships/image" Target="../media/image55.jpeg"/><Relationship Id="rId549" Type="http://schemas.openxmlformats.org/officeDocument/2006/relationships/image" Target="../media/image549.jpeg"/><Relationship Id="rId548" Type="http://schemas.openxmlformats.org/officeDocument/2006/relationships/image" Target="../media/image548.jpeg"/><Relationship Id="rId547" Type="http://schemas.openxmlformats.org/officeDocument/2006/relationships/image" Target="../media/image547.jpeg"/><Relationship Id="rId546" Type="http://schemas.openxmlformats.org/officeDocument/2006/relationships/image" Target="../media/image546.jpeg"/><Relationship Id="rId545" Type="http://schemas.openxmlformats.org/officeDocument/2006/relationships/image" Target="../media/image545.jpeg"/><Relationship Id="rId544" Type="http://schemas.openxmlformats.org/officeDocument/2006/relationships/image" Target="../media/image544.jpeg"/><Relationship Id="rId543" Type="http://schemas.openxmlformats.org/officeDocument/2006/relationships/image" Target="../media/image543.jpeg"/><Relationship Id="rId542" Type="http://schemas.openxmlformats.org/officeDocument/2006/relationships/image" Target="../media/image542.jpeg"/><Relationship Id="rId541" Type="http://schemas.openxmlformats.org/officeDocument/2006/relationships/image" Target="../media/image541.jpeg"/><Relationship Id="rId540" Type="http://schemas.openxmlformats.org/officeDocument/2006/relationships/image" Target="../media/image540.jpeg"/><Relationship Id="rId54" Type="http://schemas.openxmlformats.org/officeDocument/2006/relationships/image" Target="../media/image54.jpeg"/><Relationship Id="rId539" Type="http://schemas.openxmlformats.org/officeDocument/2006/relationships/image" Target="../media/image539.jpeg"/><Relationship Id="rId538" Type="http://schemas.openxmlformats.org/officeDocument/2006/relationships/image" Target="../media/image538.jpeg"/><Relationship Id="rId537" Type="http://schemas.openxmlformats.org/officeDocument/2006/relationships/image" Target="../media/image537.jpeg"/><Relationship Id="rId536" Type="http://schemas.openxmlformats.org/officeDocument/2006/relationships/image" Target="../media/image536.jpeg"/><Relationship Id="rId535" Type="http://schemas.openxmlformats.org/officeDocument/2006/relationships/image" Target="../media/image535.jpeg"/><Relationship Id="rId534" Type="http://schemas.openxmlformats.org/officeDocument/2006/relationships/image" Target="../media/image534.jpeg"/><Relationship Id="rId533" Type="http://schemas.openxmlformats.org/officeDocument/2006/relationships/image" Target="../media/image533.jpeg"/><Relationship Id="rId532" Type="http://schemas.openxmlformats.org/officeDocument/2006/relationships/image" Target="../media/image532.jpeg"/><Relationship Id="rId531" Type="http://schemas.openxmlformats.org/officeDocument/2006/relationships/image" Target="../media/image531.jpeg"/><Relationship Id="rId530" Type="http://schemas.openxmlformats.org/officeDocument/2006/relationships/image" Target="../media/image530.jpeg"/><Relationship Id="rId53" Type="http://schemas.openxmlformats.org/officeDocument/2006/relationships/image" Target="../media/image53.jpeg"/><Relationship Id="rId529" Type="http://schemas.openxmlformats.org/officeDocument/2006/relationships/image" Target="../media/image529.jpeg"/><Relationship Id="rId528" Type="http://schemas.openxmlformats.org/officeDocument/2006/relationships/image" Target="../media/image528.jpeg"/><Relationship Id="rId527" Type="http://schemas.openxmlformats.org/officeDocument/2006/relationships/image" Target="../media/image527.jpeg"/><Relationship Id="rId526" Type="http://schemas.openxmlformats.org/officeDocument/2006/relationships/image" Target="../media/image526.jpeg"/><Relationship Id="rId525" Type="http://schemas.openxmlformats.org/officeDocument/2006/relationships/image" Target="../media/image525.jpeg"/><Relationship Id="rId524" Type="http://schemas.openxmlformats.org/officeDocument/2006/relationships/image" Target="../media/image524.jpeg"/><Relationship Id="rId523" Type="http://schemas.openxmlformats.org/officeDocument/2006/relationships/image" Target="../media/image523.jpeg"/><Relationship Id="rId522" Type="http://schemas.openxmlformats.org/officeDocument/2006/relationships/image" Target="../media/image522.jpeg"/><Relationship Id="rId521" Type="http://schemas.openxmlformats.org/officeDocument/2006/relationships/image" Target="../media/image521.jpeg"/><Relationship Id="rId520" Type="http://schemas.openxmlformats.org/officeDocument/2006/relationships/image" Target="../media/image520.jpeg"/><Relationship Id="rId52" Type="http://schemas.openxmlformats.org/officeDocument/2006/relationships/image" Target="../media/image52.jpeg"/><Relationship Id="rId519" Type="http://schemas.openxmlformats.org/officeDocument/2006/relationships/image" Target="../media/image519.jpeg"/><Relationship Id="rId518" Type="http://schemas.openxmlformats.org/officeDocument/2006/relationships/image" Target="../media/image518.jpeg"/><Relationship Id="rId517" Type="http://schemas.openxmlformats.org/officeDocument/2006/relationships/image" Target="../media/image517.jpeg"/><Relationship Id="rId516" Type="http://schemas.openxmlformats.org/officeDocument/2006/relationships/image" Target="../media/image516.jpeg"/><Relationship Id="rId515" Type="http://schemas.openxmlformats.org/officeDocument/2006/relationships/image" Target="../media/image515.jpeg"/><Relationship Id="rId514" Type="http://schemas.openxmlformats.org/officeDocument/2006/relationships/image" Target="../media/image514.jpeg"/><Relationship Id="rId513" Type="http://schemas.openxmlformats.org/officeDocument/2006/relationships/image" Target="../media/image513.jpeg"/><Relationship Id="rId512" Type="http://schemas.openxmlformats.org/officeDocument/2006/relationships/image" Target="../media/image512.jpeg"/><Relationship Id="rId511" Type="http://schemas.openxmlformats.org/officeDocument/2006/relationships/image" Target="../media/image511.jpeg"/><Relationship Id="rId510" Type="http://schemas.openxmlformats.org/officeDocument/2006/relationships/image" Target="../media/image510.jpeg"/><Relationship Id="rId51" Type="http://schemas.openxmlformats.org/officeDocument/2006/relationships/image" Target="../media/image51.jpeg"/><Relationship Id="rId509" Type="http://schemas.openxmlformats.org/officeDocument/2006/relationships/image" Target="../media/image509.jpeg"/><Relationship Id="rId508" Type="http://schemas.openxmlformats.org/officeDocument/2006/relationships/image" Target="../media/image508.jpeg"/><Relationship Id="rId507" Type="http://schemas.openxmlformats.org/officeDocument/2006/relationships/image" Target="../media/image507.jpeg"/><Relationship Id="rId506" Type="http://schemas.openxmlformats.org/officeDocument/2006/relationships/image" Target="../media/image506.jpeg"/><Relationship Id="rId505" Type="http://schemas.openxmlformats.org/officeDocument/2006/relationships/image" Target="../media/image505.jpeg"/><Relationship Id="rId504" Type="http://schemas.openxmlformats.org/officeDocument/2006/relationships/image" Target="../media/image504.jpeg"/><Relationship Id="rId503" Type="http://schemas.openxmlformats.org/officeDocument/2006/relationships/image" Target="../media/image503.jpeg"/><Relationship Id="rId502" Type="http://schemas.openxmlformats.org/officeDocument/2006/relationships/image" Target="../media/image502.jpeg"/><Relationship Id="rId501" Type="http://schemas.openxmlformats.org/officeDocument/2006/relationships/image" Target="../media/image501.jpeg"/><Relationship Id="rId500" Type="http://schemas.openxmlformats.org/officeDocument/2006/relationships/image" Target="../media/image500.jpeg"/><Relationship Id="rId50" Type="http://schemas.openxmlformats.org/officeDocument/2006/relationships/image" Target="../media/image50.jpeg"/><Relationship Id="rId5" Type="http://schemas.openxmlformats.org/officeDocument/2006/relationships/image" Target="../media/image5.jpeg"/><Relationship Id="rId499" Type="http://schemas.openxmlformats.org/officeDocument/2006/relationships/image" Target="../media/image499.jpeg"/><Relationship Id="rId498" Type="http://schemas.openxmlformats.org/officeDocument/2006/relationships/image" Target="../media/image498.jpeg"/><Relationship Id="rId497" Type="http://schemas.openxmlformats.org/officeDocument/2006/relationships/image" Target="../media/image497.jpeg"/><Relationship Id="rId496" Type="http://schemas.openxmlformats.org/officeDocument/2006/relationships/image" Target="../media/image496.jpeg"/><Relationship Id="rId495" Type="http://schemas.openxmlformats.org/officeDocument/2006/relationships/image" Target="../media/image495.jpeg"/><Relationship Id="rId494" Type="http://schemas.openxmlformats.org/officeDocument/2006/relationships/image" Target="../media/image494.jpeg"/><Relationship Id="rId493" Type="http://schemas.openxmlformats.org/officeDocument/2006/relationships/image" Target="../media/image493.jpeg"/><Relationship Id="rId492" Type="http://schemas.openxmlformats.org/officeDocument/2006/relationships/image" Target="../media/image492.jpeg"/><Relationship Id="rId491" Type="http://schemas.openxmlformats.org/officeDocument/2006/relationships/image" Target="../media/image491.jpeg"/><Relationship Id="rId490" Type="http://schemas.openxmlformats.org/officeDocument/2006/relationships/image" Target="../media/image490.jpeg"/><Relationship Id="rId49" Type="http://schemas.openxmlformats.org/officeDocument/2006/relationships/image" Target="../media/image49.jpeg"/><Relationship Id="rId489" Type="http://schemas.openxmlformats.org/officeDocument/2006/relationships/image" Target="../media/image489.jpeg"/><Relationship Id="rId488" Type="http://schemas.openxmlformats.org/officeDocument/2006/relationships/image" Target="../media/image488.jpeg"/><Relationship Id="rId487" Type="http://schemas.openxmlformats.org/officeDocument/2006/relationships/image" Target="../media/image487.jpeg"/><Relationship Id="rId486" Type="http://schemas.openxmlformats.org/officeDocument/2006/relationships/image" Target="../media/image486.jpeg"/><Relationship Id="rId485" Type="http://schemas.openxmlformats.org/officeDocument/2006/relationships/image" Target="../media/image485.jpeg"/><Relationship Id="rId484" Type="http://schemas.openxmlformats.org/officeDocument/2006/relationships/image" Target="../media/image484.jpeg"/><Relationship Id="rId483" Type="http://schemas.openxmlformats.org/officeDocument/2006/relationships/image" Target="../media/image483.jpeg"/><Relationship Id="rId482" Type="http://schemas.openxmlformats.org/officeDocument/2006/relationships/image" Target="../media/image482.jpeg"/><Relationship Id="rId481" Type="http://schemas.openxmlformats.org/officeDocument/2006/relationships/image" Target="../media/image481.jpeg"/><Relationship Id="rId480" Type="http://schemas.openxmlformats.org/officeDocument/2006/relationships/image" Target="../media/image480.jpeg"/><Relationship Id="rId48" Type="http://schemas.openxmlformats.org/officeDocument/2006/relationships/image" Target="../media/image48.jpeg"/><Relationship Id="rId479" Type="http://schemas.openxmlformats.org/officeDocument/2006/relationships/image" Target="../media/image479.jpeg"/><Relationship Id="rId478" Type="http://schemas.openxmlformats.org/officeDocument/2006/relationships/image" Target="../media/image478.jpeg"/><Relationship Id="rId477" Type="http://schemas.openxmlformats.org/officeDocument/2006/relationships/image" Target="../media/image477.jpeg"/><Relationship Id="rId476" Type="http://schemas.openxmlformats.org/officeDocument/2006/relationships/image" Target="../media/image476.jpeg"/><Relationship Id="rId475" Type="http://schemas.openxmlformats.org/officeDocument/2006/relationships/image" Target="../media/image475.jpeg"/><Relationship Id="rId474" Type="http://schemas.openxmlformats.org/officeDocument/2006/relationships/image" Target="../media/image474.jpeg"/><Relationship Id="rId473" Type="http://schemas.openxmlformats.org/officeDocument/2006/relationships/image" Target="../media/image473.jpeg"/><Relationship Id="rId472" Type="http://schemas.openxmlformats.org/officeDocument/2006/relationships/image" Target="../media/image472.jpeg"/><Relationship Id="rId471" Type="http://schemas.openxmlformats.org/officeDocument/2006/relationships/image" Target="../media/image471.jpeg"/><Relationship Id="rId470" Type="http://schemas.openxmlformats.org/officeDocument/2006/relationships/image" Target="../media/image470.jpeg"/><Relationship Id="rId47" Type="http://schemas.openxmlformats.org/officeDocument/2006/relationships/image" Target="../media/image47.jpeg"/><Relationship Id="rId469" Type="http://schemas.openxmlformats.org/officeDocument/2006/relationships/image" Target="../media/image469.jpeg"/><Relationship Id="rId468" Type="http://schemas.openxmlformats.org/officeDocument/2006/relationships/image" Target="../media/image468.jpeg"/><Relationship Id="rId467" Type="http://schemas.openxmlformats.org/officeDocument/2006/relationships/image" Target="../media/image467.jpeg"/><Relationship Id="rId466" Type="http://schemas.openxmlformats.org/officeDocument/2006/relationships/image" Target="../media/image466.jpeg"/><Relationship Id="rId465" Type="http://schemas.openxmlformats.org/officeDocument/2006/relationships/image" Target="../media/image465.jpeg"/><Relationship Id="rId464" Type="http://schemas.openxmlformats.org/officeDocument/2006/relationships/image" Target="../media/image464.jpeg"/><Relationship Id="rId463" Type="http://schemas.openxmlformats.org/officeDocument/2006/relationships/image" Target="../media/image463.jpeg"/><Relationship Id="rId462" Type="http://schemas.openxmlformats.org/officeDocument/2006/relationships/image" Target="../media/image462.jpeg"/><Relationship Id="rId461" Type="http://schemas.openxmlformats.org/officeDocument/2006/relationships/image" Target="../media/image461.jpeg"/><Relationship Id="rId460" Type="http://schemas.openxmlformats.org/officeDocument/2006/relationships/image" Target="../media/image460.jpeg"/><Relationship Id="rId46" Type="http://schemas.openxmlformats.org/officeDocument/2006/relationships/image" Target="../media/image46.jpeg"/><Relationship Id="rId459" Type="http://schemas.openxmlformats.org/officeDocument/2006/relationships/image" Target="../media/image459.jpeg"/><Relationship Id="rId458" Type="http://schemas.openxmlformats.org/officeDocument/2006/relationships/image" Target="../media/image458.jpeg"/><Relationship Id="rId457" Type="http://schemas.openxmlformats.org/officeDocument/2006/relationships/image" Target="../media/image457.png"/><Relationship Id="rId456" Type="http://schemas.openxmlformats.org/officeDocument/2006/relationships/image" Target="../media/image456.jpeg"/><Relationship Id="rId455" Type="http://schemas.openxmlformats.org/officeDocument/2006/relationships/image" Target="../media/image455.jpeg"/><Relationship Id="rId454" Type="http://schemas.openxmlformats.org/officeDocument/2006/relationships/image" Target="../media/image454.jpeg"/><Relationship Id="rId453" Type="http://schemas.openxmlformats.org/officeDocument/2006/relationships/image" Target="../media/image453.jpeg"/><Relationship Id="rId452" Type="http://schemas.openxmlformats.org/officeDocument/2006/relationships/image" Target="../media/image452.jpeg"/><Relationship Id="rId451" Type="http://schemas.openxmlformats.org/officeDocument/2006/relationships/image" Target="../media/image451.jpeg"/><Relationship Id="rId450" Type="http://schemas.openxmlformats.org/officeDocument/2006/relationships/image" Target="../media/image450.jpeg"/><Relationship Id="rId45" Type="http://schemas.openxmlformats.org/officeDocument/2006/relationships/image" Target="../media/image45.jpeg"/><Relationship Id="rId449" Type="http://schemas.openxmlformats.org/officeDocument/2006/relationships/image" Target="../media/image449.jpeg"/><Relationship Id="rId448" Type="http://schemas.openxmlformats.org/officeDocument/2006/relationships/image" Target="../media/image448.jpeg"/><Relationship Id="rId447" Type="http://schemas.openxmlformats.org/officeDocument/2006/relationships/image" Target="../media/image447.jpeg"/><Relationship Id="rId446" Type="http://schemas.openxmlformats.org/officeDocument/2006/relationships/image" Target="../media/image446.jpeg"/><Relationship Id="rId445" Type="http://schemas.openxmlformats.org/officeDocument/2006/relationships/image" Target="../media/image445.jpeg"/><Relationship Id="rId444" Type="http://schemas.openxmlformats.org/officeDocument/2006/relationships/image" Target="../media/image444.jpeg"/><Relationship Id="rId443" Type="http://schemas.openxmlformats.org/officeDocument/2006/relationships/image" Target="../media/image443.jpeg"/><Relationship Id="rId442" Type="http://schemas.openxmlformats.org/officeDocument/2006/relationships/image" Target="../media/image442.jpeg"/><Relationship Id="rId441" Type="http://schemas.openxmlformats.org/officeDocument/2006/relationships/image" Target="../media/image441.jpeg"/><Relationship Id="rId440" Type="http://schemas.openxmlformats.org/officeDocument/2006/relationships/image" Target="../media/image440.jpeg"/><Relationship Id="rId44" Type="http://schemas.openxmlformats.org/officeDocument/2006/relationships/image" Target="../media/image44.jpeg"/><Relationship Id="rId439" Type="http://schemas.openxmlformats.org/officeDocument/2006/relationships/image" Target="../media/image439.jpeg"/><Relationship Id="rId438" Type="http://schemas.openxmlformats.org/officeDocument/2006/relationships/image" Target="../media/image438.jpeg"/><Relationship Id="rId437" Type="http://schemas.openxmlformats.org/officeDocument/2006/relationships/image" Target="../media/image437.jpeg"/><Relationship Id="rId436" Type="http://schemas.openxmlformats.org/officeDocument/2006/relationships/image" Target="../media/image436.jpeg"/><Relationship Id="rId435" Type="http://schemas.openxmlformats.org/officeDocument/2006/relationships/image" Target="../media/image435.jpeg"/><Relationship Id="rId434" Type="http://schemas.openxmlformats.org/officeDocument/2006/relationships/image" Target="../media/image434.jpeg"/><Relationship Id="rId433" Type="http://schemas.openxmlformats.org/officeDocument/2006/relationships/image" Target="../media/image433.jpeg"/><Relationship Id="rId432" Type="http://schemas.openxmlformats.org/officeDocument/2006/relationships/image" Target="../media/image432.jpeg"/><Relationship Id="rId431" Type="http://schemas.openxmlformats.org/officeDocument/2006/relationships/image" Target="../media/image431.jpeg"/><Relationship Id="rId430" Type="http://schemas.openxmlformats.org/officeDocument/2006/relationships/image" Target="../media/image430.jpeg"/><Relationship Id="rId43" Type="http://schemas.openxmlformats.org/officeDocument/2006/relationships/image" Target="../media/image43.jpeg"/><Relationship Id="rId429" Type="http://schemas.openxmlformats.org/officeDocument/2006/relationships/image" Target="../media/image429.jpeg"/><Relationship Id="rId428" Type="http://schemas.openxmlformats.org/officeDocument/2006/relationships/image" Target="../media/image428.jpeg"/><Relationship Id="rId427" Type="http://schemas.openxmlformats.org/officeDocument/2006/relationships/image" Target="../media/image427.jpeg"/><Relationship Id="rId426" Type="http://schemas.openxmlformats.org/officeDocument/2006/relationships/image" Target="../media/image426.jpeg"/><Relationship Id="rId425" Type="http://schemas.openxmlformats.org/officeDocument/2006/relationships/image" Target="../media/image425.jpeg"/><Relationship Id="rId424" Type="http://schemas.openxmlformats.org/officeDocument/2006/relationships/image" Target="../media/image424.jpeg"/><Relationship Id="rId423" Type="http://schemas.openxmlformats.org/officeDocument/2006/relationships/image" Target="../media/image423.jpeg"/><Relationship Id="rId422" Type="http://schemas.openxmlformats.org/officeDocument/2006/relationships/image" Target="../media/image422.jpeg"/><Relationship Id="rId421" Type="http://schemas.openxmlformats.org/officeDocument/2006/relationships/image" Target="../media/image421.jpeg"/><Relationship Id="rId420" Type="http://schemas.openxmlformats.org/officeDocument/2006/relationships/image" Target="../media/image420.jpeg"/><Relationship Id="rId42" Type="http://schemas.openxmlformats.org/officeDocument/2006/relationships/image" Target="../media/image42.jpeg"/><Relationship Id="rId419" Type="http://schemas.openxmlformats.org/officeDocument/2006/relationships/image" Target="../media/image419.jpeg"/><Relationship Id="rId418" Type="http://schemas.openxmlformats.org/officeDocument/2006/relationships/image" Target="../media/image418.jpeg"/><Relationship Id="rId417" Type="http://schemas.openxmlformats.org/officeDocument/2006/relationships/image" Target="../media/image417.jpeg"/><Relationship Id="rId416" Type="http://schemas.openxmlformats.org/officeDocument/2006/relationships/image" Target="../media/image416.jpeg"/><Relationship Id="rId415" Type="http://schemas.openxmlformats.org/officeDocument/2006/relationships/image" Target="../media/image415.jpeg"/><Relationship Id="rId414" Type="http://schemas.openxmlformats.org/officeDocument/2006/relationships/image" Target="../media/image414.jpeg"/><Relationship Id="rId413" Type="http://schemas.openxmlformats.org/officeDocument/2006/relationships/image" Target="../media/image413.jpeg"/><Relationship Id="rId412" Type="http://schemas.openxmlformats.org/officeDocument/2006/relationships/image" Target="../media/image412.jpeg"/><Relationship Id="rId411" Type="http://schemas.openxmlformats.org/officeDocument/2006/relationships/image" Target="../media/image411.jpeg"/><Relationship Id="rId410" Type="http://schemas.openxmlformats.org/officeDocument/2006/relationships/image" Target="../media/image410.jpeg"/><Relationship Id="rId41" Type="http://schemas.openxmlformats.org/officeDocument/2006/relationships/image" Target="../media/image41.jpeg"/><Relationship Id="rId409" Type="http://schemas.openxmlformats.org/officeDocument/2006/relationships/image" Target="../media/image409.jpeg"/><Relationship Id="rId408" Type="http://schemas.openxmlformats.org/officeDocument/2006/relationships/image" Target="../media/image408.jpeg"/><Relationship Id="rId407" Type="http://schemas.openxmlformats.org/officeDocument/2006/relationships/image" Target="../media/image407.png"/><Relationship Id="rId406" Type="http://schemas.openxmlformats.org/officeDocument/2006/relationships/image" Target="../media/image406.png"/><Relationship Id="rId405" Type="http://schemas.openxmlformats.org/officeDocument/2006/relationships/image" Target="../media/image405.png"/><Relationship Id="rId404" Type="http://schemas.openxmlformats.org/officeDocument/2006/relationships/image" Target="../media/image404.jpeg"/><Relationship Id="rId403" Type="http://schemas.openxmlformats.org/officeDocument/2006/relationships/image" Target="../media/image403.jpeg"/><Relationship Id="rId402" Type="http://schemas.openxmlformats.org/officeDocument/2006/relationships/image" Target="../media/image402.jpeg"/><Relationship Id="rId401" Type="http://schemas.openxmlformats.org/officeDocument/2006/relationships/image" Target="../media/image401.jpeg"/><Relationship Id="rId400" Type="http://schemas.openxmlformats.org/officeDocument/2006/relationships/image" Target="../media/image400.jpeg"/><Relationship Id="rId40" Type="http://schemas.openxmlformats.org/officeDocument/2006/relationships/image" Target="../media/image40.jpeg"/><Relationship Id="rId4" Type="http://schemas.openxmlformats.org/officeDocument/2006/relationships/image" Target="../media/image4.jpeg"/><Relationship Id="rId399" Type="http://schemas.openxmlformats.org/officeDocument/2006/relationships/image" Target="../media/image399.jpeg"/><Relationship Id="rId398" Type="http://schemas.openxmlformats.org/officeDocument/2006/relationships/image" Target="../media/image398.jpeg"/><Relationship Id="rId397" Type="http://schemas.openxmlformats.org/officeDocument/2006/relationships/image" Target="../media/image397.jpeg"/><Relationship Id="rId396" Type="http://schemas.openxmlformats.org/officeDocument/2006/relationships/image" Target="../media/image396.jpeg"/><Relationship Id="rId395" Type="http://schemas.openxmlformats.org/officeDocument/2006/relationships/image" Target="../media/image395.jpeg"/><Relationship Id="rId394" Type="http://schemas.openxmlformats.org/officeDocument/2006/relationships/image" Target="../media/image394.jpeg"/><Relationship Id="rId393" Type="http://schemas.openxmlformats.org/officeDocument/2006/relationships/image" Target="../media/image393.jpeg"/><Relationship Id="rId392" Type="http://schemas.openxmlformats.org/officeDocument/2006/relationships/image" Target="../media/image392.jpeg"/><Relationship Id="rId391" Type="http://schemas.openxmlformats.org/officeDocument/2006/relationships/image" Target="../media/image391.jpeg"/><Relationship Id="rId390" Type="http://schemas.openxmlformats.org/officeDocument/2006/relationships/image" Target="../media/image390.jpeg"/><Relationship Id="rId39" Type="http://schemas.openxmlformats.org/officeDocument/2006/relationships/image" Target="../media/image39.jpeg"/><Relationship Id="rId389" Type="http://schemas.openxmlformats.org/officeDocument/2006/relationships/image" Target="../media/image389.jpeg"/><Relationship Id="rId388" Type="http://schemas.openxmlformats.org/officeDocument/2006/relationships/image" Target="../media/image388.jpeg"/><Relationship Id="rId387" Type="http://schemas.openxmlformats.org/officeDocument/2006/relationships/image" Target="../media/image387.jpeg"/><Relationship Id="rId386" Type="http://schemas.openxmlformats.org/officeDocument/2006/relationships/image" Target="../media/image386.jpeg"/><Relationship Id="rId385" Type="http://schemas.openxmlformats.org/officeDocument/2006/relationships/image" Target="../media/image385.jpeg"/><Relationship Id="rId384" Type="http://schemas.openxmlformats.org/officeDocument/2006/relationships/image" Target="../media/image384.jpeg"/><Relationship Id="rId383" Type="http://schemas.openxmlformats.org/officeDocument/2006/relationships/image" Target="../media/image383.jpeg"/><Relationship Id="rId382" Type="http://schemas.openxmlformats.org/officeDocument/2006/relationships/image" Target="../media/image382.jpeg"/><Relationship Id="rId381" Type="http://schemas.openxmlformats.org/officeDocument/2006/relationships/image" Target="../media/image381.jpeg"/><Relationship Id="rId380" Type="http://schemas.openxmlformats.org/officeDocument/2006/relationships/image" Target="../media/image380.jpeg"/><Relationship Id="rId38" Type="http://schemas.openxmlformats.org/officeDocument/2006/relationships/image" Target="../media/image38.jpeg"/><Relationship Id="rId379" Type="http://schemas.openxmlformats.org/officeDocument/2006/relationships/image" Target="../media/image379.jpeg"/><Relationship Id="rId378" Type="http://schemas.openxmlformats.org/officeDocument/2006/relationships/image" Target="../media/image378.jpeg"/><Relationship Id="rId377" Type="http://schemas.openxmlformats.org/officeDocument/2006/relationships/image" Target="../media/image377.jpeg"/><Relationship Id="rId376" Type="http://schemas.openxmlformats.org/officeDocument/2006/relationships/image" Target="../media/image376.jpeg"/><Relationship Id="rId375" Type="http://schemas.openxmlformats.org/officeDocument/2006/relationships/image" Target="../media/image375.jpeg"/><Relationship Id="rId374" Type="http://schemas.openxmlformats.org/officeDocument/2006/relationships/image" Target="../media/image374.jpeg"/><Relationship Id="rId373" Type="http://schemas.openxmlformats.org/officeDocument/2006/relationships/image" Target="../media/image373.jpeg"/><Relationship Id="rId372" Type="http://schemas.openxmlformats.org/officeDocument/2006/relationships/image" Target="../media/image372.jpeg"/><Relationship Id="rId371" Type="http://schemas.openxmlformats.org/officeDocument/2006/relationships/image" Target="../media/image371.jpeg"/><Relationship Id="rId370" Type="http://schemas.openxmlformats.org/officeDocument/2006/relationships/image" Target="../media/image370.jpeg"/><Relationship Id="rId37" Type="http://schemas.openxmlformats.org/officeDocument/2006/relationships/image" Target="../media/image37.jpeg"/><Relationship Id="rId369" Type="http://schemas.openxmlformats.org/officeDocument/2006/relationships/image" Target="../media/image369.jpeg"/><Relationship Id="rId368" Type="http://schemas.openxmlformats.org/officeDocument/2006/relationships/image" Target="../media/image368.jpeg"/><Relationship Id="rId367" Type="http://schemas.openxmlformats.org/officeDocument/2006/relationships/image" Target="../media/image367.jpeg"/><Relationship Id="rId366" Type="http://schemas.openxmlformats.org/officeDocument/2006/relationships/image" Target="../media/image366.jpeg"/><Relationship Id="rId365" Type="http://schemas.openxmlformats.org/officeDocument/2006/relationships/image" Target="../media/image365.jpeg"/><Relationship Id="rId364" Type="http://schemas.openxmlformats.org/officeDocument/2006/relationships/image" Target="../media/image364.jpeg"/><Relationship Id="rId363" Type="http://schemas.openxmlformats.org/officeDocument/2006/relationships/image" Target="../media/image363.jpeg"/><Relationship Id="rId362" Type="http://schemas.openxmlformats.org/officeDocument/2006/relationships/image" Target="../media/image362.jpeg"/><Relationship Id="rId361" Type="http://schemas.openxmlformats.org/officeDocument/2006/relationships/image" Target="../media/image361.jpeg"/><Relationship Id="rId360" Type="http://schemas.openxmlformats.org/officeDocument/2006/relationships/image" Target="../media/image360.jpeg"/><Relationship Id="rId36" Type="http://schemas.openxmlformats.org/officeDocument/2006/relationships/image" Target="../media/image36.jpeg"/><Relationship Id="rId359" Type="http://schemas.openxmlformats.org/officeDocument/2006/relationships/image" Target="../media/image359.jpeg"/><Relationship Id="rId358" Type="http://schemas.openxmlformats.org/officeDocument/2006/relationships/image" Target="../media/image358.jpeg"/><Relationship Id="rId357" Type="http://schemas.openxmlformats.org/officeDocument/2006/relationships/image" Target="../media/image357.jpeg"/><Relationship Id="rId356" Type="http://schemas.openxmlformats.org/officeDocument/2006/relationships/image" Target="../media/image356.jpeg"/><Relationship Id="rId355" Type="http://schemas.openxmlformats.org/officeDocument/2006/relationships/image" Target="../media/image355.jpeg"/><Relationship Id="rId354" Type="http://schemas.openxmlformats.org/officeDocument/2006/relationships/image" Target="../media/image354.jpeg"/><Relationship Id="rId353" Type="http://schemas.openxmlformats.org/officeDocument/2006/relationships/image" Target="../media/image353.jpeg"/><Relationship Id="rId352" Type="http://schemas.openxmlformats.org/officeDocument/2006/relationships/image" Target="../media/image352.jpeg"/><Relationship Id="rId351" Type="http://schemas.openxmlformats.org/officeDocument/2006/relationships/image" Target="../media/image351.jpeg"/><Relationship Id="rId350" Type="http://schemas.openxmlformats.org/officeDocument/2006/relationships/image" Target="../media/image350.jpeg"/><Relationship Id="rId35" Type="http://schemas.openxmlformats.org/officeDocument/2006/relationships/image" Target="../media/image35.jpeg"/><Relationship Id="rId349" Type="http://schemas.openxmlformats.org/officeDocument/2006/relationships/image" Target="../media/image349.jpeg"/><Relationship Id="rId348" Type="http://schemas.openxmlformats.org/officeDocument/2006/relationships/image" Target="../media/image348.jpeg"/><Relationship Id="rId347" Type="http://schemas.openxmlformats.org/officeDocument/2006/relationships/image" Target="../media/image347.jpeg"/><Relationship Id="rId346" Type="http://schemas.openxmlformats.org/officeDocument/2006/relationships/image" Target="../media/image346.jpeg"/><Relationship Id="rId345" Type="http://schemas.openxmlformats.org/officeDocument/2006/relationships/image" Target="../media/image345.jpeg"/><Relationship Id="rId344" Type="http://schemas.openxmlformats.org/officeDocument/2006/relationships/image" Target="../media/image344.jpeg"/><Relationship Id="rId343" Type="http://schemas.openxmlformats.org/officeDocument/2006/relationships/image" Target="../media/image343.jpeg"/><Relationship Id="rId342" Type="http://schemas.openxmlformats.org/officeDocument/2006/relationships/image" Target="../media/image342.jpeg"/><Relationship Id="rId341" Type="http://schemas.openxmlformats.org/officeDocument/2006/relationships/image" Target="../media/image341.jpeg"/><Relationship Id="rId340" Type="http://schemas.openxmlformats.org/officeDocument/2006/relationships/image" Target="../media/image340.jpeg"/><Relationship Id="rId34" Type="http://schemas.openxmlformats.org/officeDocument/2006/relationships/image" Target="../media/image34.jpeg"/><Relationship Id="rId339" Type="http://schemas.openxmlformats.org/officeDocument/2006/relationships/image" Target="../media/image339.jpeg"/><Relationship Id="rId338" Type="http://schemas.openxmlformats.org/officeDocument/2006/relationships/image" Target="../media/image338.jpeg"/><Relationship Id="rId337" Type="http://schemas.openxmlformats.org/officeDocument/2006/relationships/image" Target="../media/image337.jpeg"/><Relationship Id="rId336" Type="http://schemas.openxmlformats.org/officeDocument/2006/relationships/image" Target="../media/image336.jpeg"/><Relationship Id="rId335" Type="http://schemas.openxmlformats.org/officeDocument/2006/relationships/image" Target="../media/image335.jpeg"/><Relationship Id="rId334" Type="http://schemas.openxmlformats.org/officeDocument/2006/relationships/image" Target="../media/image334.jpeg"/><Relationship Id="rId333" Type="http://schemas.openxmlformats.org/officeDocument/2006/relationships/image" Target="../media/image333.jpeg"/><Relationship Id="rId332" Type="http://schemas.openxmlformats.org/officeDocument/2006/relationships/image" Target="../media/image332.jpeg"/><Relationship Id="rId331" Type="http://schemas.openxmlformats.org/officeDocument/2006/relationships/image" Target="../media/image331.jpeg"/><Relationship Id="rId330" Type="http://schemas.openxmlformats.org/officeDocument/2006/relationships/image" Target="../media/image330.jpeg"/><Relationship Id="rId33" Type="http://schemas.openxmlformats.org/officeDocument/2006/relationships/image" Target="../media/image33.jpeg"/><Relationship Id="rId329" Type="http://schemas.openxmlformats.org/officeDocument/2006/relationships/image" Target="../media/image329.jpeg"/><Relationship Id="rId328" Type="http://schemas.openxmlformats.org/officeDocument/2006/relationships/image" Target="../media/image328.jpeg"/><Relationship Id="rId327" Type="http://schemas.openxmlformats.org/officeDocument/2006/relationships/image" Target="../media/image327.jpeg"/><Relationship Id="rId326" Type="http://schemas.openxmlformats.org/officeDocument/2006/relationships/image" Target="../media/image326.jpeg"/><Relationship Id="rId325" Type="http://schemas.openxmlformats.org/officeDocument/2006/relationships/image" Target="../media/image325.jpeg"/><Relationship Id="rId324" Type="http://schemas.openxmlformats.org/officeDocument/2006/relationships/image" Target="../media/image324.jpeg"/><Relationship Id="rId323" Type="http://schemas.openxmlformats.org/officeDocument/2006/relationships/image" Target="../media/image323.jpeg"/><Relationship Id="rId322" Type="http://schemas.openxmlformats.org/officeDocument/2006/relationships/image" Target="../media/image322.jpeg"/><Relationship Id="rId321" Type="http://schemas.openxmlformats.org/officeDocument/2006/relationships/image" Target="../media/image321.jpeg"/><Relationship Id="rId320" Type="http://schemas.openxmlformats.org/officeDocument/2006/relationships/image" Target="../media/image320.jpeg"/><Relationship Id="rId32" Type="http://schemas.openxmlformats.org/officeDocument/2006/relationships/image" Target="../media/image32.jpeg"/><Relationship Id="rId319" Type="http://schemas.openxmlformats.org/officeDocument/2006/relationships/image" Target="../media/image319.jpeg"/><Relationship Id="rId318" Type="http://schemas.openxmlformats.org/officeDocument/2006/relationships/image" Target="../media/image318.jpeg"/><Relationship Id="rId317" Type="http://schemas.openxmlformats.org/officeDocument/2006/relationships/image" Target="../media/image317.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pn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png"/><Relationship Id="rId280" Type="http://schemas.openxmlformats.org/officeDocument/2006/relationships/image" Target="../media/image280.pn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pn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png"/><Relationship Id="rId247" Type="http://schemas.openxmlformats.org/officeDocument/2006/relationships/image" Target="../media/image247.png"/><Relationship Id="rId246" Type="http://schemas.openxmlformats.org/officeDocument/2006/relationships/image" Target="../media/image246.png"/><Relationship Id="rId245" Type="http://schemas.openxmlformats.org/officeDocument/2006/relationships/image" Target="../media/image245.png"/><Relationship Id="rId244" Type="http://schemas.openxmlformats.org/officeDocument/2006/relationships/image" Target="../media/image244.pn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jpeg"/><Relationship Id="rId238" Type="http://schemas.openxmlformats.org/officeDocument/2006/relationships/image" Target="../media/image238.jpeg"/><Relationship Id="rId237" Type="http://schemas.openxmlformats.org/officeDocument/2006/relationships/image" Target="../media/image237.pn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pn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png"/><Relationship Id="rId215" Type="http://schemas.openxmlformats.org/officeDocument/2006/relationships/image" Target="../media/image215.jpeg"/><Relationship Id="rId214" Type="http://schemas.openxmlformats.org/officeDocument/2006/relationships/image" Target="../media/image214.png"/><Relationship Id="rId213" Type="http://schemas.openxmlformats.org/officeDocument/2006/relationships/image" Target="../media/image213.png"/><Relationship Id="rId212" Type="http://schemas.openxmlformats.org/officeDocument/2006/relationships/image" Target="../media/image212.png"/><Relationship Id="rId211" Type="http://schemas.openxmlformats.org/officeDocument/2006/relationships/image" Target="../media/image211.pn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pn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pn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pn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pn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png"/><Relationship Id="rId175" Type="http://schemas.openxmlformats.org/officeDocument/2006/relationships/image" Target="../media/image175.jpeg"/><Relationship Id="rId174" Type="http://schemas.openxmlformats.org/officeDocument/2006/relationships/image" Target="../media/image174.png"/><Relationship Id="rId173" Type="http://schemas.openxmlformats.org/officeDocument/2006/relationships/image" Target="../media/image173.pn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jpe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99" Type="http://schemas.openxmlformats.org/officeDocument/2006/relationships/image" Target="../media/image1050.jpeg"/><Relationship Id="rId98" Type="http://schemas.openxmlformats.org/officeDocument/2006/relationships/image" Target="../media/image1049.jpeg"/><Relationship Id="rId97" Type="http://schemas.openxmlformats.org/officeDocument/2006/relationships/image" Target="../media/image99.jpeg"/><Relationship Id="rId96" Type="http://schemas.openxmlformats.org/officeDocument/2006/relationships/image" Target="../media/image98.jpeg"/><Relationship Id="rId95" Type="http://schemas.openxmlformats.org/officeDocument/2006/relationships/image" Target="../media/image1048.jpeg"/><Relationship Id="rId94" Type="http://schemas.openxmlformats.org/officeDocument/2006/relationships/image" Target="../media/image96.jpeg"/><Relationship Id="rId93" Type="http://schemas.openxmlformats.org/officeDocument/2006/relationships/image" Target="../media/image1047.jpeg"/><Relationship Id="rId92" Type="http://schemas.openxmlformats.org/officeDocument/2006/relationships/image" Target="../media/image1046.jpeg"/><Relationship Id="rId91" Type="http://schemas.openxmlformats.org/officeDocument/2006/relationships/image" Target="../media/image1045.jpeg"/><Relationship Id="rId90" Type="http://schemas.openxmlformats.org/officeDocument/2006/relationships/image" Target="../media/image1044.jpeg"/><Relationship Id="rId9" Type="http://schemas.openxmlformats.org/officeDocument/2006/relationships/image" Target="../media/image975.jpeg"/><Relationship Id="rId89" Type="http://schemas.openxmlformats.org/officeDocument/2006/relationships/image" Target="../media/image1043.jpeg"/><Relationship Id="rId88" Type="http://schemas.openxmlformats.org/officeDocument/2006/relationships/image" Target="../media/image90.jpeg"/><Relationship Id="rId871" Type="http://schemas.openxmlformats.org/officeDocument/2006/relationships/image" Target="../media/image921.jpeg"/><Relationship Id="rId870" Type="http://schemas.openxmlformats.org/officeDocument/2006/relationships/image" Target="../media/image1611.jpeg"/><Relationship Id="rId87" Type="http://schemas.openxmlformats.org/officeDocument/2006/relationships/image" Target="../media/image89.jpeg"/><Relationship Id="rId869" Type="http://schemas.openxmlformats.org/officeDocument/2006/relationships/image" Target="../media/image1610.jpeg"/><Relationship Id="rId868" Type="http://schemas.openxmlformats.org/officeDocument/2006/relationships/image" Target="../media/image1609.jpeg"/><Relationship Id="rId867" Type="http://schemas.openxmlformats.org/officeDocument/2006/relationships/image" Target="../media/image1608.jpeg"/><Relationship Id="rId866" Type="http://schemas.openxmlformats.org/officeDocument/2006/relationships/image" Target="../media/image1607.jpeg"/><Relationship Id="rId865" Type="http://schemas.openxmlformats.org/officeDocument/2006/relationships/image" Target="../media/image1606.jpeg"/><Relationship Id="rId864" Type="http://schemas.openxmlformats.org/officeDocument/2006/relationships/image" Target="../media/image1605.jpeg"/><Relationship Id="rId863" Type="http://schemas.openxmlformats.org/officeDocument/2006/relationships/image" Target="../media/image1604.jpeg"/><Relationship Id="rId862" Type="http://schemas.openxmlformats.org/officeDocument/2006/relationships/image" Target="../media/image1603.jpeg"/><Relationship Id="rId861" Type="http://schemas.openxmlformats.org/officeDocument/2006/relationships/image" Target="../media/image1602.jpeg"/><Relationship Id="rId860" Type="http://schemas.openxmlformats.org/officeDocument/2006/relationships/image" Target="../media/image1601.jpeg"/><Relationship Id="rId86" Type="http://schemas.openxmlformats.org/officeDocument/2006/relationships/image" Target="../media/image1042.jpeg"/><Relationship Id="rId859" Type="http://schemas.openxmlformats.org/officeDocument/2006/relationships/image" Target="../media/image1600.jpeg"/><Relationship Id="rId858" Type="http://schemas.openxmlformats.org/officeDocument/2006/relationships/image" Target="../media/image1599.jpeg"/><Relationship Id="rId857" Type="http://schemas.openxmlformats.org/officeDocument/2006/relationships/image" Target="../media/image1598.jpeg"/><Relationship Id="rId856" Type="http://schemas.openxmlformats.org/officeDocument/2006/relationships/image" Target="../media/image1597.jpeg"/><Relationship Id="rId855" Type="http://schemas.openxmlformats.org/officeDocument/2006/relationships/image" Target="../media/image1596.jpeg"/><Relationship Id="rId854" Type="http://schemas.openxmlformats.org/officeDocument/2006/relationships/image" Target="../media/image1595.jpeg"/><Relationship Id="rId853" Type="http://schemas.openxmlformats.org/officeDocument/2006/relationships/image" Target="../media/image1594.jpeg"/><Relationship Id="rId852" Type="http://schemas.openxmlformats.org/officeDocument/2006/relationships/image" Target="../media/image1593.jpeg"/><Relationship Id="rId851" Type="http://schemas.openxmlformats.org/officeDocument/2006/relationships/image" Target="../media/image1592.jpeg"/><Relationship Id="rId850" Type="http://schemas.openxmlformats.org/officeDocument/2006/relationships/image" Target="../media/image1591.jpeg"/><Relationship Id="rId85" Type="http://schemas.openxmlformats.org/officeDocument/2006/relationships/image" Target="../media/image1041.jpeg"/><Relationship Id="rId849" Type="http://schemas.openxmlformats.org/officeDocument/2006/relationships/image" Target="../media/image1590.jpeg"/><Relationship Id="rId848" Type="http://schemas.openxmlformats.org/officeDocument/2006/relationships/image" Target="../media/image1589.jpeg"/><Relationship Id="rId847" Type="http://schemas.openxmlformats.org/officeDocument/2006/relationships/image" Target="../media/image1588.jpeg"/><Relationship Id="rId846" Type="http://schemas.openxmlformats.org/officeDocument/2006/relationships/image" Target="../media/image1587.jpeg"/><Relationship Id="rId845" Type="http://schemas.openxmlformats.org/officeDocument/2006/relationships/image" Target="../media/image1586.jpeg"/><Relationship Id="rId844" Type="http://schemas.openxmlformats.org/officeDocument/2006/relationships/image" Target="../media/image1585.jpeg"/><Relationship Id="rId843" Type="http://schemas.openxmlformats.org/officeDocument/2006/relationships/image" Target="../media/image1584.jpeg"/><Relationship Id="rId842" Type="http://schemas.openxmlformats.org/officeDocument/2006/relationships/image" Target="../media/image1583.jpeg"/><Relationship Id="rId841" Type="http://schemas.openxmlformats.org/officeDocument/2006/relationships/image" Target="../media/image1582.jpeg"/><Relationship Id="rId840" Type="http://schemas.openxmlformats.org/officeDocument/2006/relationships/image" Target="../media/image1581.jpeg"/><Relationship Id="rId84" Type="http://schemas.openxmlformats.org/officeDocument/2006/relationships/image" Target="../media/image1040.jpeg"/><Relationship Id="rId839" Type="http://schemas.openxmlformats.org/officeDocument/2006/relationships/image" Target="../media/image1580.jpeg"/><Relationship Id="rId838" Type="http://schemas.openxmlformats.org/officeDocument/2006/relationships/image" Target="../media/image1579.jpeg"/><Relationship Id="rId837" Type="http://schemas.openxmlformats.org/officeDocument/2006/relationships/image" Target="../media/image1578.jpeg"/><Relationship Id="rId836" Type="http://schemas.openxmlformats.org/officeDocument/2006/relationships/image" Target="../media/image1577.jpeg"/><Relationship Id="rId835" Type="http://schemas.openxmlformats.org/officeDocument/2006/relationships/image" Target="../media/image1576.jpeg"/><Relationship Id="rId834" Type="http://schemas.openxmlformats.org/officeDocument/2006/relationships/image" Target="../media/image1575.jpeg"/><Relationship Id="rId833" Type="http://schemas.openxmlformats.org/officeDocument/2006/relationships/image" Target="../media/image1574.jpeg"/><Relationship Id="rId832" Type="http://schemas.openxmlformats.org/officeDocument/2006/relationships/image" Target="../media/image1573.jpeg"/><Relationship Id="rId831" Type="http://schemas.openxmlformats.org/officeDocument/2006/relationships/image" Target="../media/image1572.jpeg"/><Relationship Id="rId830" Type="http://schemas.openxmlformats.org/officeDocument/2006/relationships/image" Target="../media/image1571.jpeg"/><Relationship Id="rId83" Type="http://schemas.openxmlformats.org/officeDocument/2006/relationships/image" Target="../media/image1039.jpeg"/><Relationship Id="rId829" Type="http://schemas.openxmlformats.org/officeDocument/2006/relationships/image" Target="../media/image1570.jpeg"/><Relationship Id="rId828" Type="http://schemas.openxmlformats.org/officeDocument/2006/relationships/image" Target="../media/image1569.jpeg"/><Relationship Id="rId827" Type="http://schemas.openxmlformats.org/officeDocument/2006/relationships/image" Target="../media/image1568.jpeg"/><Relationship Id="rId826" Type="http://schemas.openxmlformats.org/officeDocument/2006/relationships/image" Target="../media/image1567.jpeg"/><Relationship Id="rId825" Type="http://schemas.openxmlformats.org/officeDocument/2006/relationships/image" Target="../media/image1566.jpeg"/><Relationship Id="rId824" Type="http://schemas.openxmlformats.org/officeDocument/2006/relationships/image" Target="../media/image1565.jpeg"/><Relationship Id="rId823" Type="http://schemas.openxmlformats.org/officeDocument/2006/relationships/image" Target="../media/image1564.jpeg"/><Relationship Id="rId822" Type="http://schemas.openxmlformats.org/officeDocument/2006/relationships/image" Target="../media/image1563.jpeg"/><Relationship Id="rId821" Type="http://schemas.openxmlformats.org/officeDocument/2006/relationships/image" Target="../media/image1562.jpeg"/><Relationship Id="rId820" Type="http://schemas.openxmlformats.org/officeDocument/2006/relationships/image" Target="../media/image1561.jpeg"/><Relationship Id="rId82" Type="http://schemas.openxmlformats.org/officeDocument/2006/relationships/image" Target="../media/image84.jpeg"/><Relationship Id="rId819" Type="http://schemas.openxmlformats.org/officeDocument/2006/relationships/image" Target="../media/image1560.jpeg"/><Relationship Id="rId818" Type="http://schemas.openxmlformats.org/officeDocument/2006/relationships/image" Target="../media/image1559.jpeg"/><Relationship Id="rId817" Type="http://schemas.openxmlformats.org/officeDocument/2006/relationships/image" Target="../media/image1558.jpeg"/><Relationship Id="rId816" Type="http://schemas.openxmlformats.org/officeDocument/2006/relationships/image" Target="../media/image1557.jpeg"/><Relationship Id="rId815" Type="http://schemas.openxmlformats.org/officeDocument/2006/relationships/image" Target="../media/image1556.jpeg"/><Relationship Id="rId814" Type="http://schemas.openxmlformats.org/officeDocument/2006/relationships/image" Target="../media/image1555.jpeg"/><Relationship Id="rId813" Type="http://schemas.openxmlformats.org/officeDocument/2006/relationships/image" Target="../media/image1554.jpeg"/><Relationship Id="rId812" Type="http://schemas.openxmlformats.org/officeDocument/2006/relationships/image" Target="../media/image870.jpeg"/><Relationship Id="rId811" Type="http://schemas.openxmlformats.org/officeDocument/2006/relationships/image" Target="../media/image1553.jpeg"/><Relationship Id="rId810" Type="http://schemas.openxmlformats.org/officeDocument/2006/relationships/image" Target="../media/image1552.jpeg"/><Relationship Id="rId81" Type="http://schemas.openxmlformats.org/officeDocument/2006/relationships/image" Target="../media/image1038.jpeg"/><Relationship Id="rId809" Type="http://schemas.openxmlformats.org/officeDocument/2006/relationships/image" Target="../media/image1551.jpeg"/><Relationship Id="rId808" Type="http://schemas.openxmlformats.org/officeDocument/2006/relationships/image" Target="../media/image1550.jpeg"/><Relationship Id="rId807" Type="http://schemas.openxmlformats.org/officeDocument/2006/relationships/image" Target="../media/image1549.jpeg"/><Relationship Id="rId806" Type="http://schemas.openxmlformats.org/officeDocument/2006/relationships/image" Target="../media/image1548.jpeg"/><Relationship Id="rId805" Type="http://schemas.openxmlformats.org/officeDocument/2006/relationships/image" Target="../media/image860.jpeg"/><Relationship Id="rId804" Type="http://schemas.openxmlformats.org/officeDocument/2006/relationships/image" Target="../media/image1547.jpeg"/><Relationship Id="rId803" Type="http://schemas.openxmlformats.org/officeDocument/2006/relationships/image" Target="../media/image856.jpeg"/><Relationship Id="rId802" Type="http://schemas.openxmlformats.org/officeDocument/2006/relationships/image" Target="../media/image1546.jpeg"/><Relationship Id="rId801" Type="http://schemas.openxmlformats.org/officeDocument/2006/relationships/image" Target="../media/image1545.jpeg"/><Relationship Id="rId800" Type="http://schemas.openxmlformats.org/officeDocument/2006/relationships/image" Target="../media/image1544.jpeg"/><Relationship Id="rId80" Type="http://schemas.openxmlformats.org/officeDocument/2006/relationships/image" Target="../media/image1037.jpeg"/><Relationship Id="rId8" Type="http://schemas.openxmlformats.org/officeDocument/2006/relationships/image" Target="../media/image974.jpeg"/><Relationship Id="rId799" Type="http://schemas.openxmlformats.org/officeDocument/2006/relationships/image" Target="../media/image1543.jpeg"/><Relationship Id="rId798" Type="http://schemas.openxmlformats.org/officeDocument/2006/relationships/image" Target="../media/image1542.jpeg"/><Relationship Id="rId797" Type="http://schemas.openxmlformats.org/officeDocument/2006/relationships/image" Target="../media/image848.jpeg"/><Relationship Id="rId796" Type="http://schemas.openxmlformats.org/officeDocument/2006/relationships/image" Target="../media/image847.jpeg"/><Relationship Id="rId795" Type="http://schemas.openxmlformats.org/officeDocument/2006/relationships/image" Target="../media/image846.jpeg"/><Relationship Id="rId794" Type="http://schemas.openxmlformats.org/officeDocument/2006/relationships/image" Target="../media/image1541.jpeg"/><Relationship Id="rId793" Type="http://schemas.openxmlformats.org/officeDocument/2006/relationships/image" Target="../media/image1540.jpeg"/><Relationship Id="rId792" Type="http://schemas.openxmlformats.org/officeDocument/2006/relationships/image" Target="../media/image844.jpeg"/><Relationship Id="rId791" Type="http://schemas.openxmlformats.org/officeDocument/2006/relationships/image" Target="../media/image1539.jpeg"/><Relationship Id="rId790" Type="http://schemas.openxmlformats.org/officeDocument/2006/relationships/image" Target="../media/image1538.jpeg"/><Relationship Id="rId79" Type="http://schemas.openxmlformats.org/officeDocument/2006/relationships/image" Target="../media/image81.jpeg"/><Relationship Id="rId789" Type="http://schemas.openxmlformats.org/officeDocument/2006/relationships/image" Target="../media/image1537.jpeg"/><Relationship Id="rId788" Type="http://schemas.openxmlformats.org/officeDocument/2006/relationships/image" Target="../media/image1536.jpeg"/><Relationship Id="rId787" Type="http://schemas.openxmlformats.org/officeDocument/2006/relationships/image" Target="../media/image1535.jpeg"/><Relationship Id="rId786" Type="http://schemas.openxmlformats.org/officeDocument/2006/relationships/image" Target="../media/image1534.jpeg"/><Relationship Id="rId785" Type="http://schemas.openxmlformats.org/officeDocument/2006/relationships/image" Target="../media/image1533.jpeg"/><Relationship Id="rId784" Type="http://schemas.openxmlformats.org/officeDocument/2006/relationships/image" Target="../media/image1532.jpeg"/><Relationship Id="rId783" Type="http://schemas.openxmlformats.org/officeDocument/2006/relationships/image" Target="../media/image1531.jpeg"/><Relationship Id="rId782" Type="http://schemas.openxmlformats.org/officeDocument/2006/relationships/image" Target="../media/image1530.jpeg"/><Relationship Id="rId781" Type="http://schemas.openxmlformats.org/officeDocument/2006/relationships/image" Target="../media/image1529.jpeg"/><Relationship Id="rId780" Type="http://schemas.openxmlformats.org/officeDocument/2006/relationships/image" Target="../media/image1528.jpeg"/><Relationship Id="rId78" Type="http://schemas.openxmlformats.org/officeDocument/2006/relationships/image" Target="../media/image1036.jpeg"/><Relationship Id="rId779" Type="http://schemas.openxmlformats.org/officeDocument/2006/relationships/image" Target="../media/image1527.jpeg"/><Relationship Id="rId778" Type="http://schemas.openxmlformats.org/officeDocument/2006/relationships/image" Target="../media/image1526.jpeg"/><Relationship Id="rId777" Type="http://schemas.openxmlformats.org/officeDocument/2006/relationships/image" Target="../media/image1525.jpeg"/><Relationship Id="rId776" Type="http://schemas.openxmlformats.org/officeDocument/2006/relationships/image" Target="../media/image821.jpeg"/><Relationship Id="rId775" Type="http://schemas.openxmlformats.org/officeDocument/2006/relationships/image" Target="../media/image1524.jpeg"/><Relationship Id="rId774" Type="http://schemas.openxmlformats.org/officeDocument/2006/relationships/image" Target="../media/image1523.jpeg"/><Relationship Id="rId773" Type="http://schemas.openxmlformats.org/officeDocument/2006/relationships/image" Target="../media/image1522.jpeg"/><Relationship Id="rId772" Type="http://schemas.openxmlformats.org/officeDocument/2006/relationships/image" Target="../media/image1521.jpeg"/><Relationship Id="rId771" Type="http://schemas.openxmlformats.org/officeDocument/2006/relationships/image" Target="../media/image1520.jpeg"/><Relationship Id="rId770" Type="http://schemas.openxmlformats.org/officeDocument/2006/relationships/image" Target="../media/image1519.jpeg"/><Relationship Id="rId77" Type="http://schemas.openxmlformats.org/officeDocument/2006/relationships/image" Target="../media/image1035.jpeg"/><Relationship Id="rId769" Type="http://schemas.openxmlformats.org/officeDocument/2006/relationships/image" Target="../media/image1518.jpeg"/><Relationship Id="rId768" Type="http://schemas.openxmlformats.org/officeDocument/2006/relationships/image" Target="../media/image1517.jpeg"/><Relationship Id="rId767" Type="http://schemas.openxmlformats.org/officeDocument/2006/relationships/image" Target="../media/image1516.jpeg"/><Relationship Id="rId766" Type="http://schemas.openxmlformats.org/officeDocument/2006/relationships/image" Target="../media/image1515.jpeg"/><Relationship Id="rId765" Type="http://schemas.openxmlformats.org/officeDocument/2006/relationships/image" Target="../media/image1514.jpeg"/><Relationship Id="rId764" Type="http://schemas.openxmlformats.org/officeDocument/2006/relationships/image" Target="../media/image1513.jpeg"/><Relationship Id="rId763" Type="http://schemas.openxmlformats.org/officeDocument/2006/relationships/image" Target="../media/image802.jpeg"/><Relationship Id="rId762" Type="http://schemas.openxmlformats.org/officeDocument/2006/relationships/image" Target="../media/image1512.jpeg"/><Relationship Id="rId761" Type="http://schemas.openxmlformats.org/officeDocument/2006/relationships/image" Target="../media/image1511.jpeg"/><Relationship Id="rId760" Type="http://schemas.openxmlformats.org/officeDocument/2006/relationships/image" Target="../media/image1510.jpeg"/><Relationship Id="rId76" Type="http://schemas.openxmlformats.org/officeDocument/2006/relationships/image" Target="../media/image1034.jpeg"/><Relationship Id="rId759" Type="http://schemas.openxmlformats.org/officeDocument/2006/relationships/image" Target="../media/image1509.jpeg"/><Relationship Id="rId758" Type="http://schemas.openxmlformats.org/officeDocument/2006/relationships/image" Target="../media/image1508.jpeg"/><Relationship Id="rId757" Type="http://schemas.openxmlformats.org/officeDocument/2006/relationships/image" Target="../media/image1507.jpeg"/><Relationship Id="rId756" Type="http://schemas.openxmlformats.org/officeDocument/2006/relationships/image" Target="../media/image1506.jpeg"/><Relationship Id="rId755" Type="http://schemas.openxmlformats.org/officeDocument/2006/relationships/image" Target="../media/image1505.jpeg"/><Relationship Id="rId754" Type="http://schemas.openxmlformats.org/officeDocument/2006/relationships/image" Target="../media/image1504.jpeg"/><Relationship Id="rId753" Type="http://schemas.openxmlformats.org/officeDocument/2006/relationships/image" Target="../media/image1503.jpeg"/><Relationship Id="rId752" Type="http://schemas.openxmlformats.org/officeDocument/2006/relationships/image" Target="../media/image1502.jpeg"/><Relationship Id="rId751" Type="http://schemas.openxmlformats.org/officeDocument/2006/relationships/image" Target="../media/image1501.jpeg"/><Relationship Id="rId750" Type="http://schemas.openxmlformats.org/officeDocument/2006/relationships/image" Target="../media/image1500.jpeg"/><Relationship Id="rId75" Type="http://schemas.openxmlformats.org/officeDocument/2006/relationships/image" Target="../media/image1033.jpeg"/><Relationship Id="rId749" Type="http://schemas.openxmlformats.org/officeDocument/2006/relationships/image" Target="../media/image1499.jpeg"/><Relationship Id="rId748" Type="http://schemas.openxmlformats.org/officeDocument/2006/relationships/image" Target="../media/image1498.jpeg"/><Relationship Id="rId747" Type="http://schemas.openxmlformats.org/officeDocument/2006/relationships/image" Target="../media/image1497.jpeg"/><Relationship Id="rId746" Type="http://schemas.openxmlformats.org/officeDocument/2006/relationships/image" Target="../media/image1496.jpeg"/><Relationship Id="rId745" Type="http://schemas.openxmlformats.org/officeDocument/2006/relationships/image" Target="../media/image1495.jpeg"/><Relationship Id="rId744" Type="http://schemas.openxmlformats.org/officeDocument/2006/relationships/image" Target="../media/image1494.jpeg"/><Relationship Id="rId743" Type="http://schemas.openxmlformats.org/officeDocument/2006/relationships/image" Target="../media/image1493.jpeg"/><Relationship Id="rId742" Type="http://schemas.openxmlformats.org/officeDocument/2006/relationships/image" Target="../media/image1492.jpeg"/><Relationship Id="rId741" Type="http://schemas.openxmlformats.org/officeDocument/2006/relationships/image" Target="../media/image1491.jpeg"/><Relationship Id="rId740" Type="http://schemas.openxmlformats.org/officeDocument/2006/relationships/image" Target="../media/image1490.jpeg"/><Relationship Id="rId74" Type="http://schemas.openxmlformats.org/officeDocument/2006/relationships/image" Target="../media/image76.jpeg"/><Relationship Id="rId739" Type="http://schemas.openxmlformats.org/officeDocument/2006/relationships/image" Target="../media/image1489.jpeg"/><Relationship Id="rId738" Type="http://schemas.openxmlformats.org/officeDocument/2006/relationships/image" Target="../media/image1488.jpeg"/><Relationship Id="rId737" Type="http://schemas.openxmlformats.org/officeDocument/2006/relationships/image" Target="../media/image1487.jpeg"/><Relationship Id="rId736" Type="http://schemas.openxmlformats.org/officeDocument/2006/relationships/image" Target="../media/image1486.jpeg"/><Relationship Id="rId735" Type="http://schemas.openxmlformats.org/officeDocument/2006/relationships/image" Target="../media/image1485.jpeg"/><Relationship Id="rId734" Type="http://schemas.openxmlformats.org/officeDocument/2006/relationships/image" Target="../media/image1484.jpeg"/><Relationship Id="rId733" Type="http://schemas.openxmlformats.org/officeDocument/2006/relationships/image" Target="../media/image1483.jpeg"/><Relationship Id="rId732" Type="http://schemas.openxmlformats.org/officeDocument/2006/relationships/image" Target="../media/image1482.jpeg"/><Relationship Id="rId731" Type="http://schemas.openxmlformats.org/officeDocument/2006/relationships/image" Target="../media/image1481.jpeg"/><Relationship Id="rId730" Type="http://schemas.openxmlformats.org/officeDocument/2006/relationships/image" Target="../media/image1480.jpeg"/><Relationship Id="rId73" Type="http://schemas.openxmlformats.org/officeDocument/2006/relationships/image" Target="../media/image1032.jpeg"/><Relationship Id="rId729" Type="http://schemas.openxmlformats.org/officeDocument/2006/relationships/image" Target="../media/image1479.jpeg"/><Relationship Id="rId728" Type="http://schemas.openxmlformats.org/officeDocument/2006/relationships/image" Target="../media/image1478.jpeg"/><Relationship Id="rId727" Type="http://schemas.openxmlformats.org/officeDocument/2006/relationships/image" Target="../media/image1477.jpeg"/><Relationship Id="rId726" Type="http://schemas.openxmlformats.org/officeDocument/2006/relationships/image" Target="../media/image1476.jpeg"/><Relationship Id="rId725" Type="http://schemas.openxmlformats.org/officeDocument/2006/relationships/image" Target="../media/image1475.jpeg"/><Relationship Id="rId724" Type="http://schemas.openxmlformats.org/officeDocument/2006/relationships/image" Target="../media/image1474.jpeg"/><Relationship Id="rId723" Type="http://schemas.openxmlformats.org/officeDocument/2006/relationships/image" Target="../media/image1473.jpeg"/><Relationship Id="rId722" Type="http://schemas.openxmlformats.org/officeDocument/2006/relationships/image" Target="../media/image1472.jpeg"/><Relationship Id="rId721" Type="http://schemas.openxmlformats.org/officeDocument/2006/relationships/image" Target="../media/image1471.jpeg"/><Relationship Id="rId720" Type="http://schemas.openxmlformats.org/officeDocument/2006/relationships/image" Target="../media/image759.jpeg"/><Relationship Id="rId72" Type="http://schemas.openxmlformats.org/officeDocument/2006/relationships/image" Target="../media/image1031.jpeg"/><Relationship Id="rId719" Type="http://schemas.openxmlformats.org/officeDocument/2006/relationships/image" Target="../media/image1470.jpeg"/><Relationship Id="rId718" Type="http://schemas.openxmlformats.org/officeDocument/2006/relationships/image" Target="../media/image1469.jpeg"/><Relationship Id="rId717" Type="http://schemas.openxmlformats.org/officeDocument/2006/relationships/image" Target="../media/image1468.jpeg"/><Relationship Id="rId716" Type="http://schemas.openxmlformats.org/officeDocument/2006/relationships/image" Target="../media/image1467.jpeg"/><Relationship Id="rId715" Type="http://schemas.openxmlformats.org/officeDocument/2006/relationships/image" Target="../media/image1466.jpeg"/><Relationship Id="rId714" Type="http://schemas.openxmlformats.org/officeDocument/2006/relationships/image" Target="../media/image1465.jpeg"/><Relationship Id="rId713" Type="http://schemas.openxmlformats.org/officeDocument/2006/relationships/image" Target="../media/image1464.jpeg"/><Relationship Id="rId712" Type="http://schemas.openxmlformats.org/officeDocument/2006/relationships/image" Target="../media/image1463.jpeg"/><Relationship Id="rId711" Type="http://schemas.openxmlformats.org/officeDocument/2006/relationships/image" Target="../media/image1462.jpeg"/><Relationship Id="rId710" Type="http://schemas.openxmlformats.org/officeDocument/2006/relationships/image" Target="../media/image1461.jpeg"/><Relationship Id="rId71" Type="http://schemas.openxmlformats.org/officeDocument/2006/relationships/image" Target="../media/image1030.jpeg"/><Relationship Id="rId709" Type="http://schemas.openxmlformats.org/officeDocument/2006/relationships/image" Target="../media/image629.jpeg"/><Relationship Id="rId708" Type="http://schemas.openxmlformats.org/officeDocument/2006/relationships/image" Target="../media/image1460.jpeg"/><Relationship Id="rId707" Type="http://schemas.openxmlformats.org/officeDocument/2006/relationships/image" Target="../media/image1459.jpeg"/><Relationship Id="rId706" Type="http://schemas.openxmlformats.org/officeDocument/2006/relationships/image" Target="../media/image1458.jpeg"/><Relationship Id="rId705" Type="http://schemas.openxmlformats.org/officeDocument/2006/relationships/image" Target="../media/image1457.jpeg"/><Relationship Id="rId704" Type="http://schemas.openxmlformats.org/officeDocument/2006/relationships/image" Target="../media/image1456.jpeg"/><Relationship Id="rId703" Type="http://schemas.openxmlformats.org/officeDocument/2006/relationships/image" Target="../media/image1455.jpeg"/><Relationship Id="rId702" Type="http://schemas.openxmlformats.org/officeDocument/2006/relationships/image" Target="../media/image1454.jpeg"/><Relationship Id="rId701" Type="http://schemas.openxmlformats.org/officeDocument/2006/relationships/image" Target="../media/image733.jpeg"/><Relationship Id="rId700" Type="http://schemas.openxmlformats.org/officeDocument/2006/relationships/image" Target="../media/image1453.jpeg"/><Relationship Id="rId70" Type="http://schemas.openxmlformats.org/officeDocument/2006/relationships/image" Target="../media/image1029.jpeg"/><Relationship Id="rId7" Type="http://schemas.openxmlformats.org/officeDocument/2006/relationships/image" Target="../media/image8.jpeg"/><Relationship Id="rId699" Type="http://schemas.openxmlformats.org/officeDocument/2006/relationships/image" Target="../media/image1452.jpeg"/><Relationship Id="rId698" Type="http://schemas.openxmlformats.org/officeDocument/2006/relationships/image" Target="../media/image1451.jpeg"/><Relationship Id="rId697" Type="http://schemas.openxmlformats.org/officeDocument/2006/relationships/image" Target="../media/image1450.jpeg"/><Relationship Id="rId696" Type="http://schemas.openxmlformats.org/officeDocument/2006/relationships/image" Target="../media/image1449.jpeg"/><Relationship Id="rId695" Type="http://schemas.openxmlformats.org/officeDocument/2006/relationships/image" Target="../media/image1448.jpeg"/><Relationship Id="rId694" Type="http://schemas.openxmlformats.org/officeDocument/2006/relationships/image" Target="../media/image724.jpeg"/><Relationship Id="rId693" Type="http://schemas.openxmlformats.org/officeDocument/2006/relationships/image" Target="../media/image1447.jpeg"/><Relationship Id="rId692" Type="http://schemas.openxmlformats.org/officeDocument/2006/relationships/image" Target="../media/image1446.jpeg"/><Relationship Id="rId691" Type="http://schemas.openxmlformats.org/officeDocument/2006/relationships/image" Target="../media/image1445.jpeg"/><Relationship Id="rId690" Type="http://schemas.openxmlformats.org/officeDocument/2006/relationships/image" Target="../media/image1444.jpeg"/><Relationship Id="rId69" Type="http://schemas.openxmlformats.org/officeDocument/2006/relationships/image" Target="../media/image1028.jpeg"/><Relationship Id="rId689" Type="http://schemas.openxmlformats.org/officeDocument/2006/relationships/image" Target="../media/image1443.jpeg"/><Relationship Id="rId688" Type="http://schemas.openxmlformats.org/officeDocument/2006/relationships/image" Target="../media/image1442.jpeg"/><Relationship Id="rId687" Type="http://schemas.openxmlformats.org/officeDocument/2006/relationships/image" Target="../media/image1441.jpeg"/><Relationship Id="rId686" Type="http://schemas.openxmlformats.org/officeDocument/2006/relationships/image" Target="../media/image1440.jpeg"/><Relationship Id="rId685" Type="http://schemas.openxmlformats.org/officeDocument/2006/relationships/image" Target="../media/image1439.jpeg"/><Relationship Id="rId684" Type="http://schemas.openxmlformats.org/officeDocument/2006/relationships/image" Target="../media/image1438.jpeg"/><Relationship Id="rId683" Type="http://schemas.openxmlformats.org/officeDocument/2006/relationships/image" Target="../media/image1437.jpeg"/><Relationship Id="rId682" Type="http://schemas.openxmlformats.org/officeDocument/2006/relationships/image" Target="../media/image1436.jpeg"/><Relationship Id="rId681" Type="http://schemas.openxmlformats.org/officeDocument/2006/relationships/image" Target="../media/image1435.jpeg"/><Relationship Id="rId680" Type="http://schemas.openxmlformats.org/officeDocument/2006/relationships/image" Target="../media/image1434.jpeg"/><Relationship Id="rId68" Type="http://schemas.openxmlformats.org/officeDocument/2006/relationships/image" Target="../media/image1027.jpeg"/><Relationship Id="rId679" Type="http://schemas.openxmlformats.org/officeDocument/2006/relationships/image" Target="../media/image1433.jpeg"/><Relationship Id="rId678" Type="http://schemas.openxmlformats.org/officeDocument/2006/relationships/image" Target="../media/image1432.jpeg"/><Relationship Id="rId677" Type="http://schemas.openxmlformats.org/officeDocument/2006/relationships/image" Target="../media/image1431.jpeg"/><Relationship Id="rId676" Type="http://schemas.openxmlformats.org/officeDocument/2006/relationships/image" Target="../media/image1430.jpeg"/><Relationship Id="rId675" Type="http://schemas.openxmlformats.org/officeDocument/2006/relationships/image" Target="../media/image1429.jpeg"/><Relationship Id="rId674" Type="http://schemas.openxmlformats.org/officeDocument/2006/relationships/image" Target="../media/image1428.jpeg"/><Relationship Id="rId673" Type="http://schemas.openxmlformats.org/officeDocument/2006/relationships/image" Target="../media/image1427.jpeg"/><Relationship Id="rId672" Type="http://schemas.openxmlformats.org/officeDocument/2006/relationships/image" Target="../media/image703.jpeg"/><Relationship Id="rId671" Type="http://schemas.openxmlformats.org/officeDocument/2006/relationships/image" Target="../media/image1426.jpeg"/><Relationship Id="rId670" Type="http://schemas.openxmlformats.org/officeDocument/2006/relationships/image" Target="../media/image1425.jpeg"/><Relationship Id="rId67" Type="http://schemas.openxmlformats.org/officeDocument/2006/relationships/image" Target="../media/image1026.jpeg"/><Relationship Id="rId669" Type="http://schemas.openxmlformats.org/officeDocument/2006/relationships/image" Target="../media/image1424.jpeg"/><Relationship Id="rId668" Type="http://schemas.openxmlformats.org/officeDocument/2006/relationships/image" Target="../media/image1423.jpeg"/><Relationship Id="rId667" Type="http://schemas.openxmlformats.org/officeDocument/2006/relationships/image" Target="../media/image1422.jpeg"/><Relationship Id="rId666" Type="http://schemas.openxmlformats.org/officeDocument/2006/relationships/image" Target="../media/image1421.jpeg"/><Relationship Id="rId665" Type="http://schemas.openxmlformats.org/officeDocument/2006/relationships/image" Target="../media/image696.jpeg"/><Relationship Id="rId664" Type="http://schemas.openxmlformats.org/officeDocument/2006/relationships/image" Target="../media/image1420.jpeg"/><Relationship Id="rId663" Type="http://schemas.openxmlformats.org/officeDocument/2006/relationships/image" Target="../media/image1419.jpeg"/><Relationship Id="rId662" Type="http://schemas.openxmlformats.org/officeDocument/2006/relationships/image" Target="../media/image1418.jpeg"/><Relationship Id="rId661" Type="http://schemas.openxmlformats.org/officeDocument/2006/relationships/image" Target="../media/image1417.png"/><Relationship Id="rId660" Type="http://schemas.openxmlformats.org/officeDocument/2006/relationships/image" Target="../media/image1416.jpeg"/><Relationship Id="rId66" Type="http://schemas.openxmlformats.org/officeDocument/2006/relationships/image" Target="../media/image1025.jpeg"/><Relationship Id="rId659" Type="http://schemas.openxmlformats.org/officeDocument/2006/relationships/image" Target="../media/image1415.jpeg"/><Relationship Id="rId658" Type="http://schemas.openxmlformats.org/officeDocument/2006/relationships/image" Target="../media/image1414.jpeg"/><Relationship Id="rId657" Type="http://schemas.openxmlformats.org/officeDocument/2006/relationships/image" Target="../media/image1413.jpeg"/><Relationship Id="rId656" Type="http://schemas.openxmlformats.org/officeDocument/2006/relationships/image" Target="../media/image1412.jpeg"/><Relationship Id="rId655" Type="http://schemas.openxmlformats.org/officeDocument/2006/relationships/image" Target="../media/image1411.jpeg"/><Relationship Id="rId654" Type="http://schemas.openxmlformats.org/officeDocument/2006/relationships/image" Target="../media/image1410.jpeg"/><Relationship Id="rId653" Type="http://schemas.openxmlformats.org/officeDocument/2006/relationships/image" Target="../media/image1409.jpeg"/><Relationship Id="rId652" Type="http://schemas.openxmlformats.org/officeDocument/2006/relationships/image" Target="../media/image1408.jpeg"/><Relationship Id="rId651" Type="http://schemas.openxmlformats.org/officeDocument/2006/relationships/image" Target="../media/image1407.jpeg"/><Relationship Id="rId650" Type="http://schemas.openxmlformats.org/officeDocument/2006/relationships/image" Target="../media/image1406.jpeg"/><Relationship Id="rId65" Type="http://schemas.openxmlformats.org/officeDocument/2006/relationships/image" Target="../media/image1024.jpeg"/><Relationship Id="rId649" Type="http://schemas.openxmlformats.org/officeDocument/2006/relationships/image" Target="../media/image680.jpeg"/><Relationship Id="rId648" Type="http://schemas.openxmlformats.org/officeDocument/2006/relationships/image" Target="../media/image1405.jpeg"/><Relationship Id="rId647" Type="http://schemas.openxmlformats.org/officeDocument/2006/relationships/image" Target="../media/image1404.jpeg"/><Relationship Id="rId646" Type="http://schemas.openxmlformats.org/officeDocument/2006/relationships/image" Target="../media/image1403.jpeg"/><Relationship Id="rId645" Type="http://schemas.openxmlformats.org/officeDocument/2006/relationships/image" Target="../media/image1402.jpeg"/><Relationship Id="rId644" Type="http://schemas.openxmlformats.org/officeDocument/2006/relationships/image" Target="../media/image1401.jpeg"/><Relationship Id="rId643" Type="http://schemas.openxmlformats.org/officeDocument/2006/relationships/image" Target="../media/image1400.jpeg"/><Relationship Id="rId642" Type="http://schemas.openxmlformats.org/officeDocument/2006/relationships/image" Target="../media/image1399.jpeg"/><Relationship Id="rId641" Type="http://schemas.openxmlformats.org/officeDocument/2006/relationships/image" Target="../media/image671.jpeg"/><Relationship Id="rId640" Type="http://schemas.openxmlformats.org/officeDocument/2006/relationships/image" Target="../media/image672.jpeg"/><Relationship Id="rId64" Type="http://schemas.openxmlformats.org/officeDocument/2006/relationships/image" Target="../media/image1023.jpeg"/><Relationship Id="rId639" Type="http://schemas.openxmlformats.org/officeDocument/2006/relationships/image" Target="../media/image669.jpeg"/><Relationship Id="rId638" Type="http://schemas.openxmlformats.org/officeDocument/2006/relationships/image" Target="../media/image1398.jpeg"/><Relationship Id="rId637" Type="http://schemas.openxmlformats.org/officeDocument/2006/relationships/image" Target="../media/image1397.jpeg"/><Relationship Id="rId636" Type="http://schemas.openxmlformats.org/officeDocument/2006/relationships/image" Target="../media/image1396.jpeg"/><Relationship Id="rId635" Type="http://schemas.openxmlformats.org/officeDocument/2006/relationships/image" Target="../media/image1395.jpeg"/><Relationship Id="rId634" Type="http://schemas.openxmlformats.org/officeDocument/2006/relationships/image" Target="../media/image664.jpeg"/><Relationship Id="rId633" Type="http://schemas.openxmlformats.org/officeDocument/2006/relationships/image" Target="../media/image1394.jpeg"/><Relationship Id="rId632" Type="http://schemas.openxmlformats.org/officeDocument/2006/relationships/image" Target="../media/image1393.jpeg"/><Relationship Id="rId631" Type="http://schemas.openxmlformats.org/officeDocument/2006/relationships/image" Target="../media/image662.jpeg"/><Relationship Id="rId630" Type="http://schemas.openxmlformats.org/officeDocument/2006/relationships/image" Target="../media/image1392.jpeg"/><Relationship Id="rId63" Type="http://schemas.openxmlformats.org/officeDocument/2006/relationships/image" Target="../media/image1022.jpeg"/><Relationship Id="rId629" Type="http://schemas.openxmlformats.org/officeDocument/2006/relationships/image" Target="../media/image1391.jpeg"/><Relationship Id="rId628" Type="http://schemas.openxmlformats.org/officeDocument/2006/relationships/image" Target="../media/image660.jpeg"/><Relationship Id="rId627" Type="http://schemas.openxmlformats.org/officeDocument/2006/relationships/image" Target="../media/image1390.jpeg"/><Relationship Id="rId626" Type="http://schemas.openxmlformats.org/officeDocument/2006/relationships/image" Target="../media/image1389.jpeg"/><Relationship Id="rId625" Type="http://schemas.openxmlformats.org/officeDocument/2006/relationships/image" Target="../media/image1388.jpeg"/><Relationship Id="rId624" Type="http://schemas.openxmlformats.org/officeDocument/2006/relationships/image" Target="../media/image1387.jpeg"/><Relationship Id="rId623" Type="http://schemas.openxmlformats.org/officeDocument/2006/relationships/image" Target="../media/image1386.jpeg"/><Relationship Id="rId622" Type="http://schemas.openxmlformats.org/officeDocument/2006/relationships/image" Target="../media/image652.jpeg"/><Relationship Id="rId621" Type="http://schemas.openxmlformats.org/officeDocument/2006/relationships/image" Target="../media/image650.jpeg"/><Relationship Id="rId620" Type="http://schemas.openxmlformats.org/officeDocument/2006/relationships/image" Target="../media/image647.jpeg"/><Relationship Id="rId62" Type="http://schemas.openxmlformats.org/officeDocument/2006/relationships/image" Target="../media/image1021.jpeg"/><Relationship Id="rId619" Type="http://schemas.openxmlformats.org/officeDocument/2006/relationships/image" Target="../media/image1385.jpeg"/><Relationship Id="rId618" Type="http://schemas.openxmlformats.org/officeDocument/2006/relationships/image" Target="../media/image645.jpeg"/><Relationship Id="rId617" Type="http://schemas.openxmlformats.org/officeDocument/2006/relationships/image" Target="../media/image644.jpeg"/><Relationship Id="rId616" Type="http://schemas.openxmlformats.org/officeDocument/2006/relationships/image" Target="../media/image1384.jpeg"/><Relationship Id="rId615" Type="http://schemas.openxmlformats.org/officeDocument/2006/relationships/image" Target="../media/image642.jpeg"/><Relationship Id="rId614" Type="http://schemas.openxmlformats.org/officeDocument/2006/relationships/image" Target="../media/image641.jpeg"/><Relationship Id="rId613" Type="http://schemas.openxmlformats.org/officeDocument/2006/relationships/image" Target="../media/image1383.jpeg"/><Relationship Id="rId612" Type="http://schemas.openxmlformats.org/officeDocument/2006/relationships/image" Target="../media/image1382.jpeg"/><Relationship Id="rId611" Type="http://schemas.openxmlformats.org/officeDocument/2006/relationships/image" Target="../media/image1381.jpeg"/><Relationship Id="rId610" Type="http://schemas.openxmlformats.org/officeDocument/2006/relationships/image" Target="../media/image1380.jpeg"/><Relationship Id="rId61" Type="http://schemas.openxmlformats.org/officeDocument/2006/relationships/image" Target="../media/image1020.jpeg"/><Relationship Id="rId609" Type="http://schemas.openxmlformats.org/officeDocument/2006/relationships/image" Target="../media/image1379.jpeg"/><Relationship Id="rId608" Type="http://schemas.openxmlformats.org/officeDocument/2006/relationships/image" Target="../media/image1378.jpeg"/><Relationship Id="rId607" Type="http://schemas.openxmlformats.org/officeDocument/2006/relationships/image" Target="../media/image1377.jpeg"/><Relationship Id="rId606" Type="http://schemas.openxmlformats.org/officeDocument/2006/relationships/image" Target="../media/image1376.jpeg"/><Relationship Id="rId605" Type="http://schemas.openxmlformats.org/officeDocument/2006/relationships/image" Target="../media/image1375.jpeg"/><Relationship Id="rId604" Type="http://schemas.openxmlformats.org/officeDocument/2006/relationships/image" Target="../media/image1374.jpeg"/><Relationship Id="rId603" Type="http://schemas.openxmlformats.org/officeDocument/2006/relationships/image" Target="../media/image1373.jpeg"/><Relationship Id="rId602" Type="http://schemas.openxmlformats.org/officeDocument/2006/relationships/image" Target="../media/image624.jpeg"/><Relationship Id="rId601" Type="http://schemas.openxmlformats.org/officeDocument/2006/relationships/image" Target="../media/image1372.jpeg"/><Relationship Id="rId600" Type="http://schemas.openxmlformats.org/officeDocument/2006/relationships/image" Target="../media/image1371.jpeg"/><Relationship Id="rId60" Type="http://schemas.openxmlformats.org/officeDocument/2006/relationships/image" Target="../media/image1019.jpeg"/><Relationship Id="rId6" Type="http://schemas.openxmlformats.org/officeDocument/2006/relationships/image" Target="../media/image973.jpeg"/><Relationship Id="rId599" Type="http://schemas.openxmlformats.org/officeDocument/2006/relationships/image" Target="../media/image1370.jpeg"/><Relationship Id="rId598" Type="http://schemas.openxmlformats.org/officeDocument/2006/relationships/image" Target="../media/image1369.jpeg"/><Relationship Id="rId597" Type="http://schemas.openxmlformats.org/officeDocument/2006/relationships/image" Target="../media/image1368.jpeg"/><Relationship Id="rId596" Type="http://schemas.openxmlformats.org/officeDocument/2006/relationships/image" Target="../media/image1367.jpeg"/><Relationship Id="rId595" Type="http://schemas.openxmlformats.org/officeDocument/2006/relationships/image" Target="../media/image1366.jpeg"/><Relationship Id="rId594" Type="http://schemas.openxmlformats.org/officeDocument/2006/relationships/image" Target="../media/image1365.jpeg"/><Relationship Id="rId593" Type="http://schemas.openxmlformats.org/officeDocument/2006/relationships/image" Target="../media/image614.jpeg"/><Relationship Id="rId592" Type="http://schemas.openxmlformats.org/officeDocument/2006/relationships/image" Target="../media/image1364.jpeg"/><Relationship Id="rId591" Type="http://schemas.openxmlformats.org/officeDocument/2006/relationships/image" Target="../media/image1363.jpeg"/><Relationship Id="rId590" Type="http://schemas.openxmlformats.org/officeDocument/2006/relationships/image" Target="../media/image1362.jpeg"/><Relationship Id="rId59" Type="http://schemas.openxmlformats.org/officeDocument/2006/relationships/image" Target="../media/image1018.jpeg"/><Relationship Id="rId589" Type="http://schemas.openxmlformats.org/officeDocument/2006/relationships/image" Target="../media/image1361.jpeg"/><Relationship Id="rId588" Type="http://schemas.openxmlformats.org/officeDocument/2006/relationships/image" Target="../media/image1360.jpeg"/><Relationship Id="rId587" Type="http://schemas.openxmlformats.org/officeDocument/2006/relationships/image" Target="../media/image1359.jpeg"/><Relationship Id="rId586" Type="http://schemas.openxmlformats.org/officeDocument/2006/relationships/image" Target="../media/image1358.jpeg"/><Relationship Id="rId585" Type="http://schemas.openxmlformats.org/officeDocument/2006/relationships/image" Target="../media/image1357.jpeg"/><Relationship Id="rId584" Type="http://schemas.openxmlformats.org/officeDocument/2006/relationships/image" Target="../media/image1356.jpeg"/><Relationship Id="rId583" Type="http://schemas.openxmlformats.org/officeDocument/2006/relationships/image" Target="../media/image1355.jpeg"/><Relationship Id="rId582" Type="http://schemas.openxmlformats.org/officeDocument/2006/relationships/image" Target="../media/image1354.jpeg"/><Relationship Id="rId581" Type="http://schemas.openxmlformats.org/officeDocument/2006/relationships/image" Target="../media/image1353.jpeg"/><Relationship Id="rId580" Type="http://schemas.openxmlformats.org/officeDocument/2006/relationships/image" Target="../media/image1352.jpeg"/><Relationship Id="rId58" Type="http://schemas.openxmlformats.org/officeDocument/2006/relationships/image" Target="../media/image1017.jpeg"/><Relationship Id="rId579" Type="http://schemas.openxmlformats.org/officeDocument/2006/relationships/image" Target="../media/image1351.jpeg"/><Relationship Id="rId578" Type="http://schemas.openxmlformats.org/officeDocument/2006/relationships/image" Target="../media/image1350.jpeg"/><Relationship Id="rId577" Type="http://schemas.openxmlformats.org/officeDocument/2006/relationships/image" Target="../media/image1349.jpeg"/><Relationship Id="rId576" Type="http://schemas.openxmlformats.org/officeDocument/2006/relationships/image" Target="../media/image1348.jpeg"/><Relationship Id="rId575" Type="http://schemas.openxmlformats.org/officeDocument/2006/relationships/image" Target="../media/image1347.jpeg"/><Relationship Id="rId574" Type="http://schemas.openxmlformats.org/officeDocument/2006/relationships/image" Target="../media/image1346.jpeg"/><Relationship Id="rId573" Type="http://schemas.openxmlformats.org/officeDocument/2006/relationships/image" Target="../media/image1345.jpeg"/><Relationship Id="rId572" Type="http://schemas.openxmlformats.org/officeDocument/2006/relationships/image" Target="../media/image1344.jpeg"/><Relationship Id="rId571" Type="http://schemas.openxmlformats.org/officeDocument/2006/relationships/image" Target="../media/image1343.jpeg"/><Relationship Id="rId570" Type="http://schemas.openxmlformats.org/officeDocument/2006/relationships/image" Target="../media/image1342.jpeg"/><Relationship Id="rId57" Type="http://schemas.openxmlformats.org/officeDocument/2006/relationships/image" Target="../media/image1016.jpeg"/><Relationship Id="rId569" Type="http://schemas.openxmlformats.org/officeDocument/2006/relationships/image" Target="../media/image584.jpeg"/><Relationship Id="rId568" Type="http://schemas.openxmlformats.org/officeDocument/2006/relationships/image" Target="../media/image1341.jpeg"/><Relationship Id="rId567" Type="http://schemas.openxmlformats.org/officeDocument/2006/relationships/image" Target="../media/image1340.jpeg"/><Relationship Id="rId566" Type="http://schemas.openxmlformats.org/officeDocument/2006/relationships/image" Target="../media/image1339.jpeg"/><Relationship Id="rId565" Type="http://schemas.openxmlformats.org/officeDocument/2006/relationships/image" Target="../media/image1338.jpeg"/><Relationship Id="rId564" Type="http://schemas.openxmlformats.org/officeDocument/2006/relationships/image" Target="../media/image1337.jpeg"/><Relationship Id="rId563" Type="http://schemas.openxmlformats.org/officeDocument/2006/relationships/image" Target="../media/image1336.jpeg"/><Relationship Id="rId562" Type="http://schemas.openxmlformats.org/officeDocument/2006/relationships/image" Target="../media/image1335.jpeg"/><Relationship Id="rId561" Type="http://schemas.openxmlformats.org/officeDocument/2006/relationships/image" Target="../media/image1334.jpeg"/><Relationship Id="rId560" Type="http://schemas.openxmlformats.org/officeDocument/2006/relationships/image" Target="../media/image1333.jpeg"/><Relationship Id="rId56" Type="http://schemas.openxmlformats.org/officeDocument/2006/relationships/image" Target="../media/image1015.jpeg"/><Relationship Id="rId559" Type="http://schemas.openxmlformats.org/officeDocument/2006/relationships/image" Target="../media/image1332.jpeg"/><Relationship Id="rId558" Type="http://schemas.openxmlformats.org/officeDocument/2006/relationships/image" Target="../media/image1331.jpeg"/><Relationship Id="rId557" Type="http://schemas.openxmlformats.org/officeDocument/2006/relationships/image" Target="../media/image1330.jpeg"/><Relationship Id="rId556" Type="http://schemas.openxmlformats.org/officeDocument/2006/relationships/image" Target="../media/image1329.jpeg"/><Relationship Id="rId555" Type="http://schemas.openxmlformats.org/officeDocument/2006/relationships/image" Target="../media/image572.jpeg"/><Relationship Id="rId554" Type="http://schemas.openxmlformats.org/officeDocument/2006/relationships/image" Target="../media/image1328.jpeg"/><Relationship Id="rId553" Type="http://schemas.openxmlformats.org/officeDocument/2006/relationships/image" Target="../media/image1327.jpeg"/><Relationship Id="rId552" Type="http://schemas.openxmlformats.org/officeDocument/2006/relationships/image" Target="../media/image569.jpeg"/><Relationship Id="rId551" Type="http://schemas.openxmlformats.org/officeDocument/2006/relationships/image" Target="../media/image1326.jpeg"/><Relationship Id="rId550" Type="http://schemas.openxmlformats.org/officeDocument/2006/relationships/image" Target="../media/image1325.jpeg"/><Relationship Id="rId55" Type="http://schemas.openxmlformats.org/officeDocument/2006/relationships/image" Target="../media/image1014.jpeg"/><Relationship Id="rId549" Type="http://schemas.openxmlformats.org/officeDocument/2006/relationships/image" Target="../media/image1324.jpeg"/><Relationship Id="rId548" Type="http://schemas.openxmlformats.org/officeDocument/2006/relationships/image" Target="../media/image1323.jpeg"/><Relationship Id="rId547" Type="http://schemas.openxmlformats.org/officeDocument/2006/relationships/image" Target="../media/image1322.jpeg"/><Relationship Id="rId546" Type="http://schemas.openxmlformats.org/officeDocument/2006/relationships/image" Target="../media/image563.jpeg"/><Relationship Id="rId545" Type="http://schemas.openxmlformats.org/officeDocument/2006/relationships/image" Target="../media/image1321.jpeg"/><Relationship Id="rId544" Type="http://schemas.openxmlformats.org/officeDocument/2006/relationships/image" Target="../media/image1320.jpeg"/><Relationship Id="rId543" Type="http://schemas.openxmlformats.org/officeDocument/2006/relationships/image" Target="../media/image560.jpeg"/><Relationship Id="rId542" Type="http://schemas.openxmlformats.org/officeDocument/2006/relationships/image" Target="../media/image1319.jpeg"/><Relationship Id="rId541" Type="http://schemas.openxmlformats.org/officeDocument/2006/relationships/image" Target="../media/image1318.jpeg"/><Relationship Id="rId540" Type="http://schemas.openxmlformats.org/officeDocument/2006/relationships/image" Target="../media/image1317.jpeg"/><Relationship Id="rId54" Type="http://schemas.openxmlformats.org/officeDocument/2006/relationships/image" Target="../media/image1013.jpeg"/><Relationship Id="rId539" Type="http://schemas.openxmlformats.org/officeDocument/2006/relationships/image" Target="../media/image1316.jpeg"/><Relationship Id="rId538" Type="http://schemas.openxmlformats.org/officeDocument/2006/relationships/image" Target="../media/image553.jpeg"/><Relationship Id="rId537" Type="http://schemas.openxmlformats.org/officeDocument/2006/relationships/image" Target="../media/image1315.jpeg"/><Relationship Id="rId536" Type="http://schemas.openxmlformats.org/officeDocument/2006/relationships/image" Target="../media/image551.jpeg"/><Relationship Id="rId535" Type="http://schemas.openxmlformats.org/officeDocument/2006/relationships/image" Target="../media/image550.jpeg"/><Relationship Id="rId534" Type="http://schemas.openxmlformats.org/officeDocument/2006/relationships/image" Target="../media/image549.jpeg"/><Relationship Id="rId533" Type="http://schemas.openxmlformats.org/officeDocument/2006/relationships/image" Target="../media/image1314.jpeg"/><Relationship Id="rId532" Type="http://schemas.openxmlformats.org/officeDocument/2006/relationships/image" Target="../media/image1313.jpeg"/><Relationship Id="rId531" Type="http://schemas.openxmlformats.org/officeDocument/2006/relationships/image" Target="../media/image1312.jpeg"/><Relationship Id="rId530" Type="http://schemas.openxmlformats.org/officeDocument/2006/relationships/image" Target="../media/image545.jpeg"/><Relationship Id="rId53" Type="http://schemas.openxmlformats.org/officeDocument/2006/relationships/image" Target="../media/image1012.jpeg"/><Relationship Id="rId529" Type="http://schemas.openxmlformats.org/officeDocument/2006/relationships/image" Target="../media/image1311.jpeg"/><Relationship Id="rId528" Type="http://schemas.openxmlformats.org/officeDocument/2006/relationships/image" Target="../media/image1310.jpeg"/><Relationship Id="rId527" Type="http://schemas.openxmlformats.org/officeDocument/2006/relationships/image" Target="../media/image542.jpeg"/><Relationship Id="rId526" Type="http://schemas.openxmlformats.org/officeDocument/2006/relationships/image" Target="../media/image541.jpeg"/><Relationship Id="rId525" Type="http://schemas.openxmlformats.org/officeDocument/2006/relationships/image" Target="../media/image1309.jpeg"/><Relationship Id="rId524" Type="http://schemas.openxmlformats.org/officeDocument/2006/relationships/image" Target="../media/image1308.jpeg"/><Relationship Id="rId523" Type="http://schemas.openxmlformats.org/officeDocument/2006/relationships/image" Target="../media/image1307.jpeg"/><Relationship Id="rId522" Type="http://schemas.openxmlformats.org/officeDocument/2006/relationships/image" Target="../media/image1306.jpeg"/><Relationship Id="rId521" Type="http://schemas.openxmlformats.org/officeDocument/2006/relationships/image" Target="../media/image1305.jpeg"/><Relationship Id="rId520" Type="http://schemas.openxmlformats.org/officeDocument/2006/relationships/image" Target="../media/image1304.jpeg"/><Relationship Id="rId52" Type="http://schemas.openxmlformats.org/officeDocument/2006/relationships/image" Target="../media/image1011.jpeg"/><Relationship Id="rId519" Type="http://schemas.openxmlformats.org/officeDocument/2006/relationships/image" Target="../media/image532.jpeg"/><Relationship Id="rId518" Type="http://schemas.openxmlformats.org/officeDocument/2006/relationships/image" Target="../media/image531.jpeg"/><Relationship Id="rId517" Type="http://schemas.openxmlformats.org/officeDocument/2006/relationships/image" Target="../media/image530.jpeg"/><Relationship Id="rId516" Type="http://schemas.openxmlformats.org/officeDocument/2006/relationships/image" Target="../media/image529.jpeg"/><Relationship Id="rId515" Type="http://schemas.openxmlformats.org/officeDocument/2006/relationships/image" Target="../media/image528.jpeg"/><Relationship Id="rId514" Type="http://schemas.openxmlformats.org/officeDocument/2006/relationships/image" Target="../media/image1303.jpeg"/><Relationship Id="rId513" Type="http://schemas.openxmlformats.org/officeDocument/2006/relationships/image" Target="../media/image1302.jpeg"/><Relationship Id="rId512" Type="http://schemas.openxmlformats.org/officeDocument/2006/relationships/image" Target="../media/image1301.jpeg"/><Relationship Id="rId511" Type="http://schemas.openxmlformats.org/officeDocument/2006/relationships/image" Target="../media/image1300.jpeg"/><Relationship Id="rId510" Type="http://schemas.openxmlformats.org/officeDocument/2006/relationships/image" Target="../media/image1299.jpeg"/><Relationship Id="rId51" Type="http://schemas.openxmlformats.org/officeDocument/2006/relationships/image" Target="../media/image1010.jpeg"/><Relationship Id="rId509" Type="http://schemas.openxmlformats.org/officeDocument/2006/relationships/image" Target="../media/image1298.jpeg"/><Relationship Id="rId508" Type="http://schemas.openxmlformats.org/officeDocument/2006/relationships/image" Target="../media/image1297.jpeg"/><Relationship Id="rId507" Type="http://schemas.openxmlformats.org/officeDocument/2006/relationships/image" Target="../media/image1296.jpeg"/><Relationship Id="rId506" Type="http://schemas.openxmlformats.org/officeDocument/2006/relationships/image" Target="../media/image520.jpeg"/><Relationship Id="rId505" Type="http://schemas.openxmlformats.org/officeDocument/2006/relationships/image" Target="../media/image519.jpeg"/><Relationship Id="rId504" Type="http://schemas.openxmlformats.org/officeDocument/2006/relationships/image" Target="../media/image1295.jpeg"/><Relationship Id="rId503" Type="http://schemas.openxmlformats.org/officeDocument/2006/relationships/image" Target="../media/image1294.jpeg"/><Relationship Id="rId502" Type="http://schemas.openxmlformats.org/officeDocument/2006/relationships/image" Target="../media/image516.jpeg"/><Relationship Id="rId501" Type="http://schemas.openxmlformats.org/officeDocument/2006/relationships/image" Target="../media/image1293.jpeg"/><Relationship Id="rId500" Type="http://schemas.openxmlformats.org/officeDocument/2006/relationships/image" Target="../media/image514.jpeg"/><Relationship Id="rId50" Type="http://schemas.openxmlformats.org/officeDocument/2006/relationships/image" Target="../media/image1009.jpeg"/><Relationship Id="rId5" Type="http://schemas.openxmlformats.org/officeDocument/2006/relationships/image" Target="../media/image5.jpeg"/><Relationship Id="rId499" Type="http://schemas.openxmlformats.org/officeDocument/2006/relationships/image" Target="../media/image1292.jpeg"/><Relationship Id="rId498" Type="http://schemas.openxmlformats.org/officeDocument/2006/relationships/image" Target="../media/image1291.jpeg"/><Relationship Id="rId497" Type="http://schemas.openxmlformats.org/officeDocument/2006/relationships/image" Target="../media/image1290.jpeg"/><Relationship Id="rId496" Type="http://schemas.openxmlformats.org/officeDocument/2006/relationships/image" Target="../media/image1289.jpeg"/><Relationship Id="rId495" Type="http://schemas.openxmlformats.org/officeDocument/2006/relationships/image" Target="../media/image1288.jpeg"/><Relationship Id="rId494" Type="http://schemas.openxmlformats.org/officeDocument/2006/relationships/image" Target="../media/image1287.jpeg"/><Relationship Id="rId493" Type="http://schemas.openxmlformats.org/officeDocument/2006/relationships/image" Target="../media/image1286.jpeg"/><Relationship Id="rId492" Type="http://schemas.openxmlformats.org/officeDocument/2006/relationships/image" Target="../media/image1285.jpeg"/><Relationship Id="rId491" Type="http://schemas.openxmlformats.org/officeDocument/2006/relationships/image" Target="../media/image1284.jpeg"/><Relationship Id="rId490" Type="http://schemas.openxmlformats.org/officeDocument/2006/relationships/image" Target="../media/image1283.jpeg"/><Relationship Id="rId49" Type="http://schemas.openxmlformats.org/officeDocument/2006/relationships/image" Target="../media/image1008.jpeg"/><Relationship Id="rId489" Type="http://schemas.openxmlformats.org/officeDocument/2006/relationships/image" Target="../media/image1282.jpeg"/><Relationship Id="rId488" Type="http://schemas.openxmlformats.org/officeDocument/2006/relationships/image" Target="../media/image502.jpeg"/><Relationship Id="rId487" Type="http://schemas.openxmlformats.org/officeDocument/2006/relationships/image" Target="../media/image1281.jpeg"/><Relationship Id="rId486" Type="http://schemas.openxmlformats.org/officeDocument/2006/relationships/image" Target="../media/image500.jpeg"/><Relationship Id="rId485" Type="http://schemas.openxmlformats.org/officeDocument/2006/relationships/image" Target="../media/image1280.jpeg"/><Relationship Id="rId484" Type="http://schemas.openxmlformats.org/officeDocument/2006/relationships/image" Target="../media/image498.jpeg"/><Relationship Id="rId483" Type="http://schemas.openxmlformats.org/officeDocument/2006/relationships/image" Target="../media/image1279.jpeg"/><Relationship Id="rId482" Type="http://schemas.openxmlformats.org/officeDocument/2006/relationships/image" Target="../media/image1278.jpeg"/><Relationship Id="rId481" Type="http://schemas.openxmlformats.org/officeDocument/2006/relationships/image" Target="../media/image1277.jpeg"/><Relationship Id="rId480" Type="http://schemas.openxmlformats.org/officeDocument/2006/relationships/image" Target="../media/image1276.jpeg"/><Relationship Id="rId48" Type="http://schemas.openxmlformats.org/officeDocument/2006/relationships/image" Target="../media/image1007.jpeg"/><Relationship Id="rId479" Type="http://schemas.openxmlformats.org/officeDocument/2006/relationships/image" Target="../media/image1275.jpeg"/><Relationship Id="rId478" Type="http://schemas.openxmlformats.org/officeDocument/2006/relationships/image" Target="../media/image492.jpeg"/><Relationship Id="rId477" Type="http://schemas.openxmlformats.org/officeDocument/2006/relationships/image" Target="../media/image1274.jpeg"/><Relationship Id="rId476" Type="http://schemas.openxmlformats.org/officeDocument/2006/relationships/image" Target="../media/image490.jpeg"/><Relationship Id="rId475" Type="http://schemas.openxmlformats.org/officeDocument/2006/relationships/image" Target="../media/image1273.jpeg"/><Relationship Id="rId474" Type="http://schemas.openxmlformats.org/officeDocument/2006/relationships/image" Target="../media/image1272.jpeg"/><Relationship Id="rId473" Type="http://schemas.openxmlformats.org/officeDocument/2006/relationships/image" Target="../media/image1271.jpeg"/><Relationship Id="rId472" Type="http://schemas.openxmlformats.org/officeDocument/2006/relationships/image" Target="../media/image1270.jpeg"/><Relationship Id="rId471" Type="http://schemas.openxmlformats.org/officeDocument/2006/relationships/image" Target="../media/image1269.jpeg"/><Relationship Id="rId470" Type="http://schemas.openxmlformats.org/officeDocument/2006/relationships/image" Target="../media/image1268.jpeg"/><Relationship Id="rId47" Type="http://schemas.openxmlformats.org/officeDocument/2006/relationships/image" Target="../media/image1006.jpeg"/><Relationship Id="rId469" Type="http://schemas.openxmlformats.org/officeDocument/2006/relationships/image" Target="../media/image1267.jpeg"/><Relationship Id="rId468" Type="http://schemas.openxmlformats.org/officeDocument/2006/relationships/image" Target="../media/image481.jpeg"/><Relationship Id="rId467" Type="http://schemas.openxmlformats.org/officeDocument/2006/relationships/image" Target="../media/image1266.jpeg"/><Relationship Id="rId466" Type="http://schemas.openxmlformats.org/officeDocument/2006/relationships/image" Target="../media/image1265.jpeg"/><Relationship Id="rId465" Type="http://schemas.openxmlformats.org/officeDocument/2006/relationships/image" Target="../media/image478.jpeg"/><Relationship Id="rId464" Type="http://schemas.openxmlformats.org/officeDocument/2006/relationships/image" Target="../media/image477.jpeg"/><Relationship Id="rId463" Type="http://schemas.openxmlformats.org/officeDocument/2006/relationships/image" Target="../media/image476.jpeg"/><Relationship Id="rId462" Type="http://schemas.openxmlformats.org/officeDocument/2006/relationships/image" Target="../media/image1264.jpeg"/><Relationship Id="rId461" Type="http://schemas.openxmlformats.org/officeDocument/2006/relationships/image" Target="../media/image1263.jpeg"/><Relationship Id="rId460" Type="http://schemas.openxmlformats.org/officeDocument/2006/relationships/image" Target="../media/image473.jpeg"/><Relationship Id="rId46" Type="http://schemas.openxmlformats.org/officeDocument/2006/relationships/image" Target="../media/image48.jpeg"/><Relationship Id="rId459" Type="http://schemas.openxmlformats.org/officeDocument/2006/relationships/image" Target="../media/image1262.jpeg"/><Relationship Id="rId458" Type="http://schemas.openxmlformats.org/officeDocument/2006/relationships/image" Target="../media/image471.jpeg"/><Relationship Id="rId457" Type="http://schemas.openxmlformats.org/officeDocument/2006/relationships/image" Target="../media/image1261.jpeg"/><Relationship Id="rId456" Type="http://schemas.openxmlformats.org/officeDocument/2006/relationships/image" Target="../media/image468.jpeg"/><Relationship Id="rId455" Type="http://schemas.openxmlformats.org/officeDocument/2006/relationships/image" Target="../media/image1260.jpeg"/><Relationship Id="rId454" Type="http://schemas.openxmlformats.org/officeDocument/2006/relationships/image" Target="../media/image1259.jpeg"/><Relationship Id="rId453" Type="http://schemas.openxmlformats.org/officeDocument/2006/relationships/image" Target="../media/image1258.jpeg"/><Relationship Id="rId452" Type="http://schemas.openxmlformats.org/officeDocument/2006/relationships/image" Target="../media/image1257.jpeg"/><Relationship Id="rId451" Type="http://schemas.openxmlformats.org/officeDocument/2006/relationships/image" Target="../media/image1256.jpeg"/><Relationship Id="rId450" Type="http://schemas.openxmlformats.org/officeDocument/2006/relationships/image" Target="../media/image1255.jpeg"/><Relationship Id="rId45" Type="http://schemas.openxmlformats.org/officeDocument/2006/relationships/image" Target="../media/image1005.jpeg"/><Relationship Id="rId449" Type="http://schemas.openxmlformats.org/officeDocument/2006/relationships/image" Target="../media/image1254.jpeg"/><Relationship Id="rId448" Type="http://schemas.openxmlformats.org/officeDocument/2006/relationships/image" Target="../media/image1253.jpeg"/><Relationship Id="rId447" Type="http://schemas.openxmlformats.org/officeDocument/2006/relationships/image" Target="../media/image457.png"/><Relationship Id="rId446" Type="http://schemas.openxmlformats.org/officeDocument/2006/relationships/image" Target="../media/image456.jpeg"/><Relationship Id="rId445" Type="http://schemas.openxmlformats.org/officeDocument/2006/relationships/image" Target="../media/image1252.jpeg"/><Relationship Id="rId444" Type="http://schemas.openxmlformats.org/officeDocument/2006/relationships/image" Target="../media/image1251.jpeg"/><Relationship Id="rId443" Type="http://schemas.openxmlformats.org/officeDocument/2006/relationships/image" Target="../media/image1250.jpeg"/><Relationship Id="rId442" Type="http://schemas.openxmlformats.org/officeDocument/2006/relationships/image" Target="../media/image452.jpeg"/><Relationship Id="rId441" Type="http://schemas.openxmlformats.org/officeDocument/2006/relationships/image" Target="../media/image1249.jpeg"/><Relationship Id="rId440" Type="http://schemas.openxmlformats.org/officeDocument/2006/relationships/image" Target="../media/image1248.jpeg"/><Relationship Id="rId44" Type="http://schemas.openxmlformats.org/officeDocument/2006/relationships/image" Target="../media/image1004.jpeg"/><Relationship Id="rId439" Type="http://schemas.openxmlformats.org/officeDocument/2006/relationships/image" Target="../media/image1247.jpeg"/><Relationship Id="rId438" Type="http://schemas.openxmlformats.org/officeDocument/2006/relationships/image" Target="../media/image448.jpeg"/><Relationship Id="rId437" Type="http://schemas.openxmlformats.org/officeDocument/2006/relationships/image" Target="../media/image447.jpeg"/><Relationship Id="rId436" Type="http://schemas.openxmlformats.org/officeDocument/2006/relationships/image" Target="../media/image446.jpeg"/><Relationship Id="rId435" Type="http://schemas.openxmlformats.org/officeDocument/2006/relationships/image" Target="../media/image445.jpeg"/><Relationship Id="rId434" Type="http://schemas.openxmlformats.org/officeDocument/2006/relationships/image" Target="../media/image1246.jpeg"/><Relationship Id="rId433" Type="http://schemas.openxmlformats.org/officeDocument/2006/relationships/image" Target="../media/image1245.jpeg"/><Relationship Id="rId432" Type="http://schemas.openxmlformats.org/officeDocument/2006/relationships/image" Target="../media/image442.jpeg"/><Relationship Id="rId431" Type="http://schemas.openxmlformats.org/officeDocument/2006/relationships/image" Target="../media/image1244.jpeg"/><Relationship Id="rId430" Type="http://schemas.openxmlformats.org/officeDocument/2006/relationships/image" Target="../media/image440.jpeg"/><Relationship Id="rId43" Type="http://schemas.openxmlformats.org/officeDocument/2006/relationships/image" Target="../media/image45.jpeg"/><Relationship Id="rId429" Type="http://schemas.openxmlformats.org/officeDocument/2006/relationships/image" Target="../media/image439.jpeg"/><Relationship Id="rId428" Type="http://schemas.openxmlformats.org/officeDocument/2006/relationships/image" Target="../media/image1243.jpeg"/><Relationship Id="rId427" Type="http://schemas.openxmlformats.org/officeDocument/2006/relationships/image" Target="../media/image437.jpeg"/><Relationship Id="rId426" Type="http://schemas.openxmlformats.org/officeDocument/2006/relationships/image" Target="../media/image1242.jpeg"/><Relationship Id="rId425" Type="http://schemas.openxmlformats.org/officeDocument/2006/relationships/image" Target="../media/image1241.jpeg"/><Relationship Id="rId424" Type="http://schemas.openxmlformats.org/officeDocument/2006/relationships/image" Target="../media/image1240.jpeg"/><Relationship Id="rId423" Type="http://schemas.openxmlformats.org/officeDocument/2006/relationships/image" Target="../media/image1239.jpeg"/><Relationship Id="rId422" Type="http://schemas.openxmlformats.org/officeDocument/2006/relationships/image" Target="../media/image432.jpeg"/><Relationship Id="rId421" Type="http://schemas.openxmlformats.org/officeDocument/2006/relationships/image" Target="../media/image1238.jpeg"/><Relationship Id="rId420" Type="http://schemas.openxmlformats.org/officeDocument/2006/relationships/image" Target="../media/image1237.jpeg"/><Relationship Id="rId42" Type="http://schemas.openxmlformats.org/officeDocument/2006/relationships/image" Target="../media/image1003.jpeg"/><Relationship Id="rId419" Type="http://schemas.openxmlformats.org/officeDocument/2006/relationships/image" Target="../media/image1236.jpeg"/><Relationship Id="rId418" Type="http://schemas.openxmlformats.org/officeDocument/2006/relationships/image" Target="../media/image1235.jpeg"/><Relationship Id="rId417" Type="http://schemas.openxmlformats.org/officeDocument/2006/relationships/image" Target="../media/image1234.jpeg"/><Relationship Id="rId416" Type="http://schemas.openxmlformats.org/officeDocument/2006/relationships/image" Target="../media/image1233.jpeg"/><Relationship Id="rId415" Type="http://schemas.openxmlformats.org/officeDocument/2006/relationships/image" Target="../media/image424.jpeg"/><Relationship Id="rId414" Type="http://schemas.openxmlformats.org/officeDocument/2006/relationships/image" Target="../media/image1232.jpeg"/><Relationship Id="rId413" Type="http://schemas.openxmlformats.org/officeDocument/2006/relationships/image" Target="../media/image1231.jpeg"/><Relationship Id="rId412" Type="http://schemas.openxmlformats.org/officeDocument/2006/relationships/image" Target="../media/image421.jpeg"/><Relationship Id="rId411" Type="http://schemas.openxmlformats.org/officeDocument/2006/relationships/image" Target="../media/image1230.jpeg"/><Relationship Id="rId410" Type="http://schemas.openxmlformats.org/officeDocument/2006/relationships/image" Target="../media/image1229.jpeg"/><Relationship Id="rId41" Type="http://schemas.openxmlformats.org/officeDocument/2006/relationships/image" Target="../media/image1002.jpeg"/><Relationship Id="rId409" Type="http://schemas.openxmlformats.org/officeDocument/2006/relationships/image" Target="../media/image1228.jpeg"/><Relationship Id="rId408" Type="http://schemas.openxmlformats.org/officeDocument/2006/relationships/image" Target="../media/image415.jpeg"/><Relationship Id="rId407" Type="http://schemas.openxmlformats.org/officeDocument/2006/relationships/image" Target="../media/image1227.jpeg"/><Relationship Id="rId406" Type="http://schemas.openxmlformats.org/officeDocument/2006/relationships/image" Target="../media/image1226.jpeg"/><Relationship Id="rId405" Type="http://schemas.openxmlformats.org/officeDocument/2006/relationships/image" Target="../media/image412.jpeg"/><Relationship Id="rId404" Type="http://schemas.openxmlformats.org/officeDocument/2006/relationships/image" Target="../media/image1225.jpeg"/><Relationship Id="rId403" Type="http://schemas.openxmlformats.org/officeDocument/2006/relationships/image" Target="../media/image1224.jpeg"/><Relationship Id="rId402" Type="http://schemas.openxmlformats.org/officeDocument/2006/relationships/image" Target="../media/image1223.jpeg"/><Relationship Id="rId401" Type="http://schemas.openxmlformats.org/officeDocument/2006/relationships/image" Target="../media/image1222.jpeg"/><Relationship Id="rId400" Type="http://schemas.openxmlformats.org/officeDocument/2006/relationships/image" Target="../media/image407.png"/><Relationship Id="rId40" Type="http://schemas.openxmlformats.org/officeDocument/2006/relationships/image" Target="../media/image42.jpeg"/><Relationship Id="rId4" Type="http://schemas.openxmlformats.org/officeDocument/2006/relationships/image" Target="../media/image972.jpeg"/><Relationship Id="rId399" Type="http://schemas.openxmlformats.org/officeDocument/2006/relationships/image" Target="../media/image1221.png"/><Relationship Id="rId398" Type="http://schemas.openxmlformats.org/officeDocument/2006/relationships/image" Target="../media/image405.png"/><Relationship Id="rId397" Type="http://schemas.openxmlformats.org/officeDocument/2006/relationships/image" Target="../media/image404.jpeg"/><Relationship Id="rId396" Type="http://schemas.openxmlformats.org/officeDocument/2006/relationships/image" Target="../media/image1220.jpeg"/><Relationship Id="rId395" Type="http://schemas.openxmlformats.org/officeDocument/2006/relationships/image" Target="../media/image402.jpeg"/><Relationship Id="rId394" Type="http://schemas.openxmlformats.org/officeDocument/2006/relationships/image" Target="../media/image401.jpeg"/><Relationship Id="rId393" Type="http://schemas.openxmlformats.org/officeDocument/2006/relationships/image" Target="../media/image400.jpeg"/><Relationship Id="rId392" Type="http://schemas.openxmlformats.org/officeDocument/2006/relationships/image" Target="../media/image399.jpeg"/><Relationship Id="rId391" Type="http://schemas.openxmlformats.org/officeDocument/2006/relationships/image" Target="../media/image1219.jpeg"/><Relationship Id="rId390" Type="http://schemas.openxmlformats.org/officeDocument/2006/relationships/image" Target="../media/image1218.jpeg"/><Relationship Id="rId39" Type="http://schemas.openxmlformats.org/officeDocument/2006/relationships/image" Target="../media/image1001.jpeg"/><Relationship Id="rId389" Type="http://schemas.openxmlformats.org/officeDocument/2006/relationships/image" Target="../media/image396.jpeg"/><Relationship Id="rId388" Type="http://schemas.openxmlformats.org/officeDocument/2006/relationships/image" Target="../media/image1217.jpeg"/><Relationship Id="rId387" Type="http://schemas.openxmlformats.org/officeDocument/2006/relationships/image" Target="../media/image393.jpeg"/><Relationship Id="rId386" Type="http://schemas.openxmlformats.org/officeDocument/2006/relationships/image" Target="../media/image1216.jpeg"/><Relationship Id="rId385" Type="http://schemas.openxmlformats.org/officeDocument/2006/relationships/image" Target="../media/image1215.jpeg"/><Relationship Id="rId384" Type="http://schemas.openxmlformats.org/officeDocument/2006/relationships/image" Target="../media/image389.jpeg"/><Relationship Id="rId383" Type="http://schemas.openxmlformats.org/officeDocument/2006/relationships/image" Target="../media/image388.jpeg"/><Relationship Id="rId382" Type="http://schemas.openxmlformats.org/officeDocument/2006/relationships/image" Target="../media/image1214.jpeg"/><Relationship Id="rId381" Type="http://schemas.openxmlformats.org/officeDocument/2006/relationships/image" Target="../media/image386.jpeg"/><Relationship Id="rId380" Type="http://schemas.openxmlformats.org/officeDocument/2006/relationships/image" Target="../media/image1213.jpeg"/><Relationship Id="rId38" Type="http://schemas.openxmlformats.org/officeDocument/2006/relationships/image" Target="../media/image1000.jpeg"/><Relationship Id="rId379" Type="http://schemas.openxmlformats.org/officeDocument/2006/relationships/image" Target="../media/image384.jpeg"/><Relationship Id="rId378" Type="http://schemas.openxmlformats.org/officeDocument/2006/relationships/image" Target="../media/image1212.jpeg"/><Relationship Id="rId377" Type="http://schemas.openxmlformats.org/officeDocument/2006/relationships/image" Target="../media/image382.jpeg"/><Relationship Id="rId376" Type="http://schemas.openxmlformats.org/officeDocument/2006/relationships/image" Target="../media/image1211.jpeg"/><Relationship Id="rId375" Type="http://schemas.openxmlformats.org/officeDocument/2006/relationships/image" Target="../media/image1210.jpeg"/><Relationship Id="rId374" Type="http://schemas.openxmlformats.org/officeDocument/2006/relationships/image" Target="../media/image379.jpeg"/><Relationship Id="rId373" Type="http://schemas.openxmlformats.org/officeDocument/2006/relationships/image" Target="../media/image1209.jpeg"/><Relationship Id="rId372" Type="http://schemas.openxmlformats.org/officeDocument/2006/relationships/image" Target="../media/image377.jpeg"/><Relationship Id="rId371" Type="http://schemas.openxmlformats.org/officeDocument/2006/relationships/image" Target="../media/image1208.jpeg"/><Relationship Id="rId370" Type="http://schemas.openxmlformats.org/officeDocument/2006/relationships/image" Target="../media/image1207.jpeg"/><Relationship Id="rId37" Type="http://schemas.openxmlformats.org/officeDocument/2006/relationships/image" Target="../media/image999.jpeg"/><Relationship Id="rId369" Type="http://schemas.openxmlformats.org/officeDocument/2006/relationships/image" Target="../media/image1206.jpeg"/><Relationship Id="rId368" Type="http://schemas.openxmlformats.org/officeDocument/2006/relationships/image" Target="../media/image1205.jpeg"/><Relationship Id="rId367" Type="http://schemas.openxmlformats.org/officeDocument/2006/relationships/image" Target="../media/image1204.jpeg"/><Relationship Id="rId366" Type="http://schemas.openxmlformats.org/officeDocument/2006/relationships/image" Target="../media/image371.jpeg"/><Relationship Id="rId365" Type="http://schemas.openxmlformats.org/officeDocument/2006/relationships/image" Target="../media/image1203.jpeg"/><Relationship Id="rId364" Type="http://schemas.openxmlformats.org/officeDocument/2006/relationships/image" Target="../media/image1202.jpeg"/><Relationship Id="rId363" Type="http://schemas.openxmlformats.org/officeDocument/2006/relationships/image" Target="../media/image368.jpeg"/><Relationship Id="rId362" Type="http://schemas.openxmlformats.org/officeDocument/2006/relationships/image" Target="../media/image1201.jpeg"/><Relationship Id="rId361" Type="http://schemas.openxmlformats.org/officeDocument/2006/relationships/image" Target="../media/image366.jpeg"/><Relationship Id="rId360" Type="http://schemas.openxmlformats.org/officeDocument/2006/relationships/image" Target="../media/image365.jpeg"/><Relationship Id="rId36" Type="http://schemas.openxmlformats.org/officeDocument/2006/relationships/image" Target="../media/image998.jpeg"/><Relationship Id="rId359" Type="http://schemas.openxmlformats.org/officeDocument/2006/relationships/image" Target="../media/image1200.jpeg"/><Relationship Id="rId358" Type="http://schemas.openxmlformats.org/officeDocument/2006/relationships/image" Target="../media/image1199.jpeg"/><Relationship Id="rId357" Type="http://schemas.openxmlformats.org/officeDocument/2006/relationships/image" Target="../media/image1198.jpeg"/><Relationship Id="rId356" Type="http://schemas.openxmlformats.org/officeDocument/2006/relationships/image" Target="../media/image1197.jpeg"/><Relationship Id="rId355" Type="http://schemas.openxmlformats.org/officeDocument/2006/relationships/image" Target="../media/image1196.jpeg"/><Relationship Id="rId354" Type="http://schemas.openxmlformats.org/officeDocument/2006/relationships/image" Target="../media/image1195.jpeg"/><Relationship Id="rId353" Type="http://schemas.openxmlformats.org/officeDocument/2006/relationships/image" Target="../media/image1194.jpeg"/><Relationship Id="rId352" Type="http://schemas.openxmlformats.org/officeDocument/2006/relationships/image" Target="../media/image1193.jpeg"/><Relationship Id="rId351" Type="http://schemas.openxmlformats.org/officeDocument/2006/relationships/image" Target="../media/image1192.jpeg"/><Relationship Id="rId350" Type="http://schemas.openxmlformats.org/officeDocument/2006/relationships/image" Target="../media/image1191.jpeg"/><Relationship Id="rId35" Type="http://schemas.openxmlformats.org/officeDocument/2006/relationships/image" Target="../media/image36.jpeg"/><Relationship Id="rId349" Type="http://schemas.openxmlformats.org/officeDocument/2006/relationships/image" Target="../media/image354.jpeg"/><Relationship Id="rId348" Type="http://schemas.openxmlformats.org/officeDocument/2006/relationships/image" Target="../media/image353.jpeg"/><Relationship Id="rId347" Type="http://schemas.openxmlformats.org/officeDocument/2006/relationships/image" Target="../media/image352.jpeg"/><Relationship Id="rId346" Type="http://schemas.openxmlformats.org/officeDocument/2006/relationships/image" Target="../media/image1190.jpeg"/><Relationship Id="rId345" Type="http://schemas.openxmlformats.org/officeDocument/2006/relationships/image" Target="../media/image350.jpeg"/><Relationship Id="rId344" Type="http://schemas.openxmlformats.org/officeDocument/2006/relationships/image" Target="../media/image1189.jpeg"/><Relationship Id="rId343" Type="http://schemas.openxmlformats.org/officeDocument/2006/relationships/image" Target="../media/image1188.jpeg"/><Relationship Id="rId342" Type="http://schemas.openxmlformats.org/officeDocument/2006/relationships/image" Target="../media/image1187.jpeg"/><Relationship Id="rId341" Type="http://schemas.openxmlformats.org/officeDocument/2006/relationships/image" Target="../media/image1186.jpeg"/><Relationship Id="rId340" Type="http://schemas.openxmlformats.org/officeDocument/2006/relationships/image" Target="../media/image1185.jpeg"/><Relationship Id="rId34" Type="http://schemas.openxmlformats.org/officeDocument/2006/relationships/image" Target="../media/image35.jpeg"/><Relationship Id="rId339" Type="http://schemas.openxmlformats.org/officeDocument/2006/relationships/image" Target="../media/image1184.jpeg"/><Relationship Id="rId338" Type="http://schemas.openxmlformats.org/officeDocument/2006/relationships/image" Target="../media/image1183.jpeg"/><Relationship Id="rId337" Type="http://schemas.openxmlformats.org/officeDocument/2006/relationships/image" Target="../media/image1182.jpeg"/><Relationship Id="rId336" Type="http://schemas.openxmlformats.org/officeDocument/2006/relationships/image" Target="../media/image1181.jpeg"/><Relationship Id="rId335" Type="http://schemas.openxmlformats.org/officeDocument/2006/relationships/image" Target="../media/image1180.jpeg"/><Relationship Id="rId334" Type="http://schemas.openxmlformats.org/officeDocument/2006/relationships/image" Target="../media/image1179.jpeg"/><Relationship Id="rId333" Type="http://schemas.openxmlformats.org/officeDocument/2006/relationships/image" Target="../media/image1178.jpeg"/><Relationship Id="rId332" Type="http://schemas.openxmlformats.org/officeDocument/2006/relationships/image" Target="../media/image1177.jpeg"/><Relationship Id="rId331" Type="http://schemas.openxmlformats.org/officeDocument/2006/relationships/image" Target="../media/image1176.jpeg"/><Relationship Id="rId330" Type="http://schemas.openxmlformats.org/officeDocument/2006/relationships/image" Target="../media/image1175.jpeg"/><Relationship Id="rId33" Type="http://schemas.openxmlformats.org/officeDocument/2006/relationships/image" Target="../media/image997.jpeg"/><Relationship Id="rId329" Type="http://schemas.openxmlformats.org/officeDocument/2006/relationships/image" Target="../media/image334.jpeg"/><Relationship Id="rId328" Type="http://schemas.openxmlformats.org/officeDocument/2006/relationships/image" Target="../media/image1174.jpeg"/><Relationship Id="rId327" Type="http://schemas.openxmlformats.org/officeDocument/2006/relationships/image" Target="../media/image332.jpeg"/><Relationship Id="rId326" Type="http://schemas.openxmlformats.org/officeDocument/2006/relationships/image" Target="../media/image1173.jpeg"/><Relationship Id="rId325" Type="http://schemas.openxmlformats.org/officeDocument/2006/relationships/image" Target="../media/image1172.jpeg"/><Relationship Id="rId324" Type="http://schemas.openxmlformats.org/officeDocument/2006/relationships/image" Target="../media/image1171.jpeg"/><Relationship Id="rId323" Type="http://schemas.openxmlformats.org/officeDocument/2006/relationships/image" Target="../media/image1170.jpeg"/><Relationship Id="rId322" Type="http://schemas.openxmlformats.org/officeDocument/2006/relationships/image" Target="../media/image327.jpeg"/><Relationship Id="rId321" Type="http://schemas.openxmlformats.org/officeDocument/2006/relationships/image" Target="../media/image1169.jpeg"/><Relationship Id="rId320" Type="http://schemas.openxmlformats.org/officeDocument/2006/relationships/image" Target="../media/image1168.jpeg"/><Relationship Id="rId32" Type="http://schemas.openxmlformats.org/officeDocument/2006/relationships/image" Target="../media/image996.jpeg"/><Relationship Id="rId319" Type="http://schemas.openxmlformats.org/officeDocument/2006/relationships/image" Target="../media/image1167.jpeg"/><Relationship Id="rId318" Type="http://schemas.openxmlformats.org/officeDocument/2006/relationships/image" Target="../media/image1166.jpeg"/><Relationship Id="rId317" Type="http://schemas.openxmlformats.org/officeDocument/2006/relationships/image" Target="../media/image1165.jpeg"/><Relationship Id="rId316" Type="http://schemas.openxmlformats.org/officeDocument/2006/relationships/image" Target="../media/image321.jpeg"/><Relationship Id="rId315" Type="http://schemas.openxmlformats.org/officeDocument/2006/relationships/image" Target="../media/image1164.jpeg"/><Relationship Id="rId314" Type="http://schemas.openxmlformats.org/officeDocument/2006/relationships/image" Target="../media/image1163.jpeg"/><Relationship Id="rId313" Type="http://schemas.openxmlformats.org/officeDocument/2006/relationships/image" Target="../media/image1162.jpeg"/><Relationship Id="rId312" Type="http://schemas.openxmlformats.org/officeDocument/2006/relationships/image" Target="../media/image1161.jpeg"/><Relationship Id="rId311" Type="http://schemas.openxmlformats.org/officeDocument/2006/relationships/image" Target="../media/image316.jpeg"/><Relationship Id="rId310" Type="http://schemas.openxmlformats.org/officeDocument/2006/relationships/image" Target="../media/image1160.jpeg"/><Relationship Id="rId31" Type="http://schemas.openxmlformats.org/officeDocument/2006/relationships/image" Target="../media/image995.jpeg"/><Relationship Id="rId309" Type="http://schemas.openxmlformats.org/officeDocument/2006/relationships/image" Target="../media/image1159.jpeg"/><Relationship Id="rId308" Type="http://schemas.openxmlformats.org/officeDocument/2006/relationships/image" Target="../media/image1158.jpeg"/><Relationship Id="rId307" Type="http://schemas.openxmlformats.org/officeDocument/2006/relationships/image" Target="../media/image1157.jpeg"/><Relationship Id="rId306" Type="http://schemas.openxmlformats.org/officeDocument/2006/relationships/image" Target="../media/image1156.jpeg"/><Relationship Id="rId305" Type="http://schemas.openxmlformats.org/officeDocument/2006/relationships/image" Target="../media/image1155.jpeg"/><Relationship Id="rId304" Type="http://schemas.openxmlformats.org/officeDocument/2006/relationships/image" Target="../media/image309.jpeg"/><Relationship Id="rId303" Type="http://schemas.openxmlformats.org/officeDocument/2006/relationships/image" Target="../media/image1154.jpeg"/><Relationship Id="rId302" Type="http://schemas.openxmlformats.org/officeDocument/2006/relationships/image" Target="../media/image1153.jpeg"/><Relationship Id="rId301" Type="http://schemas.openxmlformats.org/officeDocument/2006/relationships/image" Target="../media/image1152.jpeg"/><Relationship Id="rId300" Type="http://schemas.openxmlformats.org/officeDocument/2006/relationships/image" Target="../media/image1151.jpeg"/><Relationship Id="rId30" Type="http://schemas.openxmlformats.org/officeDocument/2006/relationships/image" Target="../media/image994.jpeg"/><Relationship Id="rId3" Type="http://schemas.openxmlformats.org/officeDocument/2006/relationships/image" Target="../media/image971.jpeg"/><Relationship Id="rId299" Type="http://schemas.openxmlformats.org/officeDocument/2006/relationships/image" Target="../media/image304.jpeg"/><Relationship Id="rId298" Type="http://schemas.openxmlformats.org/officeDocument/2006/relationships/image" Target="../media/image1150.jpeg"/><Relationship Id="rId297" Type="http://schemas.openxmlformats.org/officeDocument/2006/relationships/image" Target="../media/image1149.jpeg"/><Relationship Id="rId296" Type="http://schemas.openxmlformats.org/officeDocument/2006/relationships/image" Target="../media/image1148.jpeg"/><Relationship Id="rId295" Type="http://schemas.openxmlformats.org/officeDocument/2006/relationships/image" Target="../media/image300.jpeg"/><Relationship Id="rId294" Type="http://schemas.openxmlformats.org/officeDocument/2006/relationships/image" Target="../media/image1147.jpeg"/><Relationship Id="rId293" Type="http://schemas.openxmlformats.org/officeDocument/2006/relationships/image" Target="../media/image1146.jpeg"/><Relationship Id="rId292" Type="http://schemas.openxmlformats.org/officeDocument/2006/relationships/image" Target="../media/image297.jpeg"/><Relationship Id="rId291" Type="http://schemas.openxmlformats.org/officeDocument/2006/relationships/image" Target="../media/image1145.jpeg"/><Relationship Id="rId290" Type="http://schemas.openxmlformats.org/officeDocument/2006/relationships/image" Target="../media/image1144.jpeg"/><Relationship Id="rId29" Type="http://schemas.openxmlformats.org/officeDocument/2006/relationships/image" Target="../media/image993.jpeg"/><Relationship Id="rId289" Type="http://schemas.openxmlformats.org/officeDocument/2006/relationships/image" Target="../media/image1143.jpeg"/><Relationship Id="rId288" Type="http://schemas.openxmlformats.org/officeDocument/2006/relationships/image" Target="../media/image293.jpeg"/><Relationship Id="rId287" Type="http://schemas.openxmlformats.org/officeDocument/2006/relationships/image" Target="../media/image1142.jpeg"/><Relationship Id="rId286" Type="http://schemas.openxmlformats.org/officeDocument/2006/relationships/image" Target="../media/image291.jpeg"/><Relationship Id="rId285" Type="http://schemas.openxmlformats.org/officeDocument/2006/relationships/image" Target="../media/image1141.jpeg"/><Relationship Id="rId284" Type="http://schemas.openxmlformats.org/officeDocument/2006/relationships/image" Target="../media/image1140.jpeg"/><Relationship Id="rId283" Type="http://schemas.openxmlformats.org/officeDocument/2006/relationships/image" Target="../media/image288.jpeg"/><Relationship Id="rId282" Type="http://schemas.openxmlformats.org/officeDocument/2006/relationships/image" Target="../media/image287.jpeg"/><Relationship Id="rId281" Type="http://schemas.openxmlformats.org/officeDocument/2006/relationships/image" Target="../media/image286.jpeg"/><Relationship Id="rId280" Type="http://schemas.openxmlformats.org/officeDocument/2006/relationships/image" Target="../media/image1139.png"/><Relationship Id="rId28" Type="http://schemas.openxmlformats.org/officeDocument/2006/relationships/image" Target="../media/image992.jpeg"/><Relationship Id="rId279" Type="http://schemas.openxmlformats.org/officeDocument/2006/relationships/image" Target="../media/image1138.jpeg"/><Relationship Id="rId278" Type="http://schemas.openxmlformats.org/officeDocument/2006/relationships/image" Target="../media/image1137.jpeg"/><Relationship Id="rId277" Type="http://schemas.openxmlformats.org/officeDocument/2006/relationships/image" Target="../media/image1136.jpeg"/><Relationship Id="rId276" Type="http://schemas.openxmlformats.org/officeDocument/2006/relationships/image" Target="../media/image1135.png"/><Relationship Id="rId275" Type="http://schemas.openxmlformats.org/officeDocument/2006/relationships/image" Target="../media/image1134.png"/><Relationship Id="rId274" Type="http://schemas.openxmlformats.org/officeDocument/2006/relationships/image" Target="../media/image1133.jpeg"/><Relationship Id="rId273" Type="http://schemas.openxmlformats.org/officeDocument/2006/relationships/image" Target="../media/image1132.jpeg"/><Relationship Id="rId272" Type="http://schemas.openxmlformats.org/officeDocument/2006/relationships/image" Target="../media/image1131.jpeg"/><Relationship Id="rId271" Type="http://schemas.openxmlformats.org/officeDocument/2006/relationships/image" Target="../media/image1130.jpeg"/><Relationship Id="rId270" Type="http://schemas.openxmlformats.org/officeDocument/2006/relationships/image" Target="../media/image1129.jpeg"/><Relationship Id="rId27" Type="http://schemas.openxmlformats.org/officeDocument/2006/relationships/image" Target="../media/image991.jpeg"/><Relationship Id="rId269" Type="http://schemas.openxmlformats.org/officeDocument/2006/relationships/image" Target="../media/image1128.png"/><Relationship Id="rId268" Type="http://schemas.openxmlformats.org/officeDocument/2006/relationships/image" Target="../media/image1127.jpeg"/><Relationship Id="rId267" Type="http://schemas.openxmlformats.org/officeDocument/2006/relationships/image" Target="../media/image272.jpeg"/><Relationship Id="rId266" Type="http://schemas.openxmlformats.org/officeDocument/2006/relationships/image" Target="../media/image271.jpeg"/><Relationship Id="rId265" Type="http://schemas.openxmlformats.org/officeDocument/2006/relationships/image" Target="../media/image1126.jpeg"/><Relationship Id="rId264" Type="http://schemas.openxmlformats.org/officeDocument/2006/relationships/image" Target="../media/image269.jpeg"/><Relationship Id="rId263" Type="http://schemas.openxmlformats.org/officeDocument/2006/relationships/image" Target="../media/image268.jpeg"/><Relationship Id="rId262" Type="http://schemas.openxmlformats.org/officeDocument/2006/relationships/image" Target="../media/image267.jpeg"/><Relationship Id="rId261" Type="http://schemas.openxmlformats.org/officeDocument/2006/relationships/image" Target="../media/image266.jpeg"/><Relationship Id="rId260" Type="http://schemas.openxmlformats.org/officeDocument/2006/relationships/image" Target="../media/image265.jpeg"/><Relationship Id="rId26" Type="http://schemas.openxmlformats.org/officeDocument/2006/relationships/image" Target="../media/image990.jpeg"/><Relationship Id="rId259" Type="http://schemas.openxmlformats.org/officeDocument/2006/relationships/image" Target="../media/image264.jpeg"/><Relationship Id="rId258" Type="http://schemas.openxmlformats.org/officeDocument/2006/relationships/image" Target="../media/image1125.jpeg"/><Relationship Id="rId257" Type="http://schemas.openxmlformats.org/officeDocument/2006/relationships/image" Target="../media/image1124.jpeg"/><Relationship Id="rId256" Type="http://schemas.openxmlformats.org/officeDocument/2006/relationships/image" Target="../media/image1123.jpeg"/><Relationship Id="rId255" Type="http://schemas.openxmlformats.org/officeDocument/2006/relationships/image" Target="../media/image1122.jpeg"/><Relationship Id="rId254" Type="http://schemas.openxmlformats.org/officeDocument/2006/relationships/image" Target="../media/image1121.jpeg"/><Relationship Id="rId253" Type="http://schemas.openxmlformats.org/officeDocument/2006/relationships/image" Target="../media/image1120.jpeg"/><Relationship Id="rId252" Type="http://schemas.openxmlformats.org/officeDocument/2006/relationships/image" Target="../media/image1119.jpeg"/><Relationship Id="rId251" Type="http://schemas.openxmlformats.org/officeDocument/2006/relationships/image" Target="../media/image1118.jpeg"/><Relationship Id="rId250" Type="http://schemas.openxmlformats.org/officeDocument/2006/relationships/image" Target="../media/image1117.jpeg"/><Relationship Id="rId25" Type="http://schemas.openxmlformats.org/officeDocument/2006/relationships/image" Target="../media/image989.jpeg"/><Relationship Id="rId249" Type="http://schemas.openxmlformats.org/officeDocument/2006/relationships/image" Target="../media/image1116.jpeg"/><Relationship Id="rId248" Type="http://schemas.openxmlformats.org/officeDocument/2006/relationships/image" Target="../media/image1115.jpeg"/><Relationship Id="rId247" Type="http://schemas.openxmlformats.org/officeDocument/2006/relationships/image" Target="../media/image1114.jpeg"/><Relationship Id="rId246" Type="http://schemas.openxmlformats.org/officeDocument/2006/relationships/image" Target="../media/image1113.jpeg"/><Relationship Id="rId245" Type="http://schemas.openxmlformats.org/officeDocument/2006/relationships/image" Target="../media/image1112.jpeg"/><Relationship Id="rId244" Type="http://schemas.openxmlformats.org/officeDocument/2006/relationships/image" Target="../media/image1111.jpeg"/><Relationship Id="rId243" Type="http://schemas.openxmlformats.org/officeDocument/2006/relationships/image" Target="../media/image1110.png"/><Relationship Id="rId242" Type="http://schemas.openxmlformats.org/officeDocument/2006/relationships/image" Target="../media/image247.png"/><Relationship Id="rId241" Type="http://schemas.openxmlformats.org/officeDocument/2006/relationships/image" Target="../media/image246.png"/><Relationship Id="rId240" Type="http://schemas.openxmlformats.org/officeDocument/2006/relationships/image" Target="../media/image245.png"/><Relationship Id="rId24" Type="http://schemas.openxmlformats.org/officeDocument/2006/relationships/image" Target="../media/image988.jpeg"/><Relationship Id="rId239" Type="http://schemas.openxmlformats.org/officeDocument/2006/relationships/image" Target="../media/image244.png"/><Relationship Id="rId238" Type="http://schemas.openxmlformats.org/officeDocument/2006/relationships/image" Target="../media/image243.jpeg"/><Relationship Id="rId237" Type="http://schemas.openxmlformats.org/officeDocument/2006/relationships/image" Target="../media/image242.jpeg"/><Relationship Id="rId236" Type="http://schemas.openxmlformats.org/officeDocument/2006/relationships/image" Target="../media/image241.jpeg"/><Relationship Id="rId235" Type="http://schemas.openxmlformats.org/officeDocument/2006/relationships/image" Target="../media/image240.jpeg"/><Relationship Id="rId234" Type="http://schemas.openxmlformats.org/officeDocument/2006/relationships/image" Target="../media/image239.jpeg"/><Relationship Id="rId233" Type="http://schemas.openxmlformats.org/officeDocument/2006/relationships/image" Target="../media/image238.jpeg"/><Relationship Id="rId232" Type="http://schemas.openxmlformats.org/officeDocument/2006/relationships/image" Target="../media/image237.png"/><Relationship Id="rId231" Type="http://schemas.openxmlformats.org/officeDocument/2006/relationships/image" Target="../media/image1109.jpeg"/><Relationship Id="rId230" Type="http://schemas.openxmlformats.org/officeDocument/2006/relationships/image" Target="../media/image1108.jpeg"/><Relationship Id="rId23" Type="http://schemas.openxmlformats.org/officeDocument/2006/relationships/image" Target="../media/image14.jpeg"/><Relationship Id="rId229" Type="http://schemas.openxmlformats.org/officeDocument/2006/relationships/image" Target="../media/image234.jpeg"/><Relationship Id="rId228" Type="http://schemas.openxmlformats.org/officeDocument/2006/relationships/image" Target="../media/image1107.jpeg"/><Relationship Id="rId227" Type="http://schemas.openxmlformats.org/officeDocument/2006/relationships/image" Target="../media/image231.jpeg"/><Relationship Id="rId226" Type="http://schemas.openxmlformats.org/officeDocument/2006/relationships/image" Target="../media/image230.jpeg"/><Relationship Id="rId225" Type="http://schemas.openxmlformats.org/officeDocument/2006/relationships/image" Target="../media/image229.jpeg"/><Relationship Id="rId224" Type="http://schemas.openxmlformats.org/officeDocument/2006/relationships/image" Target="../media/image228.png"/><Relationship Id="rId223" Type="http://schemas.openxmlformats.org/officeDocument/2006/relationships/image" Target="../media/image227.jpeg"/><Relationship Id="rId222" Type="http://schemas.openxmlformats.org/officeDocument/2006/relationships/image" Target="../media/image1106.jpeg"/><Relationship Id="rId221" Type="http://schemas.openxmlformats.org/officeDocument/2006/relationships/image" Target="../media/image225.jpeg"/><Relationship Id="rId220" Type="http://schemas.openxmlformats.org/officeDocument/2006/relationships/image" Target="../media/image224.jpeg"/><Relationship Id="rId22" Type="http://schemas.openxmlformats.org/officeDocument/2006/relationships/image" Target="../media/image987.jpeg"/><Relationship Id="rId219" Type="http://schemas.openxmlformats.org/officeDocument/2006/relationships/image" Target="../media/image222.jpeg"/><Relationship Id="rId218" Type="http://schemas.openxmlformats.org/officeDocument/2006/relationships/image" Target="../media/image221.jpeg"/><Relationship Id="rId217" Type="http://schemas.openxmlformats.org/officeDocument/2006/relationships/image" Target="../media/image220.jpeg"/><Relationship Id="rId216" Type="http://schemas.openxmlformats.org/officeDocument/2006/relationships/image" Target="../media/image219.jpeg"/><Relationship Id="rId215" Type="http://schemas.openxmlformats.org/officeDocument/2006/relationships/image" Target="../media/image218.jpeg"/><Relationship Id="rId214" Type="http://schemas.openxmlformats.org/officeDocument/2006/relationships/image" Target="../media/image217.jpeg"/><Relationship Id="rId213" Type="http://schemas.openxmlformats.org/officeDocument/2006/relationships/image" Target="../media/image216.png"/><Relationship Id="rId212" Type="http://schemas.openxmlformats.org/officeDocument/2006/relationships/image" Target="../media/image215.jpeg"/><Relationship Id="rId211" Type="http://schemas.openxmlformats.org/officeDocument/2006/relationships/image" Target="../media/image214.png"/><Relationship Id="rId210" Type="http://schemas.openxmlformats.org/officeDocument/2006/relationships/image" Target="../media/image213.png"/><Relationship Id="rId21" Type="http://schemas.openxmlformats.org/officeDocument/2006/relationships/image" Target="../media/image986.jpeg"/><Relationship Id="rId209" Type="http://schemas.openxmlformats.org/officeDocument/2006/relationships/image" Target="../media/image212.png"/><Relationship Id="rId208" Type="http://schemas.openxmlformats.org/officeDocument/2006/relationships/image" Target="../media/image211.png"/><Relationship Id="rId207" Type="http://schemas.openxmlformats.org/officeDocument/2006/relationships/image" Target="../media/image210.jpeg"/><Relationship Id="rId206" Type="http://schemas.openxmlformats.org/officeDocument/2006/relationships/image" Target="../media/image209.jpeg"/><Relationship Id="rId205" Type="http://schemas.openxmlformats.org/officeDocument/2006/relationships/image" Target="../media/image208.png"/><Relationship Id="rId204" Type="http://schemas.openxmlformats.org/officeDocument/2006/relationships/image" Target="../media/image207.jpeg"/><Relationship Id="rId203" Type="http://schemas.openxmlformats.org/officeDocument/2006/relationships/image" Target="../media/image206.jpeg"/><Relationship Id="rId202" Type="http://schemas.openxmlformats.org/officeDocument/2006/relationships/image" Target="../media/image205.jpeg"/><Relationship Id="rId201" Type="http://schemas.openxmlformats.org/officeDocument/2006/relationships/image" Target="../media/image204.jpeg"/><Relationship Id="rId200" Type="http://schemas.openxmlformats.org/officeDocument/2006/relationships/image" Target="../media/image203.png"/><Relationship Id="rId20" Type="http://schemas.openxmlformats.org/officeDocument/2006/relationships/image" Target="../media/image985.jpeg"/><Relationship Id="rId2" Type="http://schemas.openxmlformats.org/officeDocument/2006/relationships/image" Target="../media/image970.jpeg"/><Relationship Id="rId199" Type="http://schemas.openxmlformats.org/officeDocument/2006/relationships/image" Target="../media/image202.jpeg"/><Relationship Id="rId198" Type="http://schemas.openxmlformats.org/officeDocument/2006/relationships/image" Target="../media/image201.jpeg"/><Relationship Id="rId197" Type="http://schemas.openxmlformats.org/officeDocument/2006/relationships/image" Target="../media/image200.jpeg"/><Relationship Id="rId196" Type="http://schemas.openxmlformats.org/officeDocument/2006/relationships/image" Target="../media/image199.jpeg"/><Relationship Id="rId195" Type="http://schemas.openxmlformats.org/officeDocument/2006/relationships/image" Target="../media/image198.jpeg"/><Relationship Id="rId194" Type="http://schemas.openxmlformats.org/officeDocument/2006/relationships/image" Target="../media/image197.jpeg"/><Relationship Id="rId193" Type="http://schemas.openxmlformats.org/officeDocument/2006/relationships/image" Target="../media/image196.jpeg"/><Relationship Id="rId192" Type="http://schemas.openxmlformats.org/officeDocument/2006/relationships/image" Target="../media/image195.jpeg"/><Relationship Id="rId191" Type="http://schemas.openxmlformats.org/officeDocument/2006/relationships/image" Target="../media/image194.jpeg"/><Relationship Id="rId190" Type="http://schemas.openxmlformats.org/officeDocument/2006/relationships/image" Target="../media/image193.jpeg"/><Relationship Id="rId19" Type="http://schemas.openxmlformats.org/officeDocument/2006/relationships/image" Target="../media/image984.jpeg"/><Relationship Id="rId189" Type="http://schemas.openxmlformats.org/officeDocument/2006/relationships/image" Target="../media/image1105.jpeg"/><Relationship Id="rId188" Type="http://schemas.openxmlformats.org/officeDocument/2006/relationships/image" Target="../media/image1104.jpeg"/><Relationship Id="rId187" Type="http://schemas.openxmlformats.org/officeDocument/2006/relationships/image" Target="../media/image1103.jpeg"/><Relationship Id="rId186" Type="http://schemas.openxmlformats.org/officeDocument/2006/relationships/image" Target="../media/image1102.jpeg"/><Relationship Id="rId185" Type="http://schemas.openxmlformats.org/officeDocument/2006/relationships/image" Target="../media/image1101.jpeg"/><Relationship Id="rId184" Type="http://schemas.openxmlformats.org/officeDocument/2006/relationships/image" Target="../media/image1100.jpeg"/><Relationship Id="rId183" Type="http://schemas.openxmlformats.org/officeDocument/2006/relationships/image" Target="../media/image1099.jpeg"/><Relationship Id="rId182" Type="http://schemas.openxmlformats.org/officeDocument/2006/relationships/image" Target="../media/image1098.jpeg"/><Relationship Id="rId181" Type="http://schemas.openxmlformats.org/officeDocument/2006/relationships/image" Target="../media/image1097.jpeg"/><Relationship Id="rId180" Type="http://schemas.openxmlformats.org/officeDocument/2006/relationships/image" Target="../media/image1096.jpeg"/><Relationship Id="rId18" Type="http://schemas.openxmlformats.org/officeDocument/2006/relationships/image" Target="../media/image983.jpeg"/><Relationship Id="rId179" Type="http://schemas.openxmlformats.org/officeDocument/2006/relationships/image" Target="../media/image1095.jpeg"/><Relationship Id="rId178" Type="http://schemas.openxmlformats.org/officeDocument/2006/relationships/image" Target="../media/image1094.png"/><Relationship Id="rId177" Type="http://schemas.openxmlformats.org/officeDocument/2006/relationships/image" Target="../media/image180.jpeg"/><Relationship Id="rId176" Type="http://schemas.openxmlformats.org/officeDocument/2006/relationships/image" Target="../media/image1093.png"/><Relationship Id="rId175" Type="http://schemas.openxmlformats.org/officeDocument/2006/relationships/image" Target="../media/image1092.jpeg"/><Relationship Id="rId174" Type="http://schemas.openxmlformats.org/officeDocument/2006/relationships/image" Target="../media/image1091.jpeg"/><Relationship Id="rId173" Type="http://schemas.openxmlformats.org/officeDocument/2006/relationships/image" Target="../media/image176.png"/><Relationship Id="rId172" Type="http://schemas.openxmlformats.org/officeDocument/2006/relationships/image" Target="../media/image1090.jpeg"/><Relationship Id="rId171" Type="http://schemas.openxmlformats.org/officeDocument/2006/relationships/image" Target="../media/image1089.png"/><Relationship Id="rId170" Type="http://schemas.openxmlformats.org/officeDocument/2006/relationships/image" Target="../media/image1088.png"/><Relationship Id="rId17" Type="http://schemas.openxmlformats.org/officeDocument/2006/relationships/image" Target="../media/image18.jpeg"/><Relationship Id="rId169" Type="http://schemas.openxmlformats.org/officeDocument/2006/relationships/image" Target="../media/image1087.jpeg"/><Relationship Id="rId168" Type="http://schemas.openxmlformats.org/officeDocument/2006/relationships/image" Target="../media/image171.jpeg"/><Relationship Id="rId167" Type="http://schemas.openxmlformats.org/officeDocument/2006/relationships/image" Target="../media/image170.jpeg"/><Relationship Id="rId166" Type="http://schemas.openxmlformats.org/officeDocument/2006/relationships/image" Target="../media/image169.jpeg"/><Relationship Id="rId165" Type="http://schemas.openxmlformats.org/officeDocument/2006/relationships/image" Target="../media/image168.jpeg"/><Relationship Id="rId164" Type="http://schemas.openxmlformats.org/officeDocument/2006/relationships/image" Target="../media/image167.jpeg"/><Relationship Id="rId163" Type="http://schemas.openxmlformats.org/officeDocument/2006/relationships/image" Target="../media/image166.jpeg"/><Relationship Id="rId162" Type="http://schemas.openxmlformats.org/officeDocument/2006/relationships/image" Target="../media/image165.jpeg"/><Relationship Id="rId161" Type="http://schemas.openxmlformats.org/officeDocument/2006/relationships/image" Target="../media/image1086.jpeg"/><Relationship Id="rId160" Type="http://schemas.openxmlformats.org/officeDocument/2006/relationships/image" Target="../media/image1085.jpeg"/><Relationship Id="rId16" Type="http://schemas.openxmlformats.org/officeDocument/2006/relationships/image" Target="../media/image982.jpeg"/><Relationship Id="rId159" Type="http://schemas.openxmlformats.org/officeDocument/2006/relationships/image" Target="../media/image1084.png"/><Relationship Id="rId158" Type="http://schemas.openxmlformats.org/officeDocument/2006/relationships/image" Target="../media/image1083.png"/><Relationship Id="rId157" Type="http://schemas.openxmlformats.org/officeDocument/2006/relationships/image" Target="../media/image1082.png"/><Relationship Id="rId156" Type="http://schemas.openxmlformats.org/officeDocument/2006/relationships/image" Target="../media/image1081.jpeg"/><Relationship Id="rId155" Type="http://schemas.openxmlformats.org/officeDocument/2006/relationships/image" Target="../media/image1080.jpeg"/><Relationship Id="rId154" Type="http://schemas.openxmlformats.org/officeDocument/2006/relationships/image" Target="../media/image157.jpeg"/><Relationship Id="rId153" Type="http://schemas.openxmlformats.org/officeDocument/2006/relationships/image" Target="../media/image1079.jpeg"/><Relationship Id="rId152" Type="http://schemas.openxmlformats.org/officeDocument/2006/relationships/image" Target="../media/image1078.jpeg"/><Relationship Id="rId151" Type="http://schemas.openxmlformats.org/officeDocument/2006/relationships/image" Target="../media/image1077.jpeg"/><Relationship Id="rId150" Type="http://schemas.openxmlformats.org/officeDocument/2006/relationships/image" Target="../media/image1076.jpeg"/><Relationship Id="rId15" Type="http://schemas.openxmlformats.org/officeDocument/2006/relationships/image" Target="../media/image981.jpeg"/><Relationship Id="rId149" Type="http://schemas.openxmlformats.org/officeDocument/2006/relationships/image" Target="../media/image152.jpeg"/><Relationship Id="rId148" Type="http://schemas.openxmlformats.org/officeDocument/2006/relationships/image" Target="../media/image1075.jpeg"/><Relationship Id="rId147" Type="http://schemas.openxmlformats.org/officeDocument/2006/relationships/image" Target="../media/image1074.jpeg"/><Relationship Id="rId146" Type="http://schemas.openxmlformats.org/officeDocument/2006/relationships/image" Target="../media/image1073.jpeg"/><Relationship Id="rId145" Type="http://schemas.openxmlformats.org/officeDocument/2006/relationships/image" Target="../media/image1072.jpeg"/><Relationship Id="rId144" Type="http://schemas.openxmlformats.org/officeDocument/2006/relationships/image" Target="../media/image1071.jpeg"/><Relationship Id="rId143" Type="http://schemas.openxmlformats.org/officeDocument/2006/relationships/image" Target="../media/image146.jpeg"/><Relationship Id="rId142" Type="http://schemas.openxmlformats.org/officeDocument/2006/relationships/image" Target="../media/image145.jpeg"/><Relationship Id="rId141" Type="http://schemas.openxmlformats.org/officeDocument/2006/relationships/image" Target="../media/image144.jpeg"/><Relationship Id="rId140" Type="http://schemas.openxmlformats.org/officeDocument/2006/relationships/image" Target="../media/image143.jpeg"/><Relationship Id="rId14" Type="http://schemas.openxmlformats.org/officeDocument/2006/relationships/image" Target="../media/image980.jpeg"/><Relationship Id="rId139" Type="http://schemas.openxmlformats.org/officeDocument/2006/relationships/image" Target="../media/image142.jpeg"/><Relationship Id="rId138" Type="http://schemas.openxmlformats.org/officeDocument/2006/relationships/image" Target="../media/image1070.jpeg"/><Relationship Id="rId137" Type="http://schemas.openxmlformats.org/officeDocument/2006/relationships/image" Target="../media/image1069.jpeg"/><Relationship Id="rId136" Type="http://schemas.openxmlformats.org/officeDocument/2006/relationships/image" Target="../media/image139.jpeg"/><Relationship Id="rId135" Type="http://schemas.openxmlformats.org/officeDocument/2006/relationships/image" Target="../media/image138.jpeg"/><Relationship Id="rId134" Type="http://schemas.openxmlformats.org/officeDocument/2006/relationships/image" Target="../media/image137.jpeg"/><Relationship Id="rId133" Type="http://schemas.openxmlformats.org/officeDocument/2006/relationships/image" Target="../media/image136.jpeg"/><Relationship Id="rId132" Type="http://schemas.openxmlformats.org/officeDocument/2006/relationships/image" Target="../media/image135.jpeg"/><Relationship Id="rId131" Type="http://schemas.openxmlformats.org/officeDocument/2006/relationships/image" Target="../media/image134.jpeg"/><Relationship Id="rId130" Type="http://schemas.openxmlformats.org/officeDocument/2006/relationships/image" Target="../media/image133.jpeg"/><Relationship Id="rId13" Type="http://schemas.openxmlformats.org/officeDocument/2006/relationships/image" Target="../media/image979.jpeg"/><Relationship Id="rId129" Type="http://schemas.openxmlformats.org/officeDocument/2006/relationships/image" Target="../media/image132.jpeg"/><Relationship Id="rId128" Type="http://schemas.openxmlformats.org/officeDocument/2006/relationships/image" Target="../media/image131.png"/><Relationship Id="rId127" Type="http://schemas.openxmlformats.org/officeDocument/2006/relationships/image" Target="../media/image130.png"/><Relationship Id="rId126" Type="http://schemas.openxmlformats.org/officeDocument/2006/relationships/image" Target="../media/image129.png"/><Relationship Id="rId125" Type="http://schemas.openxmlformats.org/officeDocument/2006/relationships/image" Target="../media/image128.png"/><Relationship Id="rId124" Type="http://schemas.openxmlformats.org/officeDocument/2006/relationships/image" Target="../media/image127.jpeg"/><Relationship Id="rId123" Type="http://schemas.openxmlformats.org/officeDocument/2006/relationships/image" Target="../media/image126.jpeg"/><Relationship Id="rId122" Type="http://schemas.openxmlformats.org/officeDocument/2006/relationships/image" Target="../media/image125.jpeg"/><Relationship Id="rId121" Type="http://schemas.openxmlformats.org/officeDocument/2006/relationships/image" Target="../media/image1068.jpeg"/><Relationship Id="rId120" Type="http://schemas.openxmlformats.org/officeDocument/2006/relationships/image" Target="../media/image123.jpeg"/><Relationship Id="rId12" Type="http://schemas.openxmlformats.org/officeDocument/2006/relationships/image" Target="../media/image978.jpeg"/><Relationship Id="rId119" Type="http://schemas.openxmlformats.org/officeDocument/2006/relationships/image" Target="../media/image1067.jpeg"/><Relationship Id="rId118" Type="http://schemas.openxmlformats.org/officeDocument/2006/relationships/image" Target="../media/image121.jpeg"/><Relationship Id="rId117" Type="http://schemas.openxmlformats.org/officeDocument/2006/relationships/image" Target="../media/image1066.jpeg"/><Relationship Id="rId116" Type="http://schemas.openxmlformats.org/officeDocument/2006/relationships/image" Target="../media/image1065.jpeg"/><Relationship Id="rId115" Type="http://schemas.openxmlformats.org/officeDocument/2006/relationships/image" Target="../media/image1064.jpeg"/><Relationship Id="rId114" Type="http://schemas.openxmlformats.org/officeDocument/2006/relationships/image" Target="../media/image1063.jpeg"/><Relationship Id="rId113" Type="http://schemas.openxmlformats.org/officeDocument/2006/relationships/image" Target="../media/image1062.jpeg"/><Relationship Id="rId112" Type="http://schemas.openxmlformats.org/officeDocument/2006/relationships/image" Target="../media/image1061.jpeg"/><Relationship Id="rId111" Type="http://schemas.openxmlformats.org/officeDocument/2006/relationships/image" Target="../media/image1060.jpeg"/><Relationship Id="rId110" Type="http://schemas.openxmlformats.org/officeDocument/2006/relationships/image" Target="../media/image1059.jpeg"/><Relationship Id="rId11" Type="http://schemas.openxmlformats.org/officeDocument/2006/relationships/image" Target="../media/image977.jpeg"/><Relationship Id="rId109" Type="http://schemas.openxmlformats.org/officeDocument/2006/relationships/image" Target="../media/image1058.jpeg"/><Relationship Id="rId108" Type="http://schemas.openxmlformats.org/officeDocument/2006/relationships/image" Target="../media/image1057.jpeg"/><Relationship Id="rId107" Type="http://schemas.openxmlformats.org/officeDocument/2006/relationships/image" Target="../media/image1056.jpeg"/><Relationship Id="rId106" Type="http://schemas.openxmlformats.org/officeDocument/2006/relationships/image" Target="../media/image109.jpeg"/><Relationship Id="rId105" Type="http://schemas.openxmlformats.org/officeDocument/2006/relationships/image" Target="../media/image108.jpeg"/><Relationship Id="rId104" Type="http://schemas.openxmlformats.org/officeDocument/2006/relationships/image" Target="../media/image1055.jpeg"/><Relationship Id="rId103" Type="http://schemas.openxmlformats.org/officeDocument/2006/relationships/image" Target="../media/image1054.jpeg"/><Relationship Id="rId102" Type="http://schemas.openxmlformats.org/officeDocument/2006/relationships/image" Target="../media/image1053.jpeg"/><Relationship Id="rId101" Type="http://schemas.openxmlformats.org/officeDocument/2006/relationships/image" Target="../media/image1052.jpeg"/><Relationship Id="rId100" Type="http://schemas.openxmlformats.org/officeDocument/2006/relationships/image" Target="../media/image1051.jpeg"/><Relationship Id="rId10" Type="http://schemas.openxmlformats.org/officeDocument/2006/relationships/image" Target="../media/image976.jpeg"/><Relationship Id="rId1" Type="http://schemas.openxmlformats.org/officeDocument/2006/relationships/image" Target="../media/image969.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800100</xdr:colOff>
      <xdr:row>629</xdr:row>
      <xdr:rowOff>215900</xdr:rowOff>
    </xdr:from>
    <xdr:to>
      <xdr:col>0</xdr:col>
      <xdr:colOff>1088887</xdr:colOff>
      <xdr:row>663</xdr:row>
      <xdr:rowOff>207747</xdr:rowOff>
    </xdr:to>
    <xdr:sp>
      <xdr:nvSpPr>
        <xdr:cNvPr id="11644" name="AutoShape 2485"/>
        <xdr:cNvSpPr>
          <a:spLocks noChangeAspect="1" noChangeArrowheads="1"/>
        </xdr:cNvSpPr>
      </xdr:nvSpPr>
      <xdr:spPr>
        <a:xfrm>
          <a:off x="800100" y="3996944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xdr:cNvPicPr>
          <a:picLocks noChangeAspect="1"/>
        </xdr:cNvPicPr>
      </xdr:nvPicPr>
      <xdr:blipFill>
        <a:blip r:embed="rId1" cstate="email"/>
        <a:stretch>
          <a:fillRect/>
        </a:stretch>
      </xdr:blipFill>
      <xdr:spPr>
        <a:xfrm>
          <a:off x="938530" y="542417000"/>
          <a:ext cx="697230" cy="571500"/>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xdr:cNvPicPr>
          <a:picLocks noChangeAspect="1"/>
        </xdr:cNvPicPr>
      </xdr:nvPicPr>
      <xdr:blipFill>
        <a:blip r:embed="rId2" cstate="email"/>
        <a:stretch>
          <a:fillRect/>
        </a:stretch>
      </xdr:blipFill>
      <xdr:spPr>
        <a:xfrm>
          <a:off x="1114425" y="1997710"/>
          <a:ext cx="521335" cy="619125"/>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xdr:cNvPicPr>
          <a:picLocks noChangeAspect="1"/>
        </xdr:cNvPicPr>
      </xdr:nvPicPr>
      <xdr:blipFill>
        <a:blip r:embed="rId3" cstate="email"/>
        <a:stretch>
          <a:fillRect/>
        </a:stretch>
      </xdr:blipFill>
      <xdr:spPr>
        <a:xfrm>
          <a:off x="1130935" y="1348105"/>
          <a:ext cx="504825" cy="626745"/>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xdr:cNvPicPr>
          <a:picLocks noChangeAspect="1"/>
        </xdr:cNvPicPr>
      </xdr:nvPicPr>
      <xdr:blipFill>
        <a:blip r:embed="rId4" cstate="email"/>
        <a:stretch>
          <a:fillRect/>
        </a:stretch>
      </xdr:blipFill>
      <xdr:spPr>
        <a:xfrm>
          <a:off x="1116330" y="731520"/>
          <a:ext cx="519430" cy="608330"/>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xdr:cNvPicPr>
          <a:picLocks noChangeAspect="1"/>
        </xdr:cNvPicPr>
      </xdr:nvPicPr>
      <xdr:blipFill>
        <a:blip r:embed="rId5" cstate="email"/>
        <a:stretch>
          <a:fillRect/>
        </a:stretch>
      </xdr:blipFill>
      <xdr:spPr>
        <a:xfrm>
          <a:off x="1082040" y="2630805"/>
          <a:ext cx="553720" cy="587375"/>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xdr:cNvPicPr>
          <a:picLocks noChangeAspect="1"/>
        </xdr:cNvPicPr>
      </xdr:nvPicPr>
      <xdr:blipFill>
        <a:blip r:embed="rId6" cstate="email"/>
        <a:stretch>
          <a:fillRect/>
        </a:stretch>
      </xdr:blipFill>
      <xdr:spPr>
        <a:xfrm>
          <a:off x="1082040" y="3316605"/>
          <a:ext cx="553720" cy="556895"/>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xdr:cNvPicPr>
          <a:picLocks noChangeAspect="1"/>
        </xdr:cNvPicPr>
      </xdr:nvPicPr>
      <xdr:blipFill>
        <a:blip r:embed="rId7" cstate="email"/>
        <a:stretch>
          <a:fillRect/>
        </a:stretch>
      </xdr:blipFill>
      <xdr:spPr>
        <a:xfrm>
          <a:off x="1056640" y="5214620"/>
          <a:ext cx="579120" cy="612140"/>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xdr:cNvPicPr>
          <a:picLocks noChangeAspect="1"/>
        </xdr:cNvPicPr>
      </xdr:nvPicPr>
      <xdr:blipFill>
        <a:blip r:embed="rId8" cstate="email"/>
        <a:stretch>
          <a:fillRect/>
        </a:stretch>
      </xdr:blipFill>
      <xdr:spPr>
        <a:xfrm>
          <a:off x="1076960" y="5849620"/>
          <a:ext cx="556260" cy="612140"/>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xdr:cNvPicPr>
          <a:picLocks noChangeAspect="1"/>
        </xdr:cNvPicPr>
      </xdr:nvPicPr>
      <xdr:blipFill>
        <a:blip r:embed="rId9" cstate="email"/>
        <a:stretch>
          <a:fillRect/>
        </a:stretch>
      </xdr:blipFill>
      <xdr:spPr>
        <a:xfrm>
          <a:off x="1061085" y="6489700"/>
          <a:ext cx="537210" cy="558800"/>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xdr:cNvPicPr>
          <a:picLocks noChangeAspect="1"/>
        </xdr:cNvPicPr>
      </xdr:nvPicPr>
      <xdr:blipFill>
        <a:blip r:embed="rId10" cstate="email"/>
        <a:stretch>
          <a:fillRect/>
        </a:stretch>
      </xdr:blipFill>
      <xdr:spPr>
        <a:xfrm>
          <a:off x="1109980" y="7085330"/>
          <a:ext cx="513715" cy="600075"/>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xdr:cNvPicPr>
          <a:picLocks noChangeAspect="1"/>
        </xdr:cNvPicPr>
      </xdr:nvPicPr>
      <xdr:blipFill>
        <a:blip r:embed="rId11" cstate="email"/>
        <a:stretch>
          <a:fillRect/>
        </a:stretch>
      </xdr:blipFill>
      <xdr:spPr>
        <a:xfrm>
          <a:off x="1116330" y="3940175"/>
          <a:ext cx="519430" cy="568325"/>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xdr:cNvPicPr>
          <a:picLocks noChangeAspect="1"/>
        </xdr:cNvPicPr>
      </xdr:nvPicPr>
      <xdr:blipFill>
        <a:blip r:embed="rId12" cstate="email"/>
        <a:stretch>
          <a:fillRect/>
        </a:stretch>
      </xdr:blipFill>
      <xdr:spPr>
        <a:xfrm>
          <a:off x="1092835" y="4557395"/>
          <a:ext cx="542925" cy="638810"/>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xdr:cNvPicPr>
          <a:picLocks noChangeAspect="1"/>
        </xdr:cNvPicPr>
      </xdr:nvPicPr>
      <xdr:blipFill>
        <a:blip r:embed="rId13" cstate="email"/>
        <a:stretch>
          <a:fillRect/>
        </a:stretch>
      </xdr:blipFill>
      <xdr:spPr>
        <a:xfrm>
          <a:off x="1071880" y="7718425"/>
          <a:ext cx="527050" cy="6007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xdr:cNvPicPr>
          <a:picLocks noChangeAspect="1"/>
        </xdr:cNvPicPr>
      </xdr:nvPicPr>
      <xdr:blipFill>
        <a:blip r:embed="rId14" cstate="email"/>
        <a:stretch>
          <a:fillRect/>
        </a:stretch>
      </xdr:blipFill>
      <xdr:spPr>
        <a:xfrm>
          <a:off x="1068070" y="8356600"/>
          <a:ext cx="534670" cy="592455"/>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xdr:cNvPicPr>
          <a:picLocks noChangeAspect="1"/>
        </xdr:cNvPicPr>
      </xdr:nvPicPr>
      <xdr:blipFill>
        <a:blip r:embed="rId15" cstate="email"/>
        <a:stretch>
          <a:fillRect/>
        </a:stretch>
      </xdr:blipFill>
      <xdr:spPr>
        <a:xfrm>
          <a:off x="1062355" y="8984615"/>
          <a:ext cx="554990" cy="58801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xdr:cNvPicPr>
          <a:picLocks noChangeAspect="1"/>
        </xdr:cNvPicPr>
      </xdr:nvPicPr>
      <xdr:blipFill>
        <a:blip r:embed="rId16" cstate="email"/>
        <a:stretch>
          <a:fillRect/>
        </a:stretch>
      </xdr:blipFill>
      <xdr:spPr>
        <a:xfrm>
          <a:off x="1113155" y="9633585"/>
          <a:ext cx="501650" cy="590550"/>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xdr:cNvPicPr>
          <a:picLocks noChangeAspect="1"/>
        </xdr:cNvPicPr>
      </xdr:nvPicPr>
      <xdr:blipFill>
        <a:blip r:embed="rId17" cstate="email"/>
        <a:stretch>
          <a:fillRect/>
        </a:stretch>
      </xdr:blipFill>
      <xdr:spPr>
        <a:xfrm>
          <a:off x="1117600" y="10269220"/>
          <a:ext cx="504825" cy="598805"/>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xdr:cNvPicPr>
          <a:picLocks noChangeAspect="1"/>
        </xdr:cNvPicPr>
      </xdr:nvPicPr>
      <xdr:blipFill>
        <a:blip r:embed="rId18" cstate="email"/>
        <a:stretch>
          <a:fillRect/>
        </a:stretch>
      </xdr:blipFill>
      <xdr:spPr>
        <a:xfrm>
          <a:off x="1097280" y="10885805"/>
          <a:ext cx="501015" cy="585470"/>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xdr:cNvPicPr>
          <a:picLocks noChangeAspect="1"/>
        </xdr:cNvPicPr>
      </xdr:nvPicPr>
      <xdr:blipFill>
        <a:blip r:embed="rId19" cstate="email"/>
        <a:stretch>
          <a:fillRect/>
        </a:stretch>
      </xdr:blipFill>
      <xdr:spPr>
        <a:xfrm>
          <a:off x="1089660" y="11518900"/>
          <a:ext cx="539750" cy="613410"/>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xdr:cNvPicPr>
          <a:picLocks noChangeAspect="1"/>
        </xdr:cNvPicPr>
      </xdr:nvPicPr>
      <xdr:blipFill>
        <a:blip r:embed="rId20" cstate="email"/>
        <a:stretch>
          <a:fillRect/>
        </a:stretch>
      </xdr:blipFill>
      <xdr:spPr>
        <a:xfrm>
          <a:off x="1130300" y="12183110"/>
          <a:ext cx="505460" cy="580390"/>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xdr:cNvPicPr>
          <a:picLocks noChangeAspect="1"/>
        </xdr:cNvPicPr>
      </xdr:nvPicPr>
      <xdr:blipFill>
        <a:blip r:embed="rId21" cstate="email"/>
        <a:stretch>
          <a:fillRect/>
        </a:stretch>
      </xdr:blipFill>
      <xdr:spPr>
        <a:xfrm>
          <a:off x="1137285" y="12763500"/>
          <a:ext cx="492760" cy="635000"/>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xdr:cNvPicPr>
          <a:picLocks noChangeAspect="1"/>
        </xdr:cNvPicPr>
      </xdr:nvPicPr>
      <xdr:blipFill>
        <a:blip r:embed="rId22" cstate="email"/>
        <a:stretch>
          <a:fillRect/>
        </a:stretch>
      </xdr:blipFill>
      <xdr:spPr>
        <a:xfrm>
          <a:off x="1113155" y="13449300"/>
          <a:ext cx="512445" cy="584200"/>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xdr:cNvPicPr>
          <a:picLocks noChangeAspect="1"/>
        </xdr:cNvPicPr>
      </xdr:nvPicPr>
      <xdr:blipFill>
        <a:blip r:embed="rId23" cstate="email"/>
        <a:stretch>
          <a:fillRect/>
        </a:stretch>
      </xdr:blipFill>
      <xdr:spPr>
        <a:xfrm>
          <a:off x="1159510" y="14077315"/>
          <a:ext cx="476250" cy="591185"/>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xdr:cNvPicPr>
          <a:picLocks noChangeAspect="1"/>
        </xdr:cNvPicPr>
      </xdr:nvPicPr>
      <xdr:blipFill>
        <a:blip r:embed="rId24" cstate="email"/>
        <a:stretch>
          <a:fillRect/>
        </a:stretch>
      </xdr:blipFill>
      <xdr:spPr>
        <a:xfrm>
          <a:off x="1177290" y="14725015"/>
          <a:ext cx="458470" cy="578485"/>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xdr:cNvPicPr>
          <a:picLocks noChangeAspect="1"/>
        </xdr:cNvPicPr>
      </xdr:nvPicPr>
      <xdr:blipFill>
        <a:blip r:embed="rId25" cstate="email"/>
        <a:stretch>
          <a:fillRect/>
        </a:stretch>
      </xdr:blipFill>
      <xdr:spPr>
        <a:xfrm>
          <a:off x="1084580" y="15365730"/>
          <a:ext cx="505460" cy="572770"/>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xdr:cNvPicPr>
          <a:picLocks noChangeAspect="1"/>
        </xdr:cNvPicPr>
      </xdr:nvPicPr>
      <xdr:blipFill>
        <a:blip r:embed="rId26" cstate="email"/>
        <a:stretch>
          <a:fillRect/>
        </a:stretch>
      </xdr:blipFill>
      <xdr:spPr>
        <a:xfrm>
          <a:off x="1193165" y="16014700"/>
          <a:ext cx="442595" cy="558800"/>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xdr:cNvPicPr>
          <a:picLocks noChangeAspect="1"/>
        </xdr:cNvPicPr>
      </xdr:nvPicPr>
      <xdr:blipFill>
        <a:blip r:embed="rId27" cstate="email"/>
        <a:stretch>
          <a:fillRect/>
        </a:stretch>
      </xdr:blipFill>
      <xdr:spPr>
        <a:xfrm>
          <a:off x="1233170" y="16659225"/>
          <a:ext cx="402590" cy="551180"/>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xdr:cNvPicPr>
          <a:picLocks noChangeAspect="1"/>
        </xdr:cNvPicPr>
      </xdr:nvPicPr>
      <xdr:blipFill>
        <a:blip r:embed="rId28" cstate="email"/>
        <a:stretch>
          <a:fillRect/>
        </a:stretch>
      </xdr:blipFill>
      <xdr:spPr>
        <a:xfrm>
          <a:off x="1273810" y="17252315"/>
          <a:ext cx="361950" cy="59118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xdr:cNvPicPr>
          <a:picLocks noChangeAspect="1"/>
        </xdr:cNvPicPr>
      </xdr:nvPicPr>
      <xdr:blipFill>
        <a:blip r:embed="rId29" cstate="email"/>
        <a:stretch>
          <a:fillRect/>
        </a:stretch>
      </xdr:blipFill>
      <xdr:spPr>
        <a:xfrm>
          <a:off x="1253490" y="17868900"/>
          <a:ext cx="382270" cy="6096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xdr:cNvPicPr>
          <a:picLocks noChangeAspect="1"/>
        </xdr:cNvPicPr>
      </xdr:nvPicPr>
      <xdr:blipFill>
        <a:blip r:embed="rId30" cstate="email"/>
        <a:stretch>
          <a:fillRect/>
        </a:stretch>
      </xdr:blipFill>
      <xdr:spPr>
        <a:xfrm>
          <a:off x="1256665" y="18515330"/>
          <a:ext cx="379095" cy="59817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xdr:cNvPicPr>
          <a:picLocks noChangeAspect="1"/>
        </xdr:cNvPicPr>
      </xdr:nvPicPr>
      <xdr:blipFill>
        <a:blip r:embed="rId31" cstate="email"/>
        <a:stretch>
          <a:fillRect/>
        </a:stretch>
      </xdr:blipFill>
      <xdr:spPr>
        <a:xfrm>
          <a:off x="1259840" y="19144615"/>
          <a:ext cx="375920" cy="603885"/>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xdr:cNvPicPr>
          <a:picLocks noChangeAspect="1"/>
        </xdr:cNvPicPr>
      </xdr:nvPicPr>
      <xdr:blipFill>
        <a:blip r:embed="rId32" cstate="email"/>
        <a:stretch>
          <a:fillRect/>
        </a:stretch>
      </xdr:blipFill>
      <xdr:spPr>
        <a:xfrm>
          <a:off x="1259205" y="19782155"/>
          <a:ext cx="376555" cy="601345"/>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xdr:cNvPicPr>
          <a:picLocks noChangeAspect="1"/>
        </xdr:cNvPicPr>
      </xdr:nvPicPr>
      <xdr:blipFill>
        <a:blip r:embed="rId33" cstate="email"/>
        <a:stretch>
          <a:fillRect/>
        </a:stretch>
      </xdr:blipFill>
      <xdr:spPr>
        <a:xfrm>
          <a:off x="1236980" y="20415250"/>
          <a:ext cx="398780" cy="603250"/>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xdr:cNvPicPr>
          <a:picLocks noChangeAspect="1"/>
        </xdr:cNvPicPr>
      </xdr:nvPicPr>
      <xdr:blipFill>
        <a:blip r:embed="rId34" cstate="email"/>
        <a:stretch>
          <a:fillRect/>
        </a:stretch>
      </xdr:blipFill>
      <xdr:spPr>
        <a:xfrm>
          <a:off x="1256665" y="21050250"/>
          <a:ext cx="379095" cy="603250"/>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xdr:cNvPicPr>
          <a:picLocks noChangeAspect="1"/>
        </xdr:cNvPicPr>
      </xdr:nvPicPr>
      <xdr:blipFill>
        <a:blip r:embed="rId35" cstate="email"/>
        <a:stretch>
          <a:fillRect/>
        </a:stretch>
      </xdr:blipFill>
      <xdr:spPr>
        <a:xfrm>
          <a:off x="1140460" y="21731605"/>
          <a:ext cx="475615" cy="535305"/>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xdr:cNvPicPr>
          <a:picLocks noChangeAspect="1"/>
        </xdr:cNvPicPr>
      </xdr:nvPicPr>
      <xdr:blipFill>
        <a:blip r:embed="rId36" cstate="email"/>
        <a:stretch>
          <a:fillRect/>
        </a:stretch>
      </xdr:blipFill>
      <xdr:spPr>
        <a:xfrm>
          <a:off x="1162685" y="22366605"/>
          <a:ext cx="473075" cy="527685"/>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xdr:cNvPicPr>
          <a:picLocks noChangeAspect="1"/>
        </xdr:cNvPicPr>
      </xdr:nvPicPr>
      <xdr:blipFill>
        <a:blip r:embed="rId37" cstate="email"/>
        <a:stretch>
          <a:fillRect/>
        </a:stretch>
      </xdr:blipFill>
      <xdr:spPr>
        <a:xfrm>
          <a:off x="1236980" y="22957155"/>
          <a:ext cx="398780" cy="601345"/>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xdr:cNvPicPr>
          <a:picLocks noChangeAspect="1"/>
        </xdr:cNvPicPr>
      </xdr:nvPicPr>
      <xdr:blipFill>
        <a:blip r:embed="rId38" cstate="email"/>
        <a:stretch>
          <a:fillRect/>
        </a:stretch>
      </xdr:blipFill>
      <xdr:spPr>
        <a:xfrm>
          <a:off x="1236980" y="23592155"/>
          <a:ext cx="398780" cy="60134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xdr:cNvPicPr>
          <a:picLocks noChangeAspect="1"/>
        </xdr:cNvPicPr>
      </xdr:nvPicPr>
      <xdr:blipFill>
        <a:blip r:embed="rId39" cstate="email"/>
        <a:stretch>
          <a:fillRect/>
        </a:stretch>
      </xdr:blipFill>
      <xdr:spPr>
        <a:xfrm>
          <a:off x="1228090" y="24237950"/>
          <a:ext cx="407670" cy="590550"/>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xdr:cNvPicPr>
          <a:picLocks noChangeAspect="1"/>
        </xdr:cNvPicPr>
      </xdr:nvPicPr>
      <xdr:blipFill>
        <a:blip r:embed="rId40" cstate="email"/>
        <a:stretch>
          <a:fillRect/>
        </a:stretch>
      </xdr:blipFill>
      <xdr:spPr>
        <a:xfrm>
          <a:off x="1216660" y="24885650"/>
          <a:ext cx="419100" cy="577850"/>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xdr:cNvPicPr>
          <a:picLocks noChangeAspect="1"/>
        </xdr:cNvPicPr>
      </xdr:nvPicPr>
      <xdr:blipFill>
        <a:blip r:embed="rId41" cstate="email"/>
        <a:stretch>
          <a:fillRect/>
        </a:stretch>
      </xdr:blipFill>
      <xdr:spPr>
        <a:xfrm>
          <a:off x="1057910" y="25509220"/>
          <a:ext cx="577850" cy="583565"/>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xdr:cNvPicPr>
          <a:picLocks noChangeAspect="1"/>
        </xdr:cNvPicPr>
      </xdr:nvPicPr>
      <xdr:blipFill>
        <a:blip r:embed="rId42" cstate="email"/>
        <a:stretch>
          <a:fillRect/>
        </a:stretch>
      </xdr:blipFill>
      <xdr:spPr>
        <a:xfrm>
          <a:off x="1122680" y="26179780"/>
          <a:ext cx="496570" cy="541655"/>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xdr:cNvPicPr>
          <a:picLocks noChangeAspect="1"/>
        </xdr:cNvPicPr>
      </xdr:nvPicPr>
      <xdr:blipFill>
        <a:blip r:embed="rId43" cstate="email"/>
        <a:stretch>
          <a:fillRect/>
        </a:stretch>
      </xdr:blipFill>
      <xdr:spPr>
        <a:xfrm>
          <a:off x="1176020" y="26807160"/>
          <a:ext cx="459740" cy="539750"/>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xdr:cNvPicPr>
          <a:picLocks noChangeAspect="1"/>
        </xdr:cNvPicPr>
      </xdr:nvPicPr>
      <xdr:blipFill>
        <a:blip r:embed="rId44" cstate="email"/>
        <a:stretch>
          <a:fillRect/>
        </a:stretch>
      </xdr:blipFill>
      <xdr:spPr>
        <a:xfrm>
          <a:off x="1085215" y="27476450"/>
          <a:ext cx="474980" cy="50736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xdr:cNvPicPr>
          <a:picLocks noChangeAspect="1"/>
        </xdr:cNvPicPr>
      </xdr:nvPicPr>
      <xdr:blipFill>
        <a:blip r:embed="rId45" cstate="email"/>
        <a:stretch>
          <a:fillRect/>
        </a:stretch>
      </xdr:blipFill>
      <xdr:spPr>
        <a:xfrm>
          <a:off x="1145540" y="28122245"/>
          <a:ext cx="471170" cy="520065"/>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xdr:cNvPicPr>
          <a:picLocks noChangeAspect="1"/>
        </xdr:cNvPicPr>
      </xdr:nvPicPr>
      <xdr:blipFill>
        <a:blip r:embed="rId46" cstate="email"/>
        <a:stretch>
          <a:fillRect/>
        </a:stretch>
      </xdr:blipFill>
      <xdr:spPr>
        <a:xfrm>
          <a:off x="1145540" y="28762960"/>
          <a:ext cx="464820" cy="519430"/>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xdr:cNvPicPr>
          <a:picLocks noChangeAspect="1"/>
        </xdr:cNvPicPr>
      </xdr:nvPicPr>
      <xdr:blipFill>
        <a:blip r:embed="rId47" cstate="email"/>
        <a:stretch>
          <a:fillRect/>
        </a:stretch>
      </xdr:blipFill>
      <xdr:spPr>
        <a:xfrm>
          <a:off x="1114425" y="29401135"/>
          <a:ext cx="497205" cy="516890"/>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xdr:cNvPicPr>
          <a:picLocks noChangeAspect="1"/>
        </xdr:cNvPicPr>
      </xdr:nvPicPr>
      <xdr:blipFill>
        <a:blip r:embed="rId48" cstate="email"/>
        <a:stretch>
          <a:fillRect/>
        </a:stretch>
      </xdr:blipFill>
      <xdr:spPr>
        <a:xfrm>
          <a:off x="1145540" y="30001845"/>
          <a:ext cx="470535" cy="54165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xdr:cNvPicPr>
          <a:picLocks noChangeAspect="1"/>
        </xdr:cNvPicPr>
      </xdr:nvPicPr>
      <xdr:blipFill>
        <a:blip r:embed="rId49" cstate="email"/>
        <a:stretch>
          <a:fillRect/>
        </a:stretch>
      </xdr:blipFill>
      <xdr:spPr>
        <a:xfrm>
          <a:off x="1165860" y="30631130"/>
          <a:ext cx="454025" cy="547370"/>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xdr:cNvPicPr>
          <a:picLocks noChangeAspect="1"/>
        </xdr:cNvPicPr>
      </xdr:nvPicPr>
      <xdr:blipFill>
        <a:blip r:embed="rId50" cstate="email"/>
        <a:stretch>
          <a:fillRect/>
        </a:stretch>
      </xdr:blipFill>
      <xdr:spPr>
        <a:xfrm>
          <a:off x="1125220" y="31270575"/>
          <a:ext cx="481330" cy="544195"/>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xdr:cNvPicPr>
          <a:picLocks noChangeAspect="1"/>
        </xdr:cNvPicPr>
      </xdr:nvPicPr>
      <xdr:blipFill>
        <a:blip r:embed="rId51" cstate="email"/>
        <a:stretch>
          <a:fillRect/>
        </a:stretch>
      </xdr:blipFill>
      <xdr:spPr>
        <a:xfrm>
          <a:off x="1165860" y="31909385"/>
          <a:ext cx="449580" cy="5422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xdr:cNvPicPr>
          <a:picLocks noChangeAspect="1"/>
        </xdr:cNvPicPr>
      </xdr:nvPicPr>
      <xdr:blipFill>
        <a:blip r:embed="rId52" cstate="email"/>
        <a:stretch>
          <a:fillRect/>
        </a:stretch>
      </xdr:blipFill>
      <xdr:spPr>
        <a:xfrm>
          <a:off x="1165860" y="32544385"/>
          <a:ext cx="449580" cy="53911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xdr:cNvPicPr>
          <a:picLocks noChangeAspect="1"/>
        </xdr:cNvPicPr>
      </xdr:nvPicPr>
      <xdr:blipFill>
        <a:blip r:embed="rId53" cstate="email"/>
        <a:stretch>
          <a:fillRect/>
        </a:stretch>
      </xdr:blipFill>
      <xdr:spPr>
        <a:xfrm>
          <a:off x="1205865" y="33183195"/>
          <a:ext cx="417830" cy="535305"/>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xdr:cNvPicPr>
          <a:picLocks noChangeAspect="1"/>
        </xdr:cNvPicPr>
      </xdr:nvPicPr>
      <xdr:blipFill>
        <a:blip r:embed="rId54" cstate="email"/>
        <a:stretch>
          <a:fillRect/>
        </a:stretch>
      </xdr:blipFill>
      <xdr:spPr>
        <a:xfrm>
          <a:off x="1165860" y="33874075"/>
          <a:ext cx="446405" cy="491490"/>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xdr:cNvPicPr>
          <a:picLocks noChangeAspect="1"/>
        </xdr:cNvPicPr>
      </xdr:nvPicPr>
      <xdr:blipFill>
        <a:blip r:embed="rId55" cstate="email"/>
        <a:stretch>
          <a:fillRect/>
        </a:stretch>
      </xdr:blipFill>
      <xdr:spPr>
        <a:xfrm>
          <a:off x="1125220" y="34447480"/>
          <a:ext cx="483870" cy="541020"/>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xdr:cNvPicPr>
          <a:picLocks noChangeAspect="1"/>
        </xdr:cNvPicPr>
      </xdr:nvPicPr>
      <xdr:blipFill>
        <a:blip r:embed="rId55" cstate="email"/>
        <a:stretch>
          <a:fillRect/>
        </a:stretch>
      </xdr:blipFill>
      <xdr:spPr>
        <a:xfrm>
          <a:off x="1125220" y="35082480"/>
          <a:ext cx="483870" cy="541020"/>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xdr:cNvPicPr>
          <a:picLocks noChangeAspect="1"/>
        </xdr:cNvPicPr>
      </xdr:nvPicPr>
      <xdr:blipFill>
        <a:blip r:embed="rId56" cstate="email"/>
        <a:stretch>
          <a:fillRect/>
        </a:stretch>
      </xdr:blipFill>
      <xdr:spPr>
        <a:xfrm>
          <a:off x="1118235" y="35720020"/>
          <a:ext cx="495300" cy="537845"/>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xdr:cNvPicPr>
          <a:picLocks noChangeAspect="1"/>
        </xdr:cNvPicPr>
      </xdr:nvPicPr>
      <xdr:blipFill>
        <a:blip r:embed="rId57" cstate="email"/>
        <a:stretch>
          <a:fillRect/>
        </a:stretch>
      </xdr:blipFill>
      <xdr:spPr>
        <a:xfrm>
          <a:off x="1118235" y="36355020"/>
          <a:ext cx="495300" cy="538480"/>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xdr:cNvPicPr>
          <a:picLocks noChangeAspect="1"/>
        </xdr:cNvPicPr>
      </xdr:nvPicPr>
      <xdr:blipFill>
        <a:blip r:embed="rId58" cstate="email"/>
        <a:stretch>
          <a:fillRect/>
        </a:stretch>
      </xdr:blipFill>
      <xdr:spPr>
        <a:xfrm>
          <a:off x="1092835" y="36933505"/>
          <a:ext cx="542925" cy="608965"/>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xdr:cNvPicPr>
          <a:picLocks noChangeAspect="1"/>
        </xdr:cNvPicPr>
      </xdr:nvPicPr>
      <xdr:blipFill>
        <a:blip r:embed="rId59" cstate="email"/>
        <a:stretch>
          <a:fillRect/>
        </a:stretch>
      </xdr:blipFill>
      <xdr:spPr>
        <a:xfrm>
          <a:off x="1105535" y="37588825"/>
          <a:ext cx="530225" cy="60134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xdr:cNvPicPr>
          <a:picLocks noChangeAspect="1"/>
        </xdr:cNvPicPr>
      </xdr:nvPicPr>
      <xdr:blipFill>
        <a:blip r:embed="rId60" cstate="email"/>
        <a:stretch>
          <a:fillRect/>
        </a:stretch>
      </xdr:blipFill>
      <xdr:spPr>
        <a:xfrm>
          <a:off x="1098550" y="38169850"/>
          <a:ext cx="537210" cy="628650"/>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xdr:cNvPicPr>
          <a:picLocks noChangeAspect="1"/>
        </xdr:cNvPicPr>
      </xdr:nvPicPr>
      <xdr:blipFill>
        <a:blip r:embed="rId61" cstate="email"/>
        <a:stretch>
          <a:fillRect/>
        </a:stretch>
      </xdr:blipFill>
      <xdr:spPr>
        <a:xfrm>
          <a:off x="1155065" y="38799770"/>
          <a:ext cx="480695" cy="638810"/>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xdr:cNvPicPr>
          <a:picLocks noChangeAspect="1"/>
        </xdr:cNvPicPr>
      </xdr:nvPicPr>
      <xdr:blipFill>
        <a:blip r:embed="rId62" cstate="email"/>
        <a:stretch>
          <a:fillRect/>
        </a:stretch>
      </xdr:blipFill>
      <xdr:spPr>
        <a:xfrm>
          <a:off x="1145540" y="39473505"/>
          <a:ext cx="490220" cy="618490"/>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xdr:cNvPicPr>
          <a:picLocks noChangeAspect="1"/>
        </xdr:cNvPicPr>
      </xdr:nvPicPr>
      <xdr:blipFill>
        <a:blip r:embed="rId63" cstate="email"/>
        <a:stretch>
          <a:fillRect/>
        </a:stretch>
      </xdr:blipFill>
      <xdr:spPr>
        <a:xfrm>
          <a:off x="1145540" y="40088185"/>
          <a:ext cx="490220" cy="637540"/>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xdr:cNvPicPr>
          <a:picLocks noChangeAspect="1"/>
        </xdr:cNvPicPr>
      </xdr:nvPicPr>
      <xdr:blipFill>
        <a:blip r:embed="rId64" cstate="email"/>
        <a:stretch>
          <a:fillRect/>
        </a:stretch>
      </xdr:blipFill>
      <xdr:spPr>
        <a:xfrm>
          <a:off x="1145540" y="40732075"/>
          <a:ext cx="490220" cy="625475"/>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xdr:cNvPicPr>
          <a:picLocks noChangeAspect="1"/>
        </xdr:cNvPicPr>
      </xdr:nvPicPr>
      <xdr:blipFill>
        <a:blip r:embed="rId65" cstate="email"/>
        <a:stretch>
          <a:fillRect/>
        </a:stretch>
      </xdr:blipFill>
      <xdr:spPr>
        <a:xfrm>
          <a:off x="1165860" y="41344215"/>
          <a:ext cx="469900" cy="654050"/>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xdr:cNvPicPr>
          <a:picLocks noChangeAspect="1"/>
        </xdr:cNvPicPr>
      </xdr:nvPicPr>
      <xdr:blipFill>
        <a:blip r:embed="rId66" cstate="email"/>
        <a:stretch>
          <a:fillRect/>
        </a:stretch>
      </xdr:blipFill>
      <xdr:spPr>
        <a:xfrm>
          <a:off x="1216660" y="42044620"/>
          <a:ext cx="419100" cy="542925"/>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xdr:cNvPicPr>
          <a:picLocks noChangeAspect="1"/>
        </xdr:cNvPicPr>
      </xdr:nvPicPr>
      <xdr:blipFill>
        <a:blip r:embed="rId66" cstate="email"/>
        <a:stretch>
          <a:fillRect/>
        </a:stretch>
      </xdr:blipFill>
      <xdr:spPr>
        <a:xfrm>
          <a:off x="1216660" y="42679620"/>
          <a:ext cx="419100" cy="542925"/>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xdr:cNvPicPr>
          <a:picLocks noChangeAspect="1"/>
        </xdr:cNvPicPr>
      </xdr:nvPicPr>
      <xdr:blipFill>
        <a:blip r:embed="rId67" cstate="email"/>
        <a:stretch>
          <a:fillRect/>
        </a:stretch>
      </xdr:blipFill>
      <xdr:spPr>
        <a:xfrm>
          <a:off x="1216660" y="43310175"/>
          <a:ext cx="419100" cy="568325"/>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xdr:cNvPicPr>
          <a:picLocks noChangeAspect="1"/>
        </xdr:cNvPicPr>
      </xdr:nvPicPr>
      <xdr:blipFill>
        <a:blip r:embed="rId68" cstate="email"/>
        <a:stretch>
          <a:fillRect/>
        </a:stretch>
      </xdr:blipFill>
      <xdr:spPr>
        <a:xfrm>
          <a:off x="1216660" y="43945175"/>
          <a:ext cx="419100" cy="568325"/>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xdr:cNvPicPr>
          <a:picLocks noChangeAspect="1"/>
        </xdr:cNvPicPr>
      </xdr:nvPicPr>
      <xdr:blipFill>
        <a:blip r:embed="rId69" cstate="email"/>
        <a:stretch>
          <a:fillRect/>
        </a:stretch>
      </xdr:blipFill>
      <xdr:spPr>
        <a:xfrm>
          <a:off x="1207135" y="44548425"/>
          <a:ext cx="428625" cy="600075"/>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xdr:cNvPicPr>
          <a:picLocks noChangeAspect="1"/>
        </xdr:cNvPicPr>
      </xdr:nvPicPr>
      <xdr:blipFill>
        <a:blip r:embed="rId70" cstate="email"/>
        <a:stretch>
          <a:fillRect/>
        </a:stretch>
      </xdr:blipFill>
      <xdr:spPr>
        <a:xfrm>
          <a:off x="1216660" y="45203745"/>
          <a:ext cx="419100" cy="584200"/>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xdr:cNvPicPr>
          <a:picLocks noChangeAspect="1"/>
        </xdr:cNvPicPr>
      </xdr:nvPicPr>
      <xdr:blipFill>
        <a:blip r:embed="rId71" cstate="email"/>
        <a:stretch>
          <a:fillRect/>
        </a:stretch>
      </xdr:blipFill>
      <xdr:spPr>
        <a:xfrm>
          <a:off x="1216660" y="45838110"/>
          <a:ext cx="419100" cy="582930"/>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xdr:cNvPicPr>
          <a:picLocks noChangeAspect="1"/>
        </xdr:cNvPicPr>
      </xdr:nvPicPr>
      <xdr:blipFill>
        <a:blip r:embed="rId72" cstate="email"/>
        <a:stretch>
          <a:fillRect/>
        </a:stretch>
      </xdr:blipFill>
      <xdr:spPr>
        <a:xfrm>
          <a:off x="1256665" y="46475650"/>
          <a:ext cx="379095" cy="571500"/>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xdr:cNvPicPr>
          <a:picLocks noChangeAspect="1"/>
        </xdr:cNvPicPr>
      </xdr:nvPicPr>
      <xdr:blipFill>
        <a:blip r:embed="rId72" cstate="email"/>
        <a:stretch>
          <a:fillRect/>
        </a:stretch>
      </xdr:blipFill>
      <xdr:spPr>
        <a:xfrm>
          <a:off x="1256665" y="47110650"/>
          <a:ext cx="379095" cy="569595"/>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xdr:cNvPicPr>
          <a:picLocks noChangeAspect="1"/>
        </xdr:cNvPicPr>
      </xdr:nvPicPr>
      <xdr:blipFill>
        <a:blip r:embed="rId72" cstate="email"/>
        <a:stretch>
          <a:fillRect/>
        </a:stretch>
      </xdr:blipFill>
      <xdr:spPr>
        <a:xfrm>
          <a:off x="1256665" y="47745650"/>
          <a:ext cx="379095" cy="569595"/>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xdr:cNvPicPr>
          <a:picLocks noChangeAspect="1"/>
        </xdr:cNvPicPr>
      </xdr:nvPicPr>
      <xdr:blipFill>
        <a:blip r:embed="rId73" cstate="email"/>
        <a:stretch>
          <a:fillRect/>
        </a:stretch>
      </xdr:blipFill>
      <xdr:spPr>
        <a:xfrm>
          <a:off x="1256665" y="48376840"/>
          <a:ext cx="379095" cy="553085"/>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xdr:cNvPicPr>
          <a:picLocks noChangeAspect="1"/>
        </xdr:cNvPicPr>
      </xdr:nvPicPr>
      <xdr:blipFill>
        <a:blip r:embed="rId73" cstate="email"/>
        <a:stretch>
          <a:fillRect/>
        </a:stretch>
      </xdr:blipFill>
      <xdr:spPr>
        <a:xfrm>
          <a:off x="1256665" y="49011840"/>
          <a:ext cx="379095" cy="553085"/>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xdr:cNvPicPr>
          <a:picLocks noChangeAspect="1"/>
        </xdr:cNvPicPr>
      </xdr:nvPicPr>
      <xdr:blipFill>
        <a:blip r:embed="rId74" cstate="email"/>
        <a:stretch>
          <a:fillRect/>
        </a:stretch>
      </xdr:blipFill>
      <xdr:spPr>
        <a:xfrm>
          <a:off x="1276985" y="49619535"/>
          <a:ext cx="358775" cy="588645"/>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xdr:cNvPicPr>
          <a:picLocks noChangeAspect="1"/>
        </xdr:cNvPicPr>
      </xdr:nvPicPr>
      <xdr:blipFill>
        <a:blip r:embed="rId75" cstate="email"/>
        <a:stretch>
          <a:fillRect/>
        </a:stretch>
      </xdr:blipFill>
      <xdr:spPr>
        <a:xfrm>
          <a:off x="1256665" y="50256440"/>
          <a:ext cx="379095" cy="582295"/>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xdr:cNvPicPr>
          <a:picLocks noChangeAspect="1"/>
        </xdr:cNvPicPr>
      </xdr:nvPicPr>
      <xdr:blipFill>
        <a:blip r:embed="rId75" cstate="email"/>
        <a:stretch>
          <a:fillRect/>
        </a:stretch>
      </xdr:blipFill>
      <xdr:spPr>
        <a:xfrm>
          <a:off x="1256665" y="50891440"/>
          <a:ext cx="379095" cy="582295"/>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xdr:cNvPicPr>
          <a:picLocks noChangeAspect="1"/>
        </xdr:cNvPicPr>
      </xdr:nvPicPr>
      <xdr:blipFill>
        <a:blip r:embed="rId76" cstate="email"/>
        <a:stretch>
          <a:fillRect/>
        </a:stretch>
      </xdr:blipFill>
      <xdr:spPr>
        <a:xfrm>
          <a:off x="1297305" y="51552475"/>
          <a:ext cx="338455" cy="55562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xdr:cNvPicPr>
          <a:picLocks noChangeAspect="1"/>
        </xdr:cNvPicPr>
      </xdr:nvPicPr>
      <xdr:blipFill>
        <a:blip r:embed="rId76" cstate="email"/>
        <a:stretch>
          <a:fillRect/>
        </a:stretch>
      </xdr:blipFill>
      <xdr:spPr>
        <a:xfrm>
          <a:off x="1297305" y="52187475"/>
          <a:ext cx="338455" cy="55562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xdr:cNvPicPr>
          <a:picLocks noChangeAspect="1"/>
        </xdr:cNvPicPr>
      </xdr:nvPicPr>
      <xdr:blipFill>
        <a:blip r:embed="rId76" cstate="email"/>
        <a:stretch>
          <a:fillRect/>
        </a:stretch>
      </xdr:blipFill>
      <xdr:spPr>
        <a:xfrm>
          <a:off x="1297305" y="52822475"/>
          <a:ext cx="338455" cy="555625"/>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xdr:cNvPicPr>
          <a:picLocks noChangeAspect="1"/>
        </xdr:cNvPicPr>
      </xdr:nvPicPr>
      <xdr:blipFill>
        <a:blip r:embed="rId77" cstate="email"/>
        <a:stretch>
          <a:fillRect/>
        </a:stretch>
      </xdr:blipFill>
      <xdr:spPr>
        <a:xfrm>
          <a:off x="1276985" y="53458110"/>
          <a:ext cx="358775" cy="557530"/>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xdr:cNvPicPr>
          <a:picLocks noChangeAspect="1"/>
        </xdr:cNvPicPr>
      </xdr:nvPicPr>
      <xdr:blipFill>
        <a:blip r:embed="rId77" cstate="email"/>
        <a:stretch>
          <a:fillRect/>
        </a:stretch>
      </xdr:blipFill>
      <xdr:spPr>
        <a:xfrm>
          <a:off x="1276985" y="54093110"/>
          <a:ext cx="358775" cy="557530"/>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xdr:cNvPicPr>
          <a:picLocks noChangeAspect="1"/>
        </xdr:cNvPicPr>
      </xdr:nvPicPr>
      <xdr:blipFill>
        <a:blip r:embed="rId78" cstate="email"/>
        <a:stretch>
          <a:fillRect/>
        </a:stretch>
      </xdr:blipFill>
      <xdr:spPr>
        <a:xfrm>
          <a:off x="1196340" y="54727475"/>
          <a:ext cx="439420" cy="556260"/>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xdr:cNvPicPr>
          <a:picLocks noChangeAspect="1"/>
        </xdr:cNvPicPr>
      </xdr:nvPicPr>
      <xdr:blipFill>
        <a:blip r:embed="rId79" cstate="email"/>
        <a:stretch>
          <a:fillRect/>
        </a:stretch>
      </xdr:blipFill>
      <xdr:spPr>
        <a:xfrm>
          <a:off x="1216660" y="55364380"/>
          <a:ext cx="419100" cy="557530"/>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xdr:cNvPicPr>
          <a:picLocks noChangeAspect="1"/>
        </xdr:cNvPicPr>
      </xdr:nvPicPr>
      <xdr:blipFill>
        <a:blip r:embed="rId80" cstate="email"/>
        <a:stretch>
          <a:fillRect/>
        </a:stretch>
      </xdr:blipFill>
      <xdr:spPr>
        <a:xfrm>
          <a:off x="1196340" y="55965725"/>
          <a:ext cx="439420" cy="596265"/>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xdr:cNvPicPr>
          <a:picLocks noChangeAspect="1"/>
        </xdr:cNvPicPr>
      </xdr:nvPicPr>
      <xdr:blipFill>
        <a:blip r:embed="rId81" cstate="email"/>
        <a:stretch>
          <a:fillRect/>
        </a:stretch>
      </xdr:blipFill>
      <xdr:spPr>
        <a:xfrm>
          <a:off x="1176020" y="56648985"/>
          <a:ext cx="459740" cy="539115"/>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xdr:cNvPicPr>
          <a:picLocks noChangeAspect="1"/>
        </xdr:cNvPicPr>
      </xdr:nvPicPr>
      <xdr:blipFill>
        <a:blip r:embed="rId82" cstate="email"/>
        <a:stretch>
          <a:fillRect/>
        </a:stretch>
      </xdr:blipFill>
      <xdr:spPr>
        <a:xfrm>
          <a:off x="1216660" y="57250965"/>
          <a:ext cx="419100" cy="574040"/>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xdr:cNvPicPr>
          <a:picLocks noChangeAspect="1"/>
        </xdr:cNvPicPr>
      </xdr:nvPicPr>
      <xdr:blipFill>
        <a:blip r:embed="rId83" cstate="email"/>
        <a:stretch>
          <a:fillRect/>
        </a:stretch>
      </xdr:blipFill>
      <xdr:spPr>
        <a:xfrm>
          <a:off x="1228090" y="57894855"/>
          <a:ext cx="407670" cy="563245"/>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xdr:cNvPicPr>
          <a:picLocks noChangeAspect="1"/>
        </xdr:cNvPicPr>
      </xdr:nvPicPr>
      <xdr:blipFill>
        <a:blip r:embed="rId84" cstate="email"/>
        <a:stretch>
          <a:fillRect/>
        </a:stretch>
      </xdr:blipFill>
      <xdr:spPr>
        <a:xfrm>
          <a:off x="1176020" y="58503820"/>
          <a:ext cx="457200" cy="589280"/>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xdr:cNvPicPr>
          <a:picLocks noChangeAspect="1"/>
        </xdr:cNvPicPr>
      </xdr:nvPicPr>
      <xdr:blipFill>
        <a:blip r:embed="rId85" cstate="email"/>
        <a:stretch>
          <a:fillRect/>
        </a:stretch>
      </xdr:blipFill>
      <xdr:spPr>
        <a:xfrm>
          <a:off x="1216660" y="59139455"/>
          <a:ext cx="419100" cy="590550"/>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xdr:cNvPicPr>
          <a:picLocks noChangeAspect="1"/>
        </xdr:cNvPicPr>
      </xdr:nvPicPr>
      <xdr:blipFill>
        <a:blip r:embed="rId86" cstate="email"/>
        <a:stretch>
          <a:fillRect/>
        </a:stretch>
      </xdr:blipFill>
      <xdr:spPr>
        <a:xfrm>
          <a:off x="1216660" y="59824620"/>
          <a:ext cx="419100" cy="542925"/>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xdr:cNvPicPr>
          <a:picLocks noChangeAspect="1"/>
        </xdr:cNvPicPr>
      </xdr:nvPicPr>
      <xdr:blipFill>
        <a:blip r:embed="rId86" cstate="email"/>
        <a:stretch>
          <a:fillRect/>
        </a:stretch>
      </xdr:blipFill>
      <xdr:spPr>
        <a:xfrm>
          <a:off x="1216660" y="60459620"/>
          <a:ext cx="419100" cy="542925"/>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xdr:cNvPicPr>
          <a:picLocks noChangeAspect="1"/>
        </xdr:cNvPicPr>
      </xdr:nvPicPr>
      <xdr:blipFill>
        <a:blip r:embed="rId87" cstate="email"/>
        <a:stretch>
          <a:fillRect/>
        </a:stretch>
      </xdr:blipFill>
      <xdr:spPr>
        <a:xfrm>
          <a:off x="1216660" y="61063505"/>
          <a:ext cx="419100" cy="586740"/>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xdr:cNvPicPr>
          <a:picLocks noChangeAspect="1"/>
        </xdr:cNvPicPr>
      </xdr:nvPicPr>
      <xdr:blipFill>
        <a:blip r:embed="rId88" cstate="email"/>
        <a:stretch>
          <a:fillRect/>
        </a:stretch>
      </xdr:blipFill>
      <xdr:spPr>
        <a:xfrm>
          <a:off x="1216660" y="61695965"/>
          <a:ext cx="419100" cy="574040"/>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xdr:cNvPicPr>
          <a:picLocks noChangeAspect="1"/>
        </xdr:cNvPicPr>
      </xdr:nvPicPr>
      <xdr:blipFill>
        <a:blip r:embed="rId89"/>
        <a:stretch>
          <a:fillRect/>
        </a:stretch>
      </xdr:blipFill>
      <xdr:spPr>
        <a:xfrm>
          <a:off x="1367790" y="62293500"/>
          <a:ext cx="267970" cy="3175"/>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xdr:cNvPicPr>
          <a:picLocks noChangeAspect="1"/>
        </xdr:cNvPicPr>
      </xdr:nvPicPr>
      <xdr:blipFill>
        <a:blip r:embed="rId90"/>
        <a:stretch>
          <a:fillRect/>
        </a:stretch>
      </xdr:blipFill>
      <xdr:spPr>
        <a:xfrm>
          <a:off x="1347470" y="62293500"/>
          <a:ext cx="288290" cy="12065"/>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xdr:cNvPicPr>
          <a:picLocks noChangeAspect="1"/>
        </xdr:cNvPicPr>
      </xdr:nvPicPr>
      <xdr:blipFill>
        <a:blip r:embed="rId91" cstate="email"/>
        <a:stretch>
          <a:fillRect/>
        </a:stretch>
      </xdr:blipFill>
      <xdr:spPr>
        <a:xfrm>
          <a:off x="1236980" y="62331600"/>
          <a:ext cx="398780" cy="577850"/>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xdr:cNvPicPr>
          <a:picLocks noChangeAspect="1"/>
        </xdr:cNvPicPr>
      </xdr:nvPicPr>
      <xdr:blipFill>
        <a:blip r:embed="rId92" cstate="email"/>
        <a:stretch>
          <a:fillRect/>
        </a:stretch>
      </xdr:blipFill>
      <xdr:spPr>
        <a:xfrm>
          <a:off x="1232535" y="62957075"/>
          <a:ext cx="403225" cy="588010"/>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xdr:cNvPicPr>
          <a:picLocks noChangeAspect="1"/>
        </xdr:cNvPicPr>
      </xdr:nvPicPr>
      <xdr:blipFill>
        <a:blip r:embed="rId93" cstate="email"/>
        <a:stretch>
          <a:fillRect/>
        </a:stretch>
      </xdr:blipFill>
      <xdr:spPr>
        <a:xfrm>
          <a:off x="1236980" y="63563500"/>
          <a:ext cx="398780" cy="617220"/>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xdr:cNvPicPr>
          <a:picLocks noChangeAspect="1"/>
        </xdr:cNvPicPr>
      </xdr:nvPicPr>
      <xdr:blipFill>
        <a:blip r:embed="rId94" cstate="email"/>
        <a:stretch>
          <a:fillRect/>
        </a:stretch>
      </xdr:blipFill>
      <xdr:spPr>
        <a:xfrm>
          <a:off x="1256665" y="64269620"/>
          <a:ext cx="379095" cy="542925"/>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xdr:cNvPicPr>
          <a:picLocks noChangeAspect="1"/>
        </xdr:cNvPicPr>
      </xdr:nvPicPr>
      <xdr:blipFill>
        <a:blip r:embed="rId95" cstate="email"/>
        <a:stretch>
          <a:fillRect/>
        </a:stretch>
      </xdr:blipFill>
      <xdr:spPr>
        <a:xfrm>
          <a:off x="1216660" y="64886840"/>
          <a:ext cx="419100" cy="55308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xdr:cNvPicPr>
          <a:picLocks noChangeAspect="1"/>
        </xdr:cNvPicPr>
      </xdr:nvPicPr>
      <xdr:blipFill>
        <a:blip r:embed="rId95" cstate="email"/>
        <a:stretch>
          <a:fillRect/>
        </a:stretch>
      </xdr:blipFill>
      <xdr:spPr>
        <a:xfrm>
          <a:off x="1216660" y="65521840"/>
          <a:ext cx="419100" cy="55308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xdr:cNvPicPr>
          <a:picLocks noChangeAspect="1"/>
        </xdr:cNvPicPr>
      </xdr:nvPicPr>
      <xdr:blipFill>
        <a:blip r:embed="rId96" cstate="email"/>
        <a:stretch>
          <a:fillRect/>
        </a:stretch>
      </xdr:blipFill>
      <xdr:spPr>
        <a:xfrm>
          <a:off x="1166495" y="66146680"/>
          <a:ext cx="466725" cy="564515"/>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xdr:cNvPicPr>
          <a:picLocks noChangeAspect="1"/>
        </xdr:cNvPicPr>
      </xdr:nvPicPr>
      <xdr:blipFill>
        <a:blip r:embed="rId97" cstate="email"/>
        <a:stretch>
          <a:fillRect/>
        </a:stretch>
      </xdr:blipFill>
      <xdr:spPr>
        <a:xfrm>
          <a:off x="1236980" y="66793745"/>
          <a:ext cx="398780" cy="560705"/>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xdr:cNvPicPr>
          <a:picLocks noChangeAspect="1"/>
        </xdr:cNvPicPr>
      </xdr:nvPicPr>
      <xdr:blipFill>
        <a:blip r:embed="rId97" cstate="email"/>
        <a:stretch>
          <a:fillRect/>
        </a:stretch>
      </xdr:blipFill>
      <xdr:spPr>
        <a:xfrm>
          <a:off x="1236980" y="67428745"/>
          <a:ext cx="398780" cy="560705"/>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xdr:cNvPicPr>
          <a:picLocks noChangeAspect="1"/>
        </xdr:cNvPicPr>
      </xdr:nvPicPr>
      <xdr:blipFill>
        <a:blip r:embed="rId98" cstate="email"/>
        <a:stretch>
          <a:fillRect/>
        </a:stretch>
      </xdr:blipFill>
      <xdr:spPr>
        <a:xfrm>
          <a:off x="1256665" y="68078350"/>
          <a:ext cx="379095" cy="536575"/>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xdr:cNvPicPr>
          <a:picLocks noChangeAspect="1"/>
        </xdr:cNvPicPr>
      </xdr:nvPicPr>
      <xdr:blipFill>
        <a:blip r:embed="rId99" cstate="email"/>
        <a:stretch>
          <a:fillRect/>
        </a:stretch>
      </xdr:blipFill>
      <xdr:spPr>
        <a:xfrm>
          <a:off x="1236980" y="68715255"/>
          <a:ext cx="398780" cy="546100"/>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xdr:cNvPicPr>
          <a:picLocks noChangeAspect="1"/>
        </xdr:cNvPicPr>
      </xdr:nvPicPr>
      <xdr:blipFill>
        <a:blip r:embed="rId100" cstate="email"/>
        <a:stretch>
          <a:fillRect/>
        </a:stretch>
      </xdr:blipFill>
      <xdr:spPr>
        <a:xfrm>
          <a:off x="1236980" y="69350255"/>
          <a:ext cx="398780" cy="544195"/>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xdr:cNvPicPr>
          <a:picLocks noChangeAspect="1"/>
        </xdr:cNvPicPr>
      </xdr:nvPicPr>
      <xdr:blipFill>
        <a:blip r:embed="rId100" cstate="email"/>
        <a:stretch>
          <a:fillRect/>
        </a:stretch>
      </xdr:blipFill>
      <xdr:spPr>
        <a:xfrm>
          <a:off x="1236980" y="69985255"/>
          <a:ext cx="398780" cy="544195"/>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xdr:cNvPicPr>
          <a:picLocks noChangeAspect="1"/>
        </xdr:cNvPicPr>
      </xdr:nvPicPr>
      <xdr:blipFill>
        <a:blip r:embed="rId101" cstate="email"/>
        <a:stretch>
          <a:fillRect/>
        </a:stretch>
      </xdr:blipFill>
      <xdr:spPr>
        <a:xfrm>
          <a:off x="1216660" y="70619620"/>
          <a:ext cx="419100" cy="542925"/>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xdr:cNvPicPr>
          <a:picLocks noChangeAspect="1"/>
        </xdr:cNvPicPr>
      </xdr:nvPicPr>
      <xdr:blipFill>
        <a:blip r:embed="rId102" cstate="email"/>
        <a:stretch>
          <a:fillRect/>
        </a:stretch>
      </xdr:blipFill>
      <xdr:spPr>
        <a:xfrm>
          <a:off x="1236980" y="71220330"/>
          <a:ext cx="398780" cy="572135"/>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xdr:cNvPicPr>
          <a:picLocks noChangeAspect="1"/>
        </xdr:cNvPicPr>
      </xdr:nvPicPr>
      <xdr:blipFill>
        <a:blip r:embed="rId102" cstate="email"/>
        <a:stretch>
          <a:fillRect/>
        </a:stretch>
      </xdr:blipFill>
      <xdr:spPr>
        <a:xfrm>
          <a:off x="1236980" y="71855330"/>
          <a:ext cx="398780" cy="572135"/>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xdr:cNvPicPr>
          <a:picLocks noChangeAspect="1"/>
        </xdr:cNvPicPr>
      </xdr:nvPicPr>
      <xdr:blipFill>
        <a:blip r:embed="rId103" cstate="email"/>
        <a:stretch>
          <a:fillRect/>
        </a:stretch>
      </xdr:blipFill>
      <xdr:spPr>
        <a:xfrm>
          <a:off x="1256665" y="72490965"/>
          <a:ext cx="379095" cy="575310"/>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xdr:cNvPicPr>
          <a:picLocks noChangeAspect="1"/>
        </xdr:cNvPicPr>
      </xdr:nvPicPr>
      <xdr:blipFill>
        <a:blip r:embed="rId103" cstate="email"/>
        <a:stretch>
          <a:fillRect/>
        </a:stretch>
      </xdr:blipFill>
      <xdr:spPr>
        <a:xfrm>
          <a:off x="1256665" y="73125965"/>
          <a:ext cx="379095" cy="575310"/>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xdr:cNvPicPr>
          <a:picLocks noChangeAspect="1"/>
        </xdr:cNvPicPr>
      </xdr:nvPicPr>
      <xdr:blipFill>
        <a:blip r:embed="rId104" cstate="email"/>
        <a:stretch>
          <a:fillRect/>
        </a:stretch>
      </xdr:blipFill>
      <xdr:spPr>
        <a:xfrm>
          <a:off x="1236980" y="73776840"/>
          <a:ext cx="398780" cy="551180"/>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xdr:cNvPicPr>
          <a:picLocks noChangeAspect="1"/>
        </xdr:cNvPicPr>
      </xdr:nvPicPr>
      <xdr:blipFill>
        <a:blip r:embed="rId105" cstate="email"/>
        <a:stretch>
          <a:fillRect/>
        </a:stretch>
      </xdr:blipFill>
      <xdr:spPr>
        <a:xfrm>
          <a:off x="1228090" y="74404855"/>
          <a:ext cx="407670" cy="562610"/>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xdr:cNvPicPr>
          <a:picLocks noChangeAspect="1"/>
        </xdr:cNvPicPr>
      </xdr:nvPicPr>
      <xdr:blipFill>
        <a:blip r:embed="rId106" cstate="email"/>
        <a:stretch>
          <a:fillRect/>
        </a:stretch>
      </xdr:blipFill>
      <xdr:spPr>
        <a:xfrm>
          <a:off x="1236980" y="75020170"/>
          <a:ext cx="398780" cy="603250"/>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xdr:cNvPicPr>
          <a:picLocks noChangeAspect="1"/>
        </xdr:cNvPicPr>
      </xdr:nvPicPr>
      <xdr:blipFill>
        <a:blip r:embed="rId107" cstate="email"/>
        <a:stretch>
          <a:fillRect/>
        </a:stretch>
      </xdr:blipFill>
      <xdr:spPr>
        <a:xfrm>
          <a:off x="1276985" y="75665330"/>
          <a:ext cx="358775" cy="570230"/>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xdr:cNvPicPr>
          <a:picLocks noChangeAspect="1"/>
        </xdr:cNvPicPr>
      </xdr:nvPicPr>
      <xdr:blipFill>
        <a:blip r:embed="rId108" cstate="email"/>
        <a:stretch>
          <a:fillRect/>
        </a:stretch>
      </xdr:blipFill>
      <xdr:spPr>
        <a:xfrm>
          <a:off x="1236345" y="76301600"/>
          <a:ext cx="399415" cy="577215"/>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xdr:cNvPicPr>
          <a:picLocks noChangeAspect="1"/>
        </xdr:cNvPicPr>
      </xdr:nvPicPr>
      <xdr:blipFill>
        <a:blip r:embed="rId109" cstate="email"/>
        <a:stretch>
          <a:fillRect/>
        </a:stretch>
      </xdr:blipFill>
      <xdr:spPr>
        <a:xfrm>
          <a:off x="1256665" y="76936600"/>
          <a:ext cx="379095" cy="574675"/>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xdr:cNvPicPr>
          <a:picLocks noChangeAspect="1"/>
        </xdr:cNvPicPr>
      </xdr:nvPicPr>
      <xdr:blipFill>
        <a:blip r:embed="rId110" cstate="email"/>
        <a:stretch>
          <a:fillRect/>
        </a:stretch>
      </xdr:blipFill>
      <xdr:spPr>
        <a:xfrm>
          <a:off x="1216660" y="77588110"/>
          <a:ext cx="419100" cy="560070"/>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xdr:cNvPicPr>
          <a:picLocks noChangeAspect="1"/>
        </xdr:cNvPicPr>
      </xdr:nvPicPr>
      <xdr:blipFill>
        <a:blip r:embed="rId110" cstate="email"/>
        <a:stretch>
          <a:fillRect/>
        </a:stretch>
      </xdr:blipFill>
      <xdr:spPr>
        <a:xfrm>
          <a:off x="1216660" y="78223110"/>
          <a:ext cx="419100" cy="560070"/>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xdr:cNvPicPr>
          <a:picLocks noChangeAspect="1"/>
        </xdr:cNvPicPr>
      </xdr:nvPicPr>
      <xdr:blipFill>
        <a:blip r:embed="rId111" cstate="email"/>
        <a:stretch>
          <a:fillRect/>
        </a:stretch>
      </xdr:blipFill>
      <xdr:spPr>
        <a:xfrm>
          <a:off x="1236980" y="78856840"/>
          <a:ext cx="398780" cy="553085"/>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xdr:cNvPicPr>
          <a:picLocks noChangeAspect="1"/>
        </xdr:cNvPicPr>
      </xdr:nvPicPr>
      <xdr:blipFill>
        <a:blip r:embed="rId112" cstate="email"/>
        <a:stretch>
          <a:fillRect/>
        </a:stretch>
      </xdr:blipFill>
      <xdr:spPr>
        <a:xfrm>
          <a:off x="1216660" y="79493110"/>
          <a:ext cx="419100" cy="55880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xdr:cNvPicPr>
          <a:picLocks noChangeAspect="1"/>
        </xdr:cNvPicPr>
      </xdr:nvPicPr>
      <xdr:blipFill>
        <a:blip r:embed="rId113" cstate="email"/>
        <a:stretch>
          <a:fillRect/>
        </a:stretch>
      </xdr:blipFill>
      <xdr:spPr>
        <a:xfrm>
          <a:off x="1256665" y="80110965"/>
          <a:ext cx="379095" cy="57404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xdr:cNvPicPr>
          <a:picLocks noChangeAspect="1"/>
        </xdr:cNvPicPr>
      </xdr:nvPicPr>
      <xdr:blipFill>
        <a:blip r:embed="rId114" cstate="email"/>
        <a:stretch>
          <a:fillRect/>
        </a:stretch>
      </xdr:blipFill>
      <xdr:spPr>
        <a:xfrm>
          <a:off x="1297305" y="80745330"/>
          <a:ext cx="338455" cy="571500"/>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xdr:cNvPicPr>
          <a:picLocks noChangeAspect="1"/>
        </xdr:cNvPicPr>
      </xdr:nvPicPr>
      <xdr:blipFill>
        <a:blip r:embed="rId114" cstate="email"/>
        <a:stretch>
          <a:fillRect/>
        </a:stretch>
      </xdr:blipFill>
      <xdr:spPr>
        <a:xfrm>
          <a:off x="1297305" y="81380330"/>
          <a:ext cx="338455" cy="571500"/>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xdr:cNvPicPr>
          <a:picLocks noChangeAspect="1"/>
        </xdr:cNvPicPr>
      </xdr:nvPicPr>
      <xdr:blipFill>
        <a:blip r:embed="rId114" cstate="email"/>
        <a:stretch>
          <a:fillRect/>
        </a:stretch>
      </xdr:blipFill>
      <xdr:spPr>
        <a:xfrm>
          <a:off x="1297305" y="82015330"/>
          <a:ext cx="338455" cy="571500"/>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xdr:cNvPicPr>
          <a:picLocks noChangeAspect="1"/>
        </xdr:cNvPicPr>
      </xdr:nvPicPr>
      <xdr:blipFill>
        <a:blip r:embed="rId115" cstate="email"/>
        <a:stretch>
          <a:fillRect/>
        </a:stretch>
      </xdr:blipFill>
      <xdr:spPr>
        <a:xfrm>
          <a:off x="1256665" y="82645250"/>
          <a:ext cx="379095" cy="582295"/>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xdr:cNvPicPr>
          <a:picLocks noChangeAspect="1"/>
        </xdr:cNvPicPr>
      </xdr:nvPicPr>
      <xdr:blipFill>
        <a:blip r:embed="rId115" cstate="email"/>
        <a:stretch>
          <a:fillRect/>
        </a:stretch>
      </xdr:blipFill>
      <xdr:spPr>
        <a:xfrm>
          <a:off x="1256665" y="83280885"/>
          <a:ext cx="379095" cy="582295"/>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xdr:cNvPicPr>
          <a:picLocks noChangeAspect="1"/>
        </xdr:cNvPicPr>
      </xdr:nvPicPr>
      <xdr:blipFill>
        <a:blip r:embed="rId116" cstate="email"/>
        <a:stretch>
          <a:fillRect/>
        </a:stretch>
      </xdr:blipFill>
      <xdr:spPr>
        <a:xfrm>
          <a:off x="1224280" y="83939380"/>
          <a:ext cx="405130" cy="587375"/>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xdr:cNvPicPr>
          <a:picLocks noChangeAspect="1"/>
        </xdr:cNvPicPr>
      </xdr:nvPicPr>
      <xdr:blipFill>
        <a:blip r:embed="rId117" cstate="email"/>
        <a:stretch>
          <a:fillRect/>
        </a:stretch>
      </xdr:blipFill>
      <xdr:spPr>
        <a:xfrm>
          <a:off x="1276985" y="84588985"/>
          <a:ext cx="358775" cy="540385"/>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xdr:cNvPicPr>
          <a:picLocks noChangeAspect="1"/>
        </xdr:cNvPicPr>
      </xdr:nvPicPr>
      <xdr:blipFill>
        <a:blip r:embed="rId118" cstate="email"/>
        <a:stretch>
          <a:fillRect/>
        </a:stretch>
      </xdr:blipFill>
      <xdr:spPr>
        <a:xfrm>
          <a:off x="1276985" y="85223350"/>
          <a:ext cx="358775" cy="534035"/>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xdr:cNvPicPr>
          <a:picLocks noChangeAspect="1"/>
        </xdr:cNvPicPr>
      </xdr:nvPicPr>
      <xdr:blipFill>
        <a:blip r:embed="rId119" cstate="email"/>
        <a:stretch>
          <a:fillRect/>
        </a:stretch>
      </xdr:blipFill>
      <xdr:spPr>
        <a:xfrm>
          <a:off x="1276985" y="85843745"/>
          <a:ext cx="358775" cy="561975"/>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xdr:cNvPicPr>
          <a:picLocks noChangeAspect="1"/>
        </xdr:cNvPicPr>
      </xdr:nvPicPr>
      <xdr:blipFill>
        <a:blip r:embed="rId120" cstate="email"/>
        <a:stretch>
          <a:fillRect/>
        </a:stretch>
      </xdr:blipFill>
      <xdr:spPr>
        <a:xfrm>
          <a:off x="1276985" y="86477475"/>
          <a:ext cx="358775" cy="554990"/>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xdr:cNvPicPr>
          <a:picLocks noChangeAspect="1"/>
        </xdr:cNvPicPr>
      </xdr:nvPicPr>
      <xdr:blipFill>
        <a:blip r:embed="rId121" cstate="email"/>
        <a:stretch>
          <a:fillRect/>
        </a:stretch>
      </xdr:blipFill>
      <xdr:spPr>
        <a:xfrm>
          <a:off x="1256665" y="87112475"/>
          <a:ext cx="379095" cy="55689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xdr:cNvPicPr>
          <a:picLocks noChangeAspect="1"/>
        </xdr:cNvPicPr>
      </xdr:nvPicPr>
      <xdr:blipFill>
        <a:blip r:embed="rId122" cstate="email"/>
        <a:stretch>
          <a:fillRect/>
        </a:stretch>
      </xdr:blipFill>
      <xdr:spPr>
        <a:xfrm>
          <a:off x="1276985" y="87764620"/>
          <a:ext cx="358775" cy="542925"/>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xdr:cNvPicPr>
          <a:picLocks noChangeAspect="1"/>
        </xdr:cNvPicPr>
      </xdr:nvPicPr>
      <xdr:blipFill>
        <a:blip r:embed="rId123" cstate="email"/>
        <a:stretch>
          <a:fillRect/>
        </a:stretch>
      </xdr:blipFill>
      <xdr:spPr>
        <a:xfrm>
          <a:off x="1297305" y="88383110"/>
          <a:ext cx="338455" cy="557530"/>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xdr:cNvPicPr>
          <a:picLocks noChangeAspect="1"/>
        </xdr:cNvPicPr>
      </xdr:nvPicPr>
      <xdr:blipFill>
        <a:blip r:embed="rId124" cstate="email"/>
        <a:stretch>
          <a:fillRect/>
        </a:stretch>
      </xdr:blipFill>
      <xdr:spPr>
        <a:xfrm>
          <a:off x="1297305" y="88999695"/>
          <a:ext cx="338455" cy="571500"/>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xdr:cNvPicPr>
          <a:picLocks noChangeAspect="1" noChangeArrowheads="1"/>
        </xdr:cNvPicPr>
      </xdr:nvPicPr>
      <xdr:blipFill>
        <a:blip r:embed="rId125" cstate="print"/>
        <a:srcRect/>
        <a:stretch>
          <a:fillRect/>
        </a:stretch>
      </xdr:blipFill>
      <xdr:spPr>
        <a:xfrm>
          <a:off x="944880" y="12198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xdr:cNvPicPr>
          <a:picLocks noChangeAspect="1" noChangeArrowheads="1"/>
        </xdr:cNvPicPr>
      </xdr:nvPicPr>
      <xdr:blipFill>
        <a:blip r:embed="rId126" cstate="print"/>
        <a:srcRect/>
        <a:stretch>
          <a:fillRect/>
        </a:stretch>
      </xdr:blipFill>
      <xdr:spPr>
        <a:xfrm>
          <a:off x="944880" y="12198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xdr:cNvPicPr>
          <a:picLocks noChangeAspect="1" noChangeArrowheads="1"/>
        </xdr:cNvPicPr>
      </xdr:nvPicPr>
      <xdr:blipFill>
        <a:blip r:embed="rId127" cstate="print"/>
        <a:srcRect/>
        <a:stretch>
          <a:fillRect/>
        </a:stretch>
      </xdr:blipFill>
      <xdr:spPr>
        <a:xfrm>
          <a:off x="944880" y="12299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xdr:cNvPicPr>
          <a:picLocks noChangeAspect="1" noChangeArrowheads="1"/>
        </xdr:cNvPicPr>
      </xdr:nvPicPr>
      <xdr:blipFill>
        <a:blip r:embed="rId128" cstate="print"/>
        <a:srcRect/>
        <a:stretch>
          <a:fillRect/>
        </a:stretch>
      </xdr:blipFill>
      <xdr:spPr>
        <a:xfrm>
          <a:off x="944880" y="12401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xdr:cNvPicPr>
          <a:picLocks noChangeAspect="1" noChangeArrowheads="1"/>
        </xdr:cNvPicPr>
      </xdr:nvPicPr>
      <xdr:blipFill>
        <a:blip r:embed="rId128" cstate="print"/>
        <a:srcRect/>
        <a:stretch>
          <a:fillRect/>
        </a:stretch>
      </xdr:blipFill>
      <xdr:spPr>
        <a:xfrm>
          <a:off x="944880"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xdr:cNvPicPr>
          <a:picLocks noChangeAspect="1" noChangeArrowheads="1"/>
        </xdr:cNvPicPr>
      </xdr:nvPicPr>
      <xdr:blipFill>
        <a:blip r:embed="rId129" cstate="print"/>
        <a:srcRect/>
        <a:stretch>
          <a:fillRect/>
        </a:stretch>
      </xdr:blipFill>
      <xdr:spPr>
        <a:xfrm>
          <a:off x="944880" y="12604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xdr:cNvPicPr>
          <a:picLocks noChangeAspect="1" noChangeArrowheads="1"/>
        </xdr:cNvPicPr>
      </xdr:nvPicPr>
      <xdr:blipFill>
        <a:blip r:embed="rId129" cstate="print"/>
        <a:srcRect/>
        <a:stretch>
          <a:fillRect/>
        </a:stretch>
      </xdr:blipFill>
      <xdr:spPr>
        <a:xfrm>
          <a:off x="944880" y="12642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xdr:cNvPicPr>
          <a:picLocks noChangeAspect="1" noChangeArrowheads="1"/>
        </xdr:cNvPicPr>
      </xdr:nvPicPr>
      <xdr:blipFill>
        <a:blip r:embed="rId130" cstate="print"/>
        <a:srcRect/>
        <a:stretch>
          <a:fillRect/>
        </a:stretch>
      </xdr:blipFill>
      <xdr:spPr>
        <a:xfrm>
          <a:off x="944880" y="1268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xdr:cNvPicPr>
          <a:picLocks noChangeAspect="1" noChangeArrowheads="1"/>
        </xdr:cNvPicPr>
      </xdr:nvPicPr>
      <xdr:blipFill>
        <a:blip r:embed="rId131" cstate="print"/>
        <a:srcRect/>
        <a:stretch>
          <a:fillRect/>
        </a:stretch>
      </xdr:blipFill>
      <xdr:spPr>
        <a:xfrm>
          <a:off x="944880" y="12719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xdr:cNvPicPr>
          <a:picLocks noChangeAspect="1" noChangeArrowheads="1"/>
        </xdr:cNvPicPr>
      </xdr:nvPicPr>
      <xdr:blipFill>
        <a:blip r:embed="rId131" cstate="print"/>
        <a:srcRect/>
        <a:stretch>
          <a:fillRect/>
        </a:stretch>
      </xdr:blipFill>
      <xdr:spPr>
        <a:xfrm>
          <a:off x="944880" y="12820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xdr:cNvPicPr>
          <a:picLocks noChangeAspect="1" noChangeArrowheads="1"/>
        </xdr:cNvPicPr>
      </xdr:nvPicPr>
      <xdr:blipFill>
        <a:blip r:embed="rId132" cstate="print"/>
        <a:srcRect/>
        <a:stretch>
          <a:fillRect/>
        </a:stretch>
      </xdr:blipFill>
      <xdr:spPr>
        <a:xfrm>
          <a:off x="1310005" y="122067955"/>
          <a:ext cx="3257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xdr:cNvPicPr>
          <a:picLocks noChangeAspect="1" noChangeArrowheads="1"/>
        </xdr:cNvPicPr>
      </xdr:nvPicPr>
      <xdr:blipFill>
        <a:blip r:embed="rId133" cstate="print"/>
        <a:srcRect/>
        <a:stretch>
          <a:fillRect/>
        </a:stretch>
      </xdr:blipFill>
      <xdr:spPr>
        <a:xfrm>
          <a:off x="1310005" y="122702955"/>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xdr:cNvPicPr>
          <a:picLocks noChangeAspect="1" noChangeArrowheads="1"/>
        </xdr:cNvPicPr>
      </xdr:nvPicPr>
      <xdr:blipFill>
        <a:blip r:embed="rId134" cstate="print"/>
        <a:srcRect/>
        <a:stretch>
          <a:fillRect/>
        </a:stretch>
      </xdr:blipFill>
      <xdr:spPr>
        <a:xfrm>
          <a:off x="1310005" y="123361450"/>
          <a:ext cx="325755"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xdr:cNvPicPr>
          <a:picLocks noChangeAspect="1" noChangeArrowheads="1"/>
        </xdr:cNvPicPr>
      </xdr:nvPicPr>
      <xdr:blipFill>
        <a:blip r:embed="rId135" cstate="print"/>
        <a:srcRect/>
        <a:stretch>
          <a:fillRect/>
        </a:stretch>
      </xdr:blipFill>
      <xdr:spPr>
        <a:xfrm>
          <a:off x="1310005" y="123973590"/>
          <a:ext cx="3257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xdr:cNvPicPr>
          <a:picLocks noChangeAspect="1" noChangeArrowheads="1"/>
        </xdr:cNvPicPr>
      </xdr:nvPicPr>
      <xdr:blipFill>
        <a:blip r:embed="rId136" cstate="print"/>
        <a:srcRect/>
        <a:stretch>
          <a:fillRect/>
        </a:stretch>
      </xdr:blipFill>
      <xdr:spPr>
        <a:xfrm>
          <a:off x="1310005" y="124608590"/>
          <a:ext cx="325755" cy="54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xdr:cNvPicPr>
          <a:picLocks noChangeAspect="1" noChangeArrowheads="1"/>
        </xdr:cNvPicPr>
      </xdr:nvPicPr>
      <xdr:blipFill>
        <a:blip r:embed="rId137" cstate="print"/>
        <a:srcRect/>
        <a:stretch>
          <a:fillRect/>
        </a:stretch>
      </xdr:blipFill>
      <xdr:spPr>
        <a:xfrm flipH="1">
          <a:off x="1525270" y="125253750"/>
          <a:ext cx="110490" cy="464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xdr:cNvPicPr>
          <a:picLocks noChangeAspect="1" noChangeArrowheads="1"/>
        </xdr:cNvPicPr>
      </xdr:nvPicPr>
      <xdr:blipFill>
        <a:blip r:embed="rId138" cstate="print"/>
        <a:srcRect/>
        <a:stretch>
          <a:fillRect/>
        </a:stretch>
      </xdr:blipFill>
      <xdr:spPr>
        <a:xfrm>
          <a:off x="1329055" y="125926850"/>
          <a:ext cx="306705" cy="43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xdr:cNvPicPr>
          <a:picLocks noChangeAspect="1" noChangeArrowheads="1"/>
        </xdr:cNvPicPr>
      </xdr:nvPicPr>
      <xdr:blipFill>
        <a:blip r:embed="rId139" cstate="print"/>
        <a:srcRect/>
        <a:stretch>
          <a:fillRect/>
        </a:stretch>
      </xdr:blipFill>
      <xdr:spPr>
        <a:xfrm>
          <a:off x="1233805" y="126514860"/>
          <a:ext cx="4019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xdr:cNvPicPr>
          <a:picLocks noChangeAspect="1" noChangeArrowheads="1"/>
        </xdr:cNvPicPr>
      </xdr:nvPicPr>
      <xdr:blipFill>
        <a:blip r:embed="rId140" cstate="email"/>
        <a:srcRect/>
        <a:stretch>
          <a:fillRect/>
        </a:stretch>
      </xdr:blipFill>
      <xdr:spPr>
        <a:xfrm>
          <a:off x="1284605" y="127171450"/>
          <a:ext cx="351155" cy="456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xdr:cNvPicPr>
          <a:picLocks noChangeAspect="1" noChangeArrowheads="1"/>
        </xdr:cNvPicPr>
      </xdr:nvPicPr>
      <xdr:blipFill>
        <a:blip r:embed="rId141" cstate="email"/>
        <a:srcRect/>
        <a:stretch>
          <a:fillRect/>
        </a:stretch>
      </xdr:blipFill>
      <xdr:spPr>
        <a:xfrm>
          <a:off x="1284605" y="127785495"/>
          <a:ext cx="351155"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xdr:cNvPicPr>
          <a:picLocks noChangeAspect="1" noChangeArrowheads="1"/>
        </xdr:cNvPicPr>
      </xdr:nvPicPr>
      <xdr:blipFill>
        <a:blip r:embed="rId142" cstate="print"/>
        <a:srcRect/>
        <a:stretch>
          <a:fillRect/>
        </a:stretch>
      </xdr:blipFill>
      <xdr:spPr>
        <a:xfrm>
          <a:off x="1310005" y="128428750"/>
          <a:ext cx="3257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xdr:cNvPicPr>
          <a:picLocks noChangeAspect="1" noChangeArrowheads="1"/>
        </xdr:cNvPicPr>
      </xdr:nvPicPr>
      <xdr:blipFill>
        <a:blip r:embed="rId143" cstate="email"/>
        <a:srcRect/>
        <a:stretch>
          <a:fillRect/>
        </a:stretch>
      </xdr:blipFill>
      <xdr:spPr>
        <a:xfrm>
          <a:off x="1284605" y="129072005"/>
          <a:ext cx="351155" cy="528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xdr:cNvPicPr>
          <a:picLocks noChangeAspect="1" noChangeArrowheads="1"/>
        </xdr:cNvPicPr>
      </xdr:nvPicPr>
      <xdr:blipFill>
        <a:blip r:embed="rId144" cstate="print"/>
        <a:srcRect/>
        <a:stretch>
          <a:fillRect/>
        </a:stretch>
      </xdr:blipFill>
      <xdr:spPr>
        <a:xfrm>
          <a:off x="1233805" y="129694305"/>
          <a:ext cx="401955"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xdr:cNvPicPr>
          <a:picLocks noChangeAspect="1" noChangeArrowheads="1"/>
        </xdr:cNvPicPr>
      </xdr:nvPicPr>
      <xdr:blipFill>
        <a:blip r:embed="rId145" cstate="print"/>
        <a:srcRect/>
        <a:stretch>
          <a:fillRect/>
        </a:stretch>
      </xdr:blipFill>
      <xdr:spPr>
        <a:xfrm>
          <a:off x="1233805" y="130329940"/>
          <a:ext cx="401955" cy="537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xdr:cNvPicPr>
          <a:picLocks noChangeAspect="1" noChangeArrowheads="1"/>
        </xdr:cNvPicPr>
      </xdr:nvPicPr>
      <xdr:blipFill>
        <a:blip r:embed="rId146" cstate="email"/>
        <a:srcRect/>
        <a:stretch>
          <a:fillRect/>
        </a:stretch>
      </xdr:blipFill>
      <xdr:spPr>
        <a:xfrm>
          <a:off x="1233805" y="130965575"/>
          <a:ext cx="401955"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xdr:cNvPicPr>
          <a:picLocks noChangeAspect="1" noChangeArrowheads="1"/>
        </xdr:cNvPicPr>
      </xdr:nvPicPr>
      <xdr:blipFill>
        <a:blip r:embed="rId147" cstate="email"/>
        <a:srcRect/>
        <a:stretch>
          <a:fillRect/>
        </a:stretch>
      </xdr:blipFill>
      <xdr:spPr>
        <a:xfrm>
          <a:off x="1233805" y="131602480"/>
          <a:ext cx="401955"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xdr:cNvPicPr>
          <a:picLocks noChangeAspect="1" noChangeArrowheads="1"/>
        </xdr:cNvPicPr>
      </xdr:nvPicPr>
      <xdr:blipFill>
        <a:blip r:embed="rId147" cstate="email"/>
        <a:srcRect/>
        <a:stretch>
          <a:fillRect/>
        </a:stretch>
      </xdr:blipFill>
      <xdr:spPr>
        <a:xfrm>
          <a:off x="1233805" y="132238115"/>
          <a:ext cx="401955" cy="5353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xdr:cNvPicPr>
          <a:picLocks noChangeAspect="1" noChangeArrowheads="1"/>
        </xdr:cNvPicPr>
      </xdr:nvPicPr>
      <xdr:blipFill>
        <a:blip r:embed="rId148" cstate="email"/>
        <a:srcRect/>
        <a:stretch>
          <a:fillRect/>
        </a:stretch>
      </xdr:blipFill>
      <xdr:spPr>
        <a:xfrm>
          <a:off x="1233805" y="132873750"/>
          <a:ext cx="4019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xdr:cNvPicPr>
          <a:picLocks noChangeAspect="1" noChangeArrowheads="1"/>
        </xdr:cNvPicPr>
      </xdr:nvPicPr>
      <xdr:blipFill>
        <a:blip r:embed="rId149" cstate="email"/>
        <a:srcRect/>
        <a:stretch>
          <a:fillRect/>
        </a:stretch>
      </xdr:blipFill>
      <xdr:spPr>
        <a:xfrm>
          <a:off x="1325880" y="133511290"/>
          <a:ext cx="30988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xdr:cNvPicPr>
          <a:picLocks noChangeAspect="1" noChangeArrowheads="1"/>
        </xdr:cNvPicPr>
      </xdr:nvPicPr>
      <xdr:blipFill>
        <a:blip r:embed="rId150" cstate="email"/>
        <a:srcRect/>
        <a:stretch>
          <a:fillRect/>
        </a:stretch>
      </xdr:blipFill>
      <xdr:spPr>
        <a:xfrm>
          <a:off x="1259205" y="134181850"/>
          <a:ext cx="376555"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xdr:cNvPicPr>
          <a:picLocks noChangeAspect="1" noChangeArrowheads="1"/>
        </xdr:cNvPicPr>
      </xdr:nvPicPr>
      <xdr:blipFill>
        <a:blip r:embed="rId151" cstate="email"/>
        <a:srcRect/>
        <a:stretch>
          <a:fillRect/>
        </a:stretch>
      </xdr:blipFill>
      <xdr:spPr>
        <a:xfrm>
          <a:off x="1271905" y="134766050"/>
          <a:ext cx="3638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xdr:cNvPicPr>
          <a:picLocks noChangeAspect="1" noChangeArrowheads="1"/>
        </xdr:cNvPicPr>
      </xdr:nvPicPr>
      <xdr:blipFill>
        <a:blip r:embed="rId152" cstate="print"/>
        <a:srcRect/>
        <a:stretch>
          <a:fillRect/>
        </a:stretch>
      </xdr:blipFill>
      <xdr:spPr>
        <a:xfrm>
          <a:off x="1310005" y="135426450"/>
          <a:ext cx="325755" cy="525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xdr:cNvPicPr>
          <a:picLocks noChangeAspect="1" noChangeArrowheads="1"/>
        </xdr:cNvPicPr>
      </xdr:nvPicPr>
      <xdr:blipFill>
        <a:blip r:embed="rId153" cstate="email"/>
        <a:srcRect/>
        <a:stretch>
          <a:fillRect/>
        </a:stretch>
      </xdr:blipFill>
      <xdr:spPr>
        <a:xfrm>
          <a:off x="1310005" y="13603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xdr:cNvPicPr>
          <a:picLocks noChangeAspect="1" noChangeArrowheads="1"/>
        </xdr:cNvPicPr>
      </xdr:nvPicPr>
      <xdr:blipFill>
        <a:blip r:embed="rId153" cstate="email"/>
        <a:srcRect/>
        <a:stretch>
          <a:fillRect/>
        </a:stretch>
      </xdr:blipFill>
      <xdr:spPr>
        <a:xfrm>
          <a:off x="1310005" y="13667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xdr:cNvPicPr>
          <a:picLocks noChangeAspect="1" noChangeArrowheads="1"/>
        </xdr:cNvPicPr>
      </xdr:nvPicPr>
      <xdr:blipFill>
        <a:blip r:embed="rId154" cstate="email"/>
        <a:srcRect/>
        <a:stretch>
          <a:fillRect/>
        </a:stretch>
      </xdr:blipFill>
      <xdr:spPr>
        <a:xfrm>
          <a:off x="1310005" y="13730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xdr:cNvPicPr>
          <a:picLocks noChangeAspect="1" noChangeArrowheads="1"/>
        </xdr:cNvPicPr>
      </xdr:nvPicPr>
      <xdr:blipFill>
        <a:blip r:embed="rId154" cstate="email"/>
        <a:srcRect/>
        <a:stretch>
          <a:fillRect/>
        </a:stretch>
      </xdr:blipFill>
      <xdr:spPr>
        <a:xfrm>
          <a:off x="1310005" y="13794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xdr:cNvPicPr>
          <a:picLocks noChangeAspect="1" noChangeArrowheads="1"/>
        </xdr:cNvPicPr>
      </xdr:nvPicPr>
      <xdr:blipFill>
        <a:blip r:embed="rId155" cstate="email"/>
        <a:srcRect/>
        <a:stretch>
          <a:fillRect/>
        </a:stretch>
      </xdr:blipFill>
      <xdr:spPr>
        <a:xfrm>
          <a:off x="1310005" y="13857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xdr:cNvPicPr>
          <a:picLocks noChangeAspect="1" noChangeArrowheads="1"/>
        </xdr:cNvPicPr>
      </xdr:nvPicPr>
      <xdr:blipFill>
        <a:blip r:embed="rId156" cstate="email"/>
        <a:srcRect/>
        <a:stretch>
          <a:fillRect/>
        </a:stretch>
      </xdr:blipFill>
      <xdr:spPr>
        <a:xfrm>
          <a:off x="1310005" y="13921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xdr:cNvPicPr>
          <a:picLocks noChangeAspect="1" noChangeArrowheads="1"/>
        </xdr:cNvPicPr>
      </xdr:nvPicPr>
      <xdr:blipFill>
        <a:blip r:embed="rId157" cstate="print"/>
        <a:srcRect/>
        <a:stretch>
          <a:fillRect/>
        </a:stretch>
      </xdr:blipFill>
      <xdr:spPr>
        <a:xfrm>
          <a:off x="1310005" y="139884150"/>
          <a:ext cx="325755"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xdr:cNvPicPr>
          <a:picLocks noChangeAspect="1" noChangeArrowheads="1"/>
        </xdr:cNvPicPr>
      </xdr:nvPicPr>
      <xdr:blipFill>
        <a:blip r:embed="rId158" cstate="email"/>
        <a:srcRect/>
        <a:stretch>
          <a:fillRect/>
        </a:stretch>
      </xdr:blipFill>
      <xdr:spPr>
        <a:xfrm>
          <a:off x="1284605" y="14048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xdr:cNvPicPr>
          <a:picLocks noChangeAspect="1" noChangeArrowheads="1"/>
        </xdr:cNvPicPr>
      </xdr:nvPicPr>
      <xdr:blipFill>
        <a:blip r:embed="rId159" cstate="email"/>
        <a:srcRect/>
        <a:stretch>
          <a:fillRect/>
        </a:stretch>
      </xdr:blipFill>
      <xdr:spPr>
        <a:xfrm>
          <a:off x="1284605" y="14111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xdr:cNvPicPr>
          <a:picLocks noChangeAspect="1" noChangeArrowheads="1"/>
        </xdr:cNvPicPr>
      </xdr:nvPicPr>
      <xdr:blipFill>
        <a:blip r:embed="rId159" cstate="email"/>
        <a:srcRect/>
        <a:stretch>
          <a:fillRect/>
        </a:stretch>
      </xdr:blipFill>
      <xdr:spPr>
        <a:xfrm>
          <a:off x="1284605" y="14175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xdr:cNvPicPr>
          <a:picLocks noChangeAspect="1" noChangeArrowheads="1"/>
        </xdr:cNvPicPr>
      </xdr:nvPicPr>
      <xdr:blipFill>
        <a:blip r:embed="rId160" cstate="email"/>
        <a:srcRect/>
        <a:stretch>
          <a:fillRect/>
        </a:stretch>
      </xdr:blipFill>
      <xdr:spPr>
        <a:xfrm>
          <a:off x="1284605" y="14238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xdr:cNvPicPr>
          <a:picLocks noChangeAspect="1" noChangeArrowheads="1"/>
        </xdr:cNvPicPr>
      </xdr:nvPicPr>
      <xdr:blipFill>
        <a:blip r:embed="rId161" cstate="email"/>
        <a:srcRect/>
        <a:stretch>
          <a:fillRect/>
        </a:stretch>
      </xdr:blipFill>
      <xdr:spPr>
        <a:xfrm>
          <a:off x="1284605" y="14302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xdr:cNvPicPr>
          <a:picLocks noChangeAspect="1" noChangeArrowheads="1"/>
        </xdr:cNvPicPr>
      </xdr:nvPicPr>
      <xdr:blipFill>
        <a:blip r:embed="rId162" cstate="email"/>
        <a:srcRect/>
        <a:stretch>
          <a:fillRect/>
        </a:stretch>
      </xdr:blipFill>
      <xdr:spPr>
        <a:xfrm>
          <a:off x="1284605" y="14365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xdr:cNvPicPr>
          <a:picLocks noChangeAspect="1" noChangeArrowheads="1"/>
        </xdr:cNvPicPr>
      </xdr:nvPicPr>
      <xdr:blipFill>
        <a:blip r:embed="rId163" cstate="email"/>
        <a:srcRect/>
        <a:stretch>
          <a:fillRect/>
        </a:stretch>
      </xdr:blipFill>
      <xdr:spPr>
        <a:xfrm>
          <a:off x="1284605" y="14429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xdr:cNvPicPr>
          <a:picLocks noChangeAspect="1" noChangeArrowheads="1"/>
        </xdr:cNvPicPr>
      </xdr:nvPicPr>
      <xdr:blipFill>
        <a:blip r:embed="rId163" cstate="email"/>
        <a:srcRect/>
        <a:stretch>
          <a:fillRect/>
        </a:stretch>
      </xdr:blipFill>
      <xdr:spPr>
        <a:xfrm>
          <a:off x="1284605" y="14492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xdr:cNvPicPr>
          <a:picLocks noChangeAspect="1" noChangeArrowheads="1"/>
        </xdr:cNvPicPr>
      </xdr:nvPicPr>
      <xdr:blipFill>
        <a:blip r:embed="rId159" cstate="email"/>
        <a:srcRect/>
        <a:stretch>
          <a:fillRect/>
        </a:stretch>
      </xdr:blipFill>
      <xdr:spPr>
        <a:xfrm>
          <a:off x="1284605" y="14556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xdr:cNvPicPr>
          <a:picLocks noChangeAspect="1" noChangeArrowheads="1"/>
        </xdr:cNvPicPr>
      </xdr:nvPicPr>
      <xdr:blipFill>
        <a:blip r:embed="rId164" cstate="email"/>
        <a:srcRect/>
        <a:stretch>
          <a:fillRect/>
        </a:stretch>
      </xdr:blipFill>
      <xdr:spPr>
        <a:xfrm>
          <a:off x="1310005" y="14619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xdr:cNvPicPr>
          <a:picLocks noChangeAspect="1" noChangeArrowheads="1"/>
        </xdr:cNvPicPr>
      </xdr:nvPicPr>
      <xdr:blipFill>
        <a:blip r:embed="rId165" cstate="print"/>
        <a:srcRect/>
        <a:stretch>
          <a:fillRect/>
        </a:stretch>
      </xdr:blipFill>
      <xdr:spPr>
        <a:xfrm>
          <a:off x="1348105" y="146831050"/>
          <a:ext cx="2876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xdr:cNvPicPr>
          <a:picLocks noChangeAspect="1" noChangeArrowheads="1"/>
        </xdr:cNvPicPr>
      </xdr:nvPicPr>
      <xdr:blipFill>
        <a:blip r:embed="rId166" cstate="print"/>
        <a:srcRect/>
        <a:stretch>
          <a:fillRect/>
        </a:stretch>
      </xdr:blipFill>
      <xdr:spPr>
        <a:xfrm>
          <a:off x="1297305" y="147467955"/>
          <a:ext cx="3384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xdr:cNvPicPr>
          <a:picLocks noChangeAspect="1" noChangeArrowheads="1"/>
        </xdr:cNvPicPr>
      </xdr:nvPicPr>
      <xdr:blipFill>
        <a:blip r:embed="rId167" cstate="print">
          <a:extLst>
            <a:ext uri="{28A0092B-C50C-407E-A947-70E740481C1C}">
              <a14:useLocalDpi xmlns:a14="http://schemas.microsoft.com/office/drawing/2010/main" val="0"/>
            </a:ext>
          </a:extLst>
        </a:blip>
        <a:srcRect/>
        <a:stretch>
          <a:fillRect/>
        </a:stretch>
      </xdr:blipFill>
      <xdr:spPr>
        <a:xfrm>
          <a:off x="944880" y="148018500"/>
          <a:ext cx="593090" cy="19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xdr:cNvPicPr>
          <a:picLocks noChangeAspect="1" noChangeArrowheads="1"/>
        </xdr:cNvPicPr>
      </xdr:nvPicPr>
      <xdr:blipFill>
        <a:blip r:embed="rId168" cstate="print"/>
        <a:srcRect/>
        <a:stretch>
          <a:fillRect/>
        </a:stretch>
      </xdr:blipFill>
      <xdr:spPr>
        <a:xfrm>
          <a:off x="1297305" y="148105495"/>
          <a:ext cx="338455"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xdr:cNvPicPr>
          <a:picLocks noChangeAspect="1" noChangeArrowheads="1"/>
        </xdr:cNvPicPr>
      </xdr:nvPicPr>
      <xdr:blipFill>
        <a:blip r:embed="rId169" cstate="print"/>
        <a:srcRect/>
        <a:stretch>
          <a:fillRect/>
        </a:stretch>
      </xdr:blipFill>
      <xdr:spPr>
        <a:xfrm>
          <a:off x="1297305" y="148743670"/>
          <a:ext cx="338455"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xdr:cNvPicPr>
          <a:picLocks noChangeAspect="1" noChangeArrowheads="1"/>
        </xdr:cNvPicPr>
      </xdr:nvPicPr>
      <xdr:blipFill>
        <a:blip r:embed="rId170" cstate="print"/>
        <a:srcRect/>
        <a:stretch>
          <a:fillRect/>
        </a:stretch>
      </xdr:blipFill>
      <xdr:spPr>
        <a:xfrm>
          <a:off x="1297305" y="149380575"/>
          <a:ext cx="338455"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xdr:cNvPicPr>
          <a:picLocks noChangeAspect="1" noChangeArrowheads="1"/>
        </xdr:cNvPicPr>
      </xdr:nvPicPr>
      <xdr:blipFill>
        <a:blip r:embed="rId171" cstate="print"/>
        <a:srcRect/>
        <a:stretch>
          <a:fillRect/>
        </a:stretch>
      </xdr:blipFill>
      <xdr:spPr>
        <a:xfrm>
          <a:off x="1297305" y="150017480"/>
          <a:ext cx="338455"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xdr:cNvPicPr>
          <a:picLocks noChangeAspect="1" noChangeArrowheads="1"/>
        </xdr:cNvPicPr>
      </xdr:nvPicPr>
      <xdr:blipFill>
        <a:blip r:embed="rId172" cstate="email"/>
        <a:srcRect/>
        <a:stretch>
          <a:fillRect/>
        </a:stretch>
      </xdr:blipFill>
      <xdr:spPr>
        <a:xfrm>
          <a:off x="1195705" y="150641050"/>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xdr:cNvPicPr>
          <a:picLocks noChangeAspect="1" noChangeArrowheads="1"/>
        </xdr:cNvPicPr>
      </xdr:nvPicPr>
      <xdr:blipFill>
        <a:blip r:embed="rId173" cstate="email"/>
        <a:srcRect/>
        <a:stretch>
          <a:fillRect/>
        </a:stretch>
      </xdr:blipFill>
      <xdr:spPr>
        <a:xfrm>
          <a:off x="1195705" y="151277955"/>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xdr:cNvPicPr>
          <a:picLocks noChangeAspect="1" noChangeArrowheads="1"/>
        </xdr:cNvPicPr>
      </xdr:nvPicPr>
      <xdr:blipFill>
        <a:blip r:embed="rId174" cstate="email"/>
        <a:srcRect/>
        <a:stretch>
          <a:fillRect/>
        </a:stretch>
      </xdr:blipFill>
      <xdr:spPr>
        <a:xfrm>
          <a:off x="1195705" y="151915495"/>
          <a:ext cx="4400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xdr:cNvPicPr>
          <a:picLocks noChangeAspect="1" noChangeArrowheads="1"/>
        </xdr:cNvPicPr>
      </xdr:nvPicPr>
      <xdr:blipFill>
        <a:blip r:embed="rId175" cstate="email"/>
        <a:srcRect/>
        <a:stretch>
          <a:fillRect/>
        </a:stretch>
      </xdr:blipFill>
      <xdr:spPr>
        <a:xfrm>
          <a:off x="1195705" y="152552400"/>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xdr:cNvPicPr>
          <a:picLocks noChangeAspect="1" noChangeArrowheads="1"/>
        </xdr:cNvPicPr>
      </xdr:nvPicPr>
      <xdr:blipFill>
        <a:blip r:embed="rId176" cstate="print"/>
        <a:srcRect/>
        <a:stretch>
          <a:fillRect/>
        </a:stretch>
      </xdr:blipFill>
      <xdr:spPr>
        <a:xfrm>
          <a:off x="1195705" y="153189305"/>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xdr:cNvPicPr>
          <a:picLocks noChangeAspect="1" noChangeArrowheads="1"/>
        </xdr:cNvPicPr>
      </xdr:nvPicPr>
      <xdr:blipFill>
        <a:blip r:embed="rId177" cstate="email"/>
        <a:srcRect/>
        <a:stretch>
          <a:fillRect/>
        </a:stretch>
      </xdr:blipFill>
      <xdr:spPr>
        <a:xfrm>
          <a:off x="1195705" y="153826845"/>
          <a:ext cx="4400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xdr:cNvPicPr>
          <a:picLocks noChangeAspect="1" noChangeArrowheads="1"/>
        </xdr:cNvPicPr>
      </xdr:nvPicPr>
      <xdr:blipFill>
        <a:blip r:embed="rId178" cstate="email"/>
        <a:srcRect/>
        <a:stretch>
          <a:fillRect/>
        </a:stretch>
      </xdr:blipFill>
      <xdr:spPr>
        <a:xfrm>
          <a:off x="1195705" y="154463750"/>
          <a:ext cx="4400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xdr:cNvPicPr>
          <a:picLocks noChangeAspect="1" noChangeArrowheads="1"/>
        </xdr:cNvPicPr>
      </xdr:nvPicPr>
      <xdr:blipFill>
        <a:blip r:embed="rId179" cstate="email"/>
        <a:srcRect/>
        <a:stretch>
          <a:fillRect/>
        </a:stretch>
      </xdr:blipFill>
      <xdr:spPr>
        <a:xfrm>
          <a:off x="1411605" y="155086050"/>
          <a:ext cx="2241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xdr:cNvPicPr>
          <a:picLocks noChangeAspect="1" noChangeArrowheads="1"/>
        </xdr:cNvPicPr>
      </xdr:nvPicPr>
      <xdr:blipFill>
        <a:blip r:embed="rId180" cstate="print"/>
        <a:srcRect/>
        <a:stretch>
          <a:fillRect/>
        </a:stretch>
      </xdr:blipFill>
      <xdr:spPr>
        <a:xfrm>
          <a:off x="1424305" y="155746450"/>
          <a:ext cx="211455" cy="521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xdr:cNvPicPr>
          <a:picLocks noChangeAspect="1" noChangeArrowheads="1"/>
        </xdr:cNvPicPr>
      </xdr:nvPicPr>
      <xdr:blipFill>
        <a:blip r:embed="rId181" cstate="email"/>
        <a:srcRect/>
        <a:stretch>
          <a:fillRect/>
        </a:stretch>
      </xdr:blipFill>
      <xdr:spPr>
        <a:xfrm>
          <a:off x="1411605" y="156356050"/>
          <a:ext cx="2241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xdr:cNvPicPr>
          <a:picLocks noChangeAspect="1" noChangeArrowheads="1"/>
        </xdr:cNvPicPr>
      </xdr:nvPicPr>
      <xdr:blipFill>
        <a:blip r:embed="rId182" cstate="email"/>
        <a:srcRect/>
        <a:stretch>
          <a:fillRect/>
        </a:stretch>
      </xdr:blipFill>
      <xdr:spPr>
        <a:xfrm>
          <a:off x="1411605" y="156991050"/>
          <a:ext cx="2241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xdr:cNvPicPr>
          <a:picLocks noChangeAspect="1" noChangeArrowheads="1"/>
        </xdr:cNvPicPr>
      </xdr:nvPicPr>
      <xdr:blipFill>
        <a:blip r:embed="rId183" cstate="email"/>
        <a:srcRect/>
        <a:stretch>
          <a:fillRect/>
        </a:stretch>
      </xdr:blipFill>
      <xdr:spPr>
        <a:xfrm>
          <a:off x="1411605" y="157626050"/>
          <a:ext cx="224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xdr:cNvPicPr>
          <a:picLocks noChangeAspect="1" noChangeArrowheads="1"/>
        </xdr:cNvPicPr>
      </xdr:nvPicPr>
      <xdr:blipFill>
        <a:blip r:embed="rId184" cstate="email"/>
        <a:srcRect/>
        <a:stretch>
          <a:fillRect/>
        </a:stretch>
      </xdr:blipFill>
      <xdr:spPr>
        <a:xfrm>
          <a:off x="1411605" y="158261050"/>
          <a:ext cx="224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xdr:cNvPicPr>
          <a:picLocks noChangeAspect="1" noChangeArrowheads="1"/>
        </xdr:cNvPicPr>
      </xdr:nvPicPr>
      <xdr:blipFill>
        <a:blip r:embed="rId185" cstate="email"/>
        <a:srcRect/>
        <a:stretch>
          <a:fillRect/>
        </a:stretch>
      </xdr:blipFill>
      <xdr:spPr>
        <a:xfrm>
          <a:off x="1310005" y="15889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xdr:cNvPicPr>
          <a:picLocks noChangeAspect="1" noChangeArrowheads="1"/>
        </xdr:cNvPicPr>
      </xdr:nvPicPr>
      <xdr:blipFill>
        <a:blip r:embed="rId186" cstate="email"/>
        <a:srcRect/>
        <a:stretch>
          <a:fillRect/>
        </a:stretch>
      </xdr:blipFill>
      <xdr:spPr>
        <a:xfrm>
          <a:off x="1310005" y="15953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xdr:cNvPicPr>
          <a:picLocks noChangeAspect="1" noChangeArrowheads="1"/>
        </xdr:cNvPicPr>
      </xdr:nvPicPr>
      <xdr:blipFill>
        <a:blip r:embed="rId187" cstate="email"/>
        <a:srcRect/>
        <a:stretch>
          <a:fillRect/>
        </a:stretch>
      </xdr:blipFill>
      <xdr:spPr>
        <a:xfrm>
          <a:off x="1310005" y="16016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xdr:cNvPicPr>
          <a:picLocks noChangeAspect="1" noChangeArrowheads="1"/>
        </xdr:cNvPicPr>
      </xdr:nvPicPr>
      <xdr:blipFill>
        <a:blip r:embed="rId188" cstate="email"/>
        <a:srcRect/>
        <a:stretch>
          <a:fillRect/>
        </a:stretch>
      </xdr:blipFill>
      <xdr:spPr>
        <a:xfrm>
          <a:off x="1310005" y="16080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xdr:cNvPicPr>
          <a:picLocks noChangeAspect="1" noChangeArrowheads="1"/>
        </xdr:cNvPicPr>
      </xdr:nvPicPr>
      <xdr:blipFill>
        <a:blip r:embed="rId189" cstate="email"/>
        <a:srcRect/>
        <a:stretch>
          <a:fillRect/>
        </a:stretch>
      </xdr:blipFill>
      <xdr:spPr>
        <a:xfrm>
          <a:off x="1310005" y="16143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xdr:cNvPicPr>
          <a:picLocks noChangeAspect="1" noChangeArrowheads="1"/>
        </xdr:cNvPicPr>
      </xdr:nvPicPr>
      <xdr:blipFill>
        <a:blip r:embed="rId190" cstate="email"/>
        <a:srcRect/>
        <a:stretch>
          <a:fillRect/>
        </a:stretch>
      </xdr:blipFill>
      <xdr:spPr>
        <a:xfrm>
          <a:off x="1310005" y="162083750"/>
          <a:ext cx="3257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xdr:cNvPicPr>
          <a:picLocks noChangeAspect="1" noChangeArrowheads="1"/>
        </xdr:cNvPicPr>
      </xdr:nvPicPr>
      <xdr:blipFill>
        <a:blip r:embed="rId191" cstate="email"/>
        <a:srcRect/>
        <a:stretch>
          <a:fillRect/>
        </a:stretch>
      </xdr:blipFill>
      <xdr:spPr>
        <a:xfrm>
          <a:off x="1310005" y="16270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xdr:cNvPicPr>
          <a:picLocks noChangeAspect="1" noChangeArrowheads="1"/>
        </xdr:cNvPicPr>
      </xdr:nvPicPr>
      <xdr:blipFill>
        <a:blip r:embed="rId192" cstate="email"/>
        <a:srcRect/>
        <a:stretch>
          <a:fillRect/>
        </a:stretch>
      </xdr:blipFill>
      <xdr:spPr>
        <a:xfrm>
          <a:off x="1310005" y="16334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xdr:cNvPicPr>
          <a:picLocks noChangeAspect="1" noChangeArrowheads="1"/>
        </xdr:cNvPicPr>
      </xdr:nvPicPr>
      <xdr:blipFill>
        <a:blip r:embed="rId193" cstate="print"/>
        <a:srcRect/>
        <a:stretch>
          <a:fillRect/>
        </a:stretch>
      </xdr:blipFill>
      <xdr:spPr>
        <a:xfrm>
          <a:off x="944880" y="9061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xdr:cNvPicPr>
          <a:picLocks noChangeAspect="1" noChangeArrowheads="1"/>
        </xdr:cNvPicPr>
      </xdr:nvPicPr>
      <xdr:blipFill>
        <a:blip r:embed="rId194" cstate="print"/>
        <a:srcRect/>
        <a:stretch>
          <a:fillRect/>
        </a:stretch>
      </xdr:blipFill>
      <xdr:spPr>
        <a:xfrm>
          <a:off x="944880" y="9163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xdr:cNvPicPr>
          <a:picLocks noChangeAspect="1" noChangeArrowheads="1"/>
        </xdr:cNvPicPr>
      </xdr:nvPicPr>
      <xdr:blipFill>
        <a:blip r:embed="rId194" cstate="print"/>
        <a:srcRect/>
        <a:stretch>
          <a:fillRect/>
        </a:stretch>
      </xdr:blipFill>
      <xdr:spPr>
        <a:xfrm>
          <a:off x="944880" y="9264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xdr:cNvPicPr>
          <a:picLocks noChangeAspect="1" noChangeArrowheads="1"/>
        </xdr:cNvPicPr>
      </xdr:nvPicPr>
      <xdr:blipFill>
        <a:blip r:embed="rId195" cstate="print"/>
        <a:srcRect/>
        <a:stretch>
          <a:fillRect/>
        </a:stretch>
      </xdr:blipFill>
      <xdr:spPr>
        <a:xfrm>
          <a:off x="944880" y="9366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xdr:cNvPicPr>
          <a:picLocks noChangeAspect="1" noChangeArrowheads="1"/>
        </xdr:cNvPicPr>
      </xdr:nvPicPr>
      <xdr:blipFill>
        <a:blip r:embed="rId196" cstate="print"/>
        <a:srcRect/>
        <a:stretch>
          <a:fillRect/>
        </a:stretch>
      </xdr:blipFill>
      <xdr:spPr>
        <a:xfrm>
          <a:off x="944880" y="946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xdr:cNvPicPr>
          <a:picLocks noChangeAspect="1" noChangeArrowheads="1"/>
        </xdr:cNvPicPr>
      </xdr:nvPicPr>
      <xdr:blipFill>
        <a:blip r:embed="rId196" cstate="print"/>
        <a:srcRect/>
        <a:stretch>
          <a:fillRect/>
        </a:stretch>
      </xdr:blipFill>
      <xdr:spPr>
        <a:xfrm>
          <a:off x="944880" y="9569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xdr:cNvPicPr>
          <a:picLocks noChangeAspect="1" noChangeArrowheads="1"/>
        </xdr:cNvPicPr>
      </xdr:nvPicPr>
      <xdr:blipFill>
        <a:blip r:embed="rId197" cstate="print"/>
        <a:srcRect/>
        <a:stretch>
          <a:fillRect/>
        </a:stretch>
      </xdr:blipFill>
      <xdr:spPr>
        <a:xfrm>
          <a:off x="944880" y="9709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xdr:cNvPicPr>
          <a:picLocks noChangeAspect="1" noChangeArrowheads="1"/>
        </xdr:cNvPicPr>
      </xdr:nvPicPr>
      <xdr:blipFill>
        <a:blip r:embed="rId197" cstate="print"/>
        <a:srcRect/>
        <a:stretch>
          <a:fillRect/>
        </a:stretch>
      </xdr:blipFill>
      <xdr:spPr>
        <a:xfrm>
          <a:off x="944880" y="9747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xdr:cNvPicPr>
          <a:picLocks noChangeAspect="1" noChangeArrowheads="1"/>
        </xdr:cNvPicPr>
      </xdr:nvPicPr>
      <xdr:blipFill>
        <a:blip r:embed="rId198" cstate="print"/>
        <a:srcRect/>
        <a:stretch>
          <a:fillRect/>
        </a:stretch>
      </xdr:blipFill>
      <xdr:spPr>
        <a:xfrm>
          <a:off x="944880" y="984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xdr:cNvPicPr>
          <a:picLocks noChangeAspect="1" noChangeArrowheads="1"/>
        </xdr:cNvPicPr>
      </xdr:nvPicPr>
      <xdr:blipFill>
        <a:blip r:embed="rId198" cstate="print"/>
        <a:srcRect/>
        <a:stretch>
          <a:fillRect/>
        </a:stretch>
      </xdr:blipFill>
      <xdr:spPr>
        <a:xfrm>
          <a:off x="944880" y="9950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xdr:cNvPicPr>
          <a:picLocks noChangeAspect="1" noChangeArrowheads="1"/>
        </xdr:cNvPicPr>
      </xdr:nvPicPr>
      <xdr:blipFill>
        <a:blip r:embed="rId199" cstate="print"/>
        <a:srcRect/>
        <a:stretch>
          <a:fillRect/>
        </a:stretch>
      </xdr:blipFill>
      <xdr:spPr>
        <a:xfrm>
          <a:off x="944880" y="10052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xdr:cNvPicPr>
          <a:picLocks noChangeAspect="1" noChangeArrowheads="1"/>
        </xdr:cNvPicPr>
      </xdr:nvPicPr>
      <xdr:blipFill>
        <a:blip r:embed="rId200" cstate="print"/>
        <a:srcRect/>
        <a:stretch>
          <a:fillRect/>
        </a:stretch>
      </xdr:blipFill>
      <xdr:spPr>
        <a:xfrm>
          <a:off x="944880" y="10153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xdr:cNvPicPr>
          <a:picLocks noChangeAspect="1" noChangeArrowheads="1"/>
        </xdr:cNvPicPr>
      </xdr:nvPicPr>
      <xdr:blipFill>
        <a:blip r:embed="rId201" cstate="print"/>
        <a:srcRect/>
        <a:stretch>
          <a:fillRect/>
        </a:stretch>
      </xdr:blipFill>
      <xdr:spPr>
        <a:xfrm>
          <a:off x="944880" y="1025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xdr:cNvPicPr>
          <a:picLocks noChangeAspect="1" noChangeArrowheads="1"/>
        </xdr:cNvPicPr>
      </xdr:nvPicPr>
      <xdr:blipFill>
        <a:blip r:embed="rId202" cstate="print"/>
        <a:srcRect/>
        <a:stretch>
          <a:fillRect/>
        </a:stretch>
      </xdr:blipFill>
      <xdr:spPr>
        <a:xfrm>
          <a:off x="944880" y="10356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xdr:cNvPicPr>
          <a:picLocks noChangeAspect="1" noChangeArrowheads="1"/>
        </xdr:cNvPicPr>
      </xdr:nvPicPr>
      <xdr:blipFill>
        <a:blip r:embed="rId203" cstate="print"/>
        <a:srcRect/>
        <a:stretch>
          <a:fillRect/>
        </a:stretch>
      </xdr:blipFill>
      <xdr:spPr>
        <a:xfrm>
          <a:off x="944880" y="10458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xdr:cNvPicPr>
          <a:picLocks noChangeAspect="1" noChangeArrowheads="1"/>
        </xdr:cNvPicPr>
      </xdr:nvPicPr>
      <xdr:blipFill>
        <a:blip r:embed="rId204" cstate="print"/>
        <a:srcRect/>
        <a:stretch>
          <a:fillRect/>
        </a:stretch>
      </xdr:blipFill>
      <xdr:spPr>
        <a:xfrm>
          <a:off x="944880" y="10560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xdr:cNvPicPr>
          <a:picLocks noChangeAspect="1" noChangeArrowheads="1"/>
        </xdr:cNvPicPr>
      </xdr:nvPicPr>
      <xdr:blipFill>
        <a:blip r:embed="rId205" cstate="print"/>
        <a:srcRect/>
        <a:stretch>
          <a:fillRect/>
        </a:stretch>
      </xdr:blipFill>
      <xdr:spPr>
        <a:xfrm>
          <a:off x="944880" y="10636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xdr:cNvPicPr>
          <a:picLocks noChangeAspect="1" noChangeArrowheads="1"/>
        </xdr:cNvPicPr>
      </xdr:nvPicPr>
      <xdr:blipFill>
        <a:blip r:embed="rId206" cstate="print"/>
        <a:srcRect/>
        <a:stretch>
          <a:fillRect/>
        </a:stretch>
      </xdr:blipFill>
      <xdr:spPr>
        <a:xfrm>
          <a:off x="944880"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xdr:cNvPicPr>
          <a:picLocks noChangeAspect="1" noChangeArrowheads="1"/>
        </xdr:cNvPicPr>
      </xdr:nvPicPr>
      <xdr:blipFill>
        <a:blip r:embed="rId206" cstate="print"/>
        <a:srcRect/>
        <a:stretch>
          <a:fillRect/>
        </a:stretch>
      </xdr:blipFill>
      <xdr:spPr>
        <a:xfrm>
          <a:off x="944880" y="10775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xdr:cNvPicPr>
          <a:picLocks noChangeAspect="1" noChangeArrowheads="1"/>
        </xdr:cNvPicPr>
      </xdr:nvPicPr>
      <xdr:blipFill>
        <a:blip r:embed="rId207" cstate="print"/>
        <a:srcRect/>
        <a:stretch>
          <a:fillRect/>
        </a:stretch>
      </xdr:blipFill>
      <xdr:spPr>
        <a:xfrm>
          <a:off x="944880" y="1081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xdr:cNvPicPr>
          <a:picLocks noChangeAspect="1" noChangeArrowheads="1"/>
        </xdr:cNvPicPr>
      </xdr:nvPicPr>
      <xdr:blipFill>
        <a:blip r:embed="rId208" cstate="print"/>
        <a:srcRect/>
        <a:stretch>
          <a:fillRect/>
        </a:stretch>
      </xdr:blipFill>
      <xdr:spPr>
        <a:xfrm>
          <a:off x="944880" y="10928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xdr:cNvPicPr>
          <a:picLocks noChangeAspect="1" noChangeArrowheads="1"/>
        </xdr:cNvPicPr>
      </xdr:nvPicPr>
      <xdr:blipFill>
        <a:blip r:embed="rId209" cstate="print"/>
        <a:srcRect/>
        <a:stretch>
          <a:fillRect/>
        </a:stretch>
      </xdr:blipFill>
      <xdr:spPr>
        <a:xfrm>
          <a:off x="944880" y="11029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xdr:cNvPicPr>
          <a:picLocks noChangeAspect="1" noChangeArrowheads="1"/>
        </xdr:cNvPicPr>
      </xdr:nvPicPr>
      <xdr:blipFill>
        <a:blip r:embed="rId210" cstate="print"/>
        <a:srcRect/>
        <a:stretch>
          <a:fillRect/>
        </a:stretch>
      </xdr:blipFill>
      <xdr:spPr>
        <a:xfrm>
          <a:off x="944880" y="11068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xdr:cNvPicPr>
          <a:picLocks noChangeAspect="1" noChangeArrowheads="1"/>
        </xdr:cNvPicPr>
      </xdr:nvPicPr>
      <xdr:blipFill>
        <a:blip r:embed="rId211" cstate="print"/>
        <a:srcRect/>
        <a:stretch>
          <a:fillRect/>
        </a:stretch>
      </xdr:blipFill>
      <xdr:spPr>
        <a:xfrm>
          <a:off x="944880" y="11169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xdr:cNvPicPr>
          <a:picLocks noChangeAspect="1" noChangeArrowheads="1"/>
        </xdr:cNvPicPr>
      </xdr:nvPicPr>
      <xdr:blipFill>
        <a:blip r:embed="rId212" cstate="print"/>
        <a:srcRect/>
        <a:stretch>
          <a:fillRect/>
        </a:stretch>
      </xdr:blipFill>
      <xdr:spPr>
        <a:xfrm>
          <a:off x="944880" y="1127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xdr:cNvPicPr>
          <a:picLocks noChangeAspect="1" noChangeArrowheads="1"/>
        </xdr:cNvPicPr>
      </xdr:nvPicPr>
      <xdr:blipFill>
        <a:blip r:embed="rId213" cstate="print"/>
        <a:srcRect/>
        <a:stretch>
          <a:fillRect/>
        </a:stretch>
      </xdr:blipFill>
      <xdr:spPr>
        <a:xfrm>
          <a:off x="944880" y="11309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xdr:cNvPicPr>
          <a:picLocks noChangeAspect="1" noChangeArrowheads="1"/>
        </xdr:cNvPicPr>
      </xdr:nvPicPr>
      <xdr:blipFill>
        <a:blip r:embed="rId213" cstate="print"/>
        <a:srcRect/>
        <a:stretch>
          <a:fillRect/>
        </a:stretch>
      </xdr:blipFill>
      <xdr:spPr>
        <a:xfrm>
          <a:off x="944880" y="1141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xdr:cNvPicPr>
          <a:picLocks noChangeAspect="1" noChangeArrowheads="1"/>
        </xdr:cNvPicPr>
      </xdr:nvPicPr>
      <xdr:blipFill>
        <a:blip r:embed="rId214" cstate="print"/>
        <a:srcRect/>
        <a:stretch>
          <a:fillRect/>
        </a:stretch>
      </xdr:blipFill>
      <xdr:spPr>
        <a:xfrm>
          <a:off x="944880" y="11576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xdr:cNvPicPr>
          <a:picLocks noChangeAspect="1" noChangeArrowheads="1"/>
        </xdr:cNvPicPr>
      </xdr:nvPicPr>
      <xdr:blipFill>
        <a:blip r:embed="rId215" cstate="print"/>
        <a:srcRect/>
        <a:stretch>
          <a:fillRect/>
        </a:stretch>
      </xdr:blipFill>
      <xdr:spPr>
        <a:xfrm>
          <a:off x="944880"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xdr:cNvPicPr>
          <a:picLocks noChangeAspect="1" noChangeArrowheads="1"/>
        </xdr:cNvPicPr>
      </xdr:nvPicPr>
      <xdr:blipFill>
        <a:blip r:embed="rId216" cstate="print"/>
        <a:srcRect/>
        <a:stretch>
          <a:fillRect/>
        </a:stretch>
      </xdr:blipFill>
      <xdr:spPr>
        <a:xfrm>
          <a:off x="944880" y="11779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xdr:cNvPicPr>
          <a:picLocks noChangeAspect="1" noChangeArrowheads="1"/>
        </xdr:cNvPicPr>
      </xdr:nvPicPr>
      <xdr:blipFill>
        <a:blip r:embed="rId126" cstate="print"/>
        <a:srcRect/>
        <a:stretch>
          <a:fillRect/>
        </a:stretch>
      </xdr:blipFill>
      <xdr:spPr>
        <a:xfrm>
          <a:off x="944880" y="11880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xdr:cNvPicPr>
          <a:picLocks noChangeAspect="1" noChangeArrowheads="1"/>
        </xdr:cNvPicPr>
      </xdr:nvPicPr>
      <xdr:blipFill>
        <a:blip r:embed="rId127" cstate="print"/>
        <a:srcRect/>
        <a:stretch>
          <a:fillRect/>
        </a:stretch>
      </xdr:blipFill>
      <xdr:spPr>
        <a:xfrm>
          <a:off x="944880" y="11982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xdr:cNvPicPr>
          <a:picLocks noChangeAspect="1" noChangeArrowheads="1"/>
        </xdr:cNvPicPr>
      </xdr:nvPicPr>
      <xdr:blipFill>
        <a:blip r:embed="rId128" cstate="print"/>
        <a:srcRect/>
        <a:stretch>
          <a:fillRect/>
        </a:stretch>
      </xdr:blipFill>
      <xdr:spPr>
        <a:xfrm>
          <a:off x="944880" y="12147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xdr:cNvPicPr>
          <a:picLocks noChangeAspect="1" noChangeArrowheads="1"/>
        </xdr:cNvPicPr>
      </xdr:nvPicPr>
      <xdr:blipFill>
        <a:blip r:embed="rId217" cstate="email"/>
        <a:srcRect/>
        <a:stretch>
          <a:fillRect/>
        </a:stretch>
      </xdr:blipFill>
      <xdr:spPr>
        <a:xfrm>
          <a:off x="1169035" y="8961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xdr:cNvPicPr>
          <a:picLocks noChangeAspect="1" noChangeArrowheads="1"/>
        </xdr:cNvPicPr>
      </xdr:nvPicPr>
      <xdr:blipFill>
        <a:blip r:embed="rId218" cstate="email"/>
        <a:srcRect/>
        <a:stretch>
          <a:fillRect/>
        </a:stretch>
      </xdr:blipFill>
      <xdr:spPr>
        <a:xfrm>
          <a:off x="1169035" y="9025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xdr:cNvPicPr>
          <a:picLocks noChangeAspect="1" noChangeArrowheads="1"/>
        </xdr:cNvPicPr>
      </xdr:nvPicPr>
      <xdr:blipFill>
        <a:blip r:embed="rId219" cstate="email"/>
        <a:srcRect/>
        <a:stretch>
          <a:fillRect/>
        </a:stretch>
      </xdr:blipFill>
      <xdr:spPr>
        <a:xfrm>
          <a:off x="1169035" y="9088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xdr:cNvPicPr>
          <a:picLocks noChangeAspect="1" noChangeArrowheads="1"/>
        </xdr:cNvPicPr>
      </xdr:nvPicPr>
      <xdr:blipFill>
        <a:blip r:embed="rId219" cstate="email"/>
        <a:srcRect/>
        <a:stretch>
          <a:fillRect/>
        </a:stretch>
      </xdr:blipFill>
      <xdr:spPr>
        <a:xfrm>
          <a:off x="1169035" y="9152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xdr:cNvPicPr>
          <a:picLocks noChangeAspect="1" noChangeArrowheads="1"/>
        </xdr:cNvPicPr>
      </xdr:nvPicPr>
      <xdr:blipFill>
        <a:blip r:embed="rId220" cstate="email"/>
        <a:srcRect/>
        <a:stretch>
          <a:fillRect/>
        </a:stretch>
      </xdr:blipFill>
      <xdr:spPr>
        <a:xfrm>
          <a:off x="1169035" y="9215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xdr:cNvPicPr>
          <a:picLocks noChangeAspect="1" noChangeArrowheads="1"/>
        </xdr:cNvPicPr>
      </xdr:nvPicPr>
      <xdr:blipFill>
        <a:blip r:embed="rId221" cstate="email"/>
        <a:srcRect/>
        <a:stretch>
          <a:fillRect/>
        </a:stretch>
      </xdr:blipFill>
      <xdr:spPr>
        <a:xfrm>
          <a:off x="1169035" y="9279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xdr:cNvPicPr>
          <a:picLocks noChangeAspect="1" noChangeArrowheads="1"/>
        </xdr:cNvPicPr>
      </xdr:nvPicPr>
      <xdr:blipFill>
        <a:blip r:embed="rId221" cstate="email"/>
        <a:srcRect/>
        <a:stretch>
          <a:fillRect/>
        </a:stretch>
      </xdr:blipFill>
      <xdr:spPr>
        <a:xfrm>
          <a:off x="1169035" y="9342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xdr:cNvPicPr>
          <a:picLocks noChangeAspect="1" noChangeArrowheads="1"/>
        </xdr:cNvPicPr>
      </xdr:nvPicPr>
      <xdr:blipFill>
        <a:blip r:embed="rId222" cstate="email"/>
        <a:srcRect/>
        <a:stretch>
          <a:fillRect/>
        </a:stretch>
      </xdr:blipFill>
      <xdr:spPr>
        <a:xfrm>
          <a:off x="1169035" y="9406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xdr:cNvPicPr>
          <a:picLocks noChangeAspect="1" noChangeArrowheads="1"/>
        </xdr:cNvPicPr>
      </xdr:nvPicPr>
      <xdr:blipFill>
        <a:blip r:embed="rId223" cstate="email"/>
        <a:srcRect/>
        <a:stretch>
          <a:fillRect/>
        </a:stretch>
      </xdr:blipFill>
      <xdr:spPr>
        <a:xfrm>
          <a:off x="1169035" y="94750255"/>
          <a:ext cx="463550"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xdr:cNvPicPr>
          <a:picLocks noChangeAspect="1" noChangeArrowheads="1"/>
        </xdr:cNvPicPr>
      </xdr:nvPicPr>
      <xdr:blipFill>
        <a:blip r:embed="rId223" cstate="email"/>
        <a:srcRect/>
        <a:stretch>
          <a:fillRect/>
        </a:stretch>
      </xdr:blipFill>
      <xdr:spPr>
        <a:xfrm>
          <a:off x="1169035" y="95385255"/>
          <a:ext cx="463550"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xdr:cNvPicPr>
          <a:picLocks noChangeAspect="1" noChangeArrowheads="1"/>
        </xdr:cNvPicPr>
      </xdr:nvPicPr>
      <xdr:blipFill>
        <a:blip r:embed="rId224" cstate="email"/>
        <a:srcRect/>
        <a:stretch>
          <a:fillRect/>
        </a:stretch>
      </xdr:blipFill>
      <xdr:spPr>
        <a:xfrm>
          <a:off x="1169035" y="9598596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xdr:cNvPicPr>
          <a:picLocks noChangeAspect="1" noChangeArrowheads="1"/>
        </xdr:cNvPicPr>
      </xdr:nvPicPr>
      <xdr:blipFill>
        <a:blip r:embed="rId225" cstate="print"/>
        <a:srcRect/>
        <a:stretch>
          <a:fillRect/>
        </a:stretch>
      </xdr:blipFill>
      <xdr:spPr>
        <a:xfrm>
          <a:off x="1143635" y="96634300"/>
          <a:ext cx="455295" cy="58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xdr:cNvPicPr>
          <a:picLocks noChangeAspect="1" noChangeArrowheads="1"/>
        </xdr:cNvPicPr>
      </xdr:nvPicPr>
      <xdr:blipFill>
        <a:blip r:embed="rId226" cstate="email"/>
        <a:srcRect/>
        <a:stretch>
          <a:fillRect/>
        </a:stretch>
      </xdr:blipFill>
      <xdr:spPr>
        <a:xfrm>
          <a:off x="1169035" y="97273110"/>
          <a:ext cx="463550"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xdr:cNvPicPr>
          <a:picLocks noChangeAspect="1" noChangeArrowheads="1"/>
        </xdr:cNvPicPr>
      </xdr:nvPicPr>
      <xdr:blipFill>
        <a:blip r:embed="rId227" cstate="email"/>
        <a:srcRect/>
        <a:stretch>
          <a:fillRect/>
        </a:stretch>
      </xdr:blipFill>
      <xdr:spPr>
        <a:xfrm>
          <a:off x="1169035" y="9787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xdr:cNvPicPr>
          <a:picLocks noChangeAspect="1" noChangeArrowheads="1"/>
        </xdr:cNvPicPr>
      </xdr:nvPicPr>
      <xdr:blipFill>
        <a:blip r:embed="rId228" cstate="email"/>
        <a:srcRect/>
        <a:stretch>
          <a:fillRect/>
        </a:stretch>
      </xdr:blipFill>
      <xdr:spPr>
        <a:xfrm>
          <a:off x="1181735" y="98509455"/>
          <a:ext cx="45275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xdr:cNvPicPr>
          <a:picLocks noChangeAspect="1" noChangeArrowheads="1"/>
        </xdr:cNvPicPr>
      </xdr:nvPicPr>
      <xdr:blipFill>
        <a:blip r:embed="rId229" cstate="print"/>
        <a:srcRect/>
        <a:stretch>
          <a:fillRect/>
        </a:stretch>
      </xdr:blipFill>
      <xdr:spPr>
        <a:xfrm>
          <a:off x="1169035" y="99154615"/>
          <a:ext cx="46355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xdr:cNvPicPr>
          <a:picLocks noChangeAspect="1" noChangeArrowheads="1"/>
        </xdr:cNvPicPr>
      </xdr:nvPicPr>
      <xdr:blipFill>
        <a:blip r:embed="rId230" cstate="email"/>
        <a:srcRect/>
        <a:stretch>
          <a:fillRect/>
        </a:stretch>
      </xdr:blipFill>
      <xdr:spPr>
        <a:xfrm>
          <a:off x="1169035" y="9977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xdr:cNvPicPr>
          <a:picLocks noChangeAspect="1" noChangeArrowheads="1"/>
        </xdr:cNvPicPr>
      </xdr:nvPicPr>
      <xdr:blipFill>
        <a:blip r:embed="rId231" cstate="email"/>
        <a:srcRect/>
        <a:stretch>
          <a:fillRect/>
        </a:stretch>
      </xdr:blipFill>
      <xdr:spPr>
        <a:xfrm>
          <a:off x="1169035" y="10041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xdr:cNvPicPr>
          <a:picLocks noChangeAspect="1" noChangeArrowheads="1"/>
        </xdr:cNvPicPr>
      </xdr:nvPicPr>
      <xdr:blipFill>
        <a:blip r:embed="rId232" cstate="email"/>
        <a:srcRect/>
        <a:stretch>
          <a:fillRect/>
        </a:stretch>
      </xdr:blipFill>
      <xdr:spPr>
        <a:xfrm>
          <a:off x="1156335" y="101116765"/>
          <a:ext cx="474345" cy="5467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xdr:cNvPicPr>
          <a:picLocks noChangeAspect="1" noChangeArrowheads="1"/>
        </xdr:cNvPicPr>
      </xdr:nvPicPr>
      <xdr:blipFill>
        <a:blip r:embed="rId233" cstate="email"/>
        <a:srcRect/>
        <a:stretch>
          <a:fillRect/>
        </a:stretch>
      </xdr:blipFill>
      <xdr:spPr>
        <a:xfrm>
          <a:off x="1156335" y="101735255"/>
          <a:ext cx="474345"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xdr:cNvPicPr>
          <a:picLocks noChangeAspect="1" noChangeArrowheads="1"/>
        </xdr:cNvPicPr>
      </xdr:nvPicPr>
      <xdr:blipFill>
        <a:blip r:embed="rId234" cstate="email"/>
        <a:srcRect/>
        <a:stretch>
          <a:fillRect/>
        </a:stretch>
      </xdr:blipFill>
      <xdr:spPr>
        <a:xfrm>
          <a:off x="1169035" y="102340410"/>
          <a:ext cx="463550"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xdr:cNvPicPr>
          <a:picLocks noChangeAspect="1" noChangeArrowheads="1"/>
        </xdr:cNvPicPr>
      </xdr:nvPicPr>
      <xdr:blipFill>
        <a:blip r:embed="rId235" cstate="email"/>
        <a:srcRect/>
        <a:stretch>
          <a:fillRect/>
        </a:stretch>
      </xdr:blipFill>
      <xdr:spPr>
        <a:xfrm>
          <a:off x="1169035" y="103005255"/>
          <a:ext cx="463550"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xdr:cNvPicPr>
          <a:picLocks noChangeAspect="1" noChangeArrowheads="1"/>
        </xdr:cNvPicPr>
      </xdr:nvPicPr>
      <xdr:blipFill>
        <a:blip r:embed="rId236" cstate="email"/>
        <a:srcRect/>
        <a:stretch>
          <a:fillRect/>
        </a:stretch>
      </xdr:blipFill>
      <xdr:spPr>
        <a:xfrm>
          <a:off x="1169035" y="103623110"/>
          <a:ext cx="463550"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xdr:cNvPicPr>
          <a:picLocks noChangeAspect="1" noChangeArrowheads="1"/>
        </xdr:cNvPicPr>
      </xdr:nvPicPr>
      <xdr:blipFill>
        <a:blip r:embed="rId237" cstate="email"/>
        <a:srcRect/>
        <a:stretch>
          <a:fillRect/>
        </a:stretch>
      </xdr:blipFill>
      <xdr:spPr>
        <a:xfrm>
          <a:off x="1143635" y="104224455"/>
          <a:ext cx="47434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xdr:cNvPicPr>
          <a:picLocks noChangeAspect="1" noChangeArrowheads="1"/>
        </xdr:cNvPicPr>
      </xdr:nvPicPr>
      <xdr:blipFill>
        <a:blip r:embed="rId238" cstate="email"/>
        <a:srcRect/>
        <a:stretch>
          <a:fillRect/>
        </a:stretch>
      </xdr:blipFill>
      <xdr:spPr>
        <a:xfrm>
          <a:off x="1169035" y="10485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xdr:cNvPicPr>
          <a:picLocks noChangeAspect="1" noChangeArrowheads="1"/>
        </xdr:cNvPicPr>
      </xdr:nvPicPr>
      <xdr:blipFill>
        <a:blip r:embed="rId239" cstate="email"/>
        <a:srcRect/>
        <a:stretch>
          <a:fillRect/>
        </a:stretch>
      </xdr:blipFill>
      <xdr:spPr>
        <a:xfrm>
          <a:off x="1169035" y="10549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xdr:cNvPicPr>
          <a:picLocks noChangeAspect="1" noChangeArrowheads="1"/>
        </xdr:cNvPicPr>
      </xdr:nvPicPr>
      <xdr:blipFill>
        <a:blip r:embed="rId240" cstate="print"/>
        <a:srcRect/>
        <a:stretch>
          <a:fillRect/>
        </a:stretch>
      </xdr:blipFill>
      <xdr:spPr>
        <a:xfrm>
          <a:off x="1169035" y="106139615"/>
          <a:ext cx="46355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xdr:cNvPicPr>
          <a:picLocks noChangeAspect="1" noChangeArrowheads="1"/>
        </xdr:cNvPicPr>
      </xdr:nvPicPr>
      <xdr:blipFill>
        <a:blip r:embed="rId241" cstate="email"/>
        <a:srcRect/>
        <a:stretch>
          <a:fillRect/>
        </a:stretch>
      </xdr:blipFill>
      <xdr:spPr>
        <a:xfrm>
          <a:off x="1169035" y="10676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xdr:cNvPicPr>
          <a:picLocks noChangeAspect="1" noChangeArrowheads="1"/>
        </xdr:cNvPicPr>
      </xdr:nvPicPr>
      <xdr:blipFill>
        <a:blip r:embed="rId242" cstate="email"/>
        <a:srcRect/>
        <a:stretch>
          <a:fillRect/>
        </a:stretch>
      </xdr:blipFill>
      <xdr:spPr>
        <a:xfrm>
          <a:off x="1169035" y="10739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xdr:cNvPicPr>
          <a:picLocks noChangeAspect="1" noChangeArrowheads="1"/>
        </xdr:cNvPicPr>
      </xdr:nvPicPr>
      <xdr:blipFill>
        <a:blip r:embed="rId243" cstate="email"/>
        <a:srcRect/>
        <a:stretch>
          <a:fillRect/>
        </a:stretch>
      </xdr:blipFill>
      <xdr:spPr>
        <a:xfrm>
          <a:off x="1156335" y="108034455"/>
          <a:ext cx="47434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xdr:cNvPicPr>
          <a:picLocks noChangeAspect="1" noChangeArrowheads="1"/>
        </xdr:cNvPicPr>
      </xdr:nvPicPr>
      <xdr:blipFill>
        <a:blip r:embed="rId244" cstate="email"/>
        <a:srcRect/>
        <a:stretch>
          <a:fillRect/>
        </a:stretch>
      </xdr:blipFill>
      <xdr:spPr>
        <a:xfrm>
          <a:off x="1156335" y="108666280"/>
          <a:ext cx="44450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xdr:cNvPicPr>
          <a:picLocks noChangeAspect="1" noChangeArrowheads="1"/>
        </xdr:cNvPicPr>
      </xdr:nvPicPr>
      <xdr:blipFill>
        <a:blip r:embed="rId245" cstate="email"/>
        <a:srcRect/>
        <a:stretch>
          <a:fillRect/>
        </a:stretch>
      </xdr:blipFill>
      <xdr:spPr>
        <a:xfrm>
          <a:off x="1156335" y="109288580"/>
          <a:ext cx="44450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xdr:cNvPicPr>
          <a:picLocks noChangeAspect="1" noChangeArrowheads="1"/>
        </xdr:cNvPicPr>
      </xdr:nvPicPr>
      <xdr:blipFill>
        <a:blip r:embed="rId246" cstate="email"/>
        <a:srcRect/>
        <a:stretch>
          <a:fillRect/>
        </a:stretch>
      </xdr:blipFill>
      <xdr:spPr>
        <a:xfrm>
          <a:off x="1156335" y="109939455"/>
          <a:ext cx="47434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xdr:cNvPicPr>
          <a:picLocks noChangeAspect="1" noChangeArrowheads="1"/>
        </xdr:cNvPicPr>
      </xdr:nvPicPr>
      <xdr:blipFill>
        <a:blip r:embed="rId247" cstate="email"/>
        <a:srcRect/>
        <a:stretch>
          <a:fillRect/>
        </a:stretch>
      </xdr:blipFill>
      <xdr:spPr>
        <a:xfrm>
          <a:off x="1142365" y="110639225"/>
          <a:ext cx="445770" cy="508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xdr:cNvPicPr>
          <a:picLocks noChangeAspect="1" noChangeArrowheads="1"/>
        </xdr:cNvPicPr>
      </xdr:nvPicPr>
      <xdr:blipFill>
        <a:blip r:embed="rId248" cstate="email"/>
        <a:srcRect/>
        <a:stretch>
          <a:fillRect/>
        </a:stretch>
      </xdr:blipFill>
      <xdr:spPr>
        <a:xfrm>
          <a:off x="1159510" y="111229775"/>
          <a:ext cx="476250"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xdr:cNvPicPr>
          <a:picLocks noChangeAspect="1" noChangeArrowheads="1"/>
        </xdr:cNvPicPr>
      </xdr:nvPicPr>
      <xdr:blipFill>
        <a:blip r:embed="rId249" cstate="email"/>
        <a:srcRect/>
        <a:stretch>
          <a:fillRect/>
        </a:stretch>
      </xdr:blipFill>
      <xdr:spPr>
        <a:xfrm>
          <a:off x="1310005" y="111944150"/>
          <a:ext cx="325755"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xdr:cNvPicPr>
          <a:picLocks noChangeAspect="1" noChangeArrowheads="1"/>
        </xdr:cNvPicPr>
      </xdr:nvPicPr>
      <xdr:blipFill>
        <a:blip r:embed="rId250" cstate="email"/>
        <a:srcRect/>
        <a:stretch>
          <a:fillRect/>
        </a:stretch>
      </xdr:blipFill>
      <xdr:spPr>
        <a:xfrm>
          <a:off x="1310005" y="11254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xdr:cNvPicPr>
          <a:picLocks noChangeAspect="1" noChangeArrowheads="1"/>
        </xdr:cNvPicPr>
      </xdr:nvPicPr>
      <xdr:blipFill>
        <a:blip r:embed="rId251" cstate="email"/>
        <a:srcRect/>
        <a:stretch>
          <a:fillRect/>
        </a:stretch>
      </xdr:blipFill>
      <xdr:spPr>
        <a:xfrm>
          <a:off x="1310005" y="11317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xdr:cNvPicPr>
          <a:picLocks noChangeAspect="1" noChangeArrowheads="1"/>
        </xdr:cNvPicPr>
      </xdr:nvPicPr>
      <xdr:blipFill>
        <a:blip r:embed="rId252" cstate="email"/>
        <a:srcRect/>
        <a:stretch>
          <a:fillRect/>
        </a:stretch>
      </xdr:blipFill>
      <xdr:spPr>
        <a:xfrm>
          <a:off x="1310005" y="11381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xdr:cNvPicPr>
          <a:picLocks noChangeAspect="1"/>
        </xdr:cNvPicPr>
      </xdr:nvPicPr>
      <xdr:blipFill>
        <a:blip r:embed="rId253" cstate="email"/>
        <a:stretch>
          <a:fillRect/>
        </a:stretch>
      </xdr:blipFill>
      <xdr:spPr>
        <a:xfrm>
          <a:off x="1275080" y="114377470"/>
          <a:ext cx="360680" cy="621030"/>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xdr:cNvPicPr>
          <a:picLocks noChangeAspect="1"/>
        </xdr:cNvPicPr>
      </xdr:nvPicPr>
      <xdr:blipFill>
        <a:blip r:embed="rId254" cstate="email"/>
        <a:stretch>
          <a:fillRect/>
        </a:stretch>
      </xdr:blipFill>
      <xdr:spPr>
        <a:xfrm>
          <a:off x="1259205" y="115017550"/>
          <a:ext cx="376555" cy="615950"/>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xdr:cNvPicPr>
          <a:picLocks noChangeAspect="1"/>
        </xdr:cNvPicPr>
      </xdr:nvPicPr>
      <xdr:blipFill>
        <a:blip r:embed="rId255" cstate="email"/>
        <a:stretch>
          <a:fillRect/>
        </a:stretch>
      </xdr:blipFill>
      <xdr:spPr>
        <a:xfrm>
          <a:off x="1208405" y="115677950"/>
          <a:ext cx="427355" cy="590550"/>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xdr:cNvPicPr>
          <a:picLocks noChangeAspect="1"/>
        </xdr:cNvPicPr>
      </xdr:nvPicPr>
      <xdr:blipFill>
        <a:blip r:embed="rId256" cstate="email"/>
        <a:stretch>
          <a:fillRect/>
        </a:stretch>
      </xdr:blipFill>
      <xdr:spPr>
        <a:xfrm>
          <a:off x="1249680" y="116312950"/>
          <a:ext cx="386080" cy="590550"/>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xdr:cNvPicPr>
          <a:picLocks noChangeAspect="1"/>
        </xdr:cNvPicPr>
      </xdr:nvPicPr>
      <xdr:blipFill>
        <a:blip r:embed="rId257" cstate="email"/>
        <a:stretch>
          <a:fillRect/>
        </a:stretch>
      </xdr:blipFill>
      <xdr:spPr>
        <a:xfrm>
          <a:off x="1259205" y="116935250"/>
          <a:ext cx="376555" cy="603250"/>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xdr:cNvPicPr>
          <a:picLocks noChangeAspect="1"/>
        </xdr:cNvPicPr>
      </xdr:nvPicPr>
      <xdr:blipFill>
        <a:blip r:embed="rId258" cstate="email"/>
        <a:stretch>
          <a:fillRect/>
        </a:stretch>
      </xdr:blipFill>
      <xdr:spPr>
        <a:xfrm>
          <a:off x="1273810" y="117591205"/>
          <a:ext cx="361950" cy="582295"/>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xdr:cNvPicPr>
          <a:picLocks noChangeAspect="1"/>
        </xdr:cNvPicPr>
      </xdr:nvPicPr>
      <xdr:blipFill>
        <a:blip r:embed="rId259" cstate="email"/>
        <a:stretch>
          <a:fillRect/>
        </a:stretch>
      </xdr:blipFill>
      <xdr:spPr>
        <a:xfrm>
          <a:off x="1411605" y="118256050"/>
          <a:ext cx="224155" cy="5346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xdr:cNvPicPr>
          <a:picLocks noChangeAspect="1"/>
        </xdr:cNvPicPr>
      </xdr:nvPicPr>
      <xdr:blipFill>
        <a:blip r:embed="rId259" cstate="email"/>
        <a:stretch>
          <a:fillRect/>
        </a:stretch>
      </xdr:blipFill>
      <xdr:spPr>
        <a:xfrm>
          <a:off x="1411605" y="118891050"/>
          <a:ext cx="224155" cy="534670"/>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xdr:cNvPicPr>
          <a:picLocks noChangeAspect="1"/>
        </xdr:cNvPicPr>
      </xdr:nvPicPr>
      <xdr:blipFill>
        <a:blip r:embed="rId259" cstate="email"/>
        <a:stretch>
          <a:fillRect/>
        </a:stretch>
      </xdr:blipFill>
      <xdr:spPr>
        <a:xfrm>
          <a:off x="1411605" y="119526050"/>
          <a:ext cx="224155" cy="5346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xdr:cNvPicPr>
          <a:picLocks noChangeAspect="1"/>
        </xdr:cNvPicPr>
      </xdr:nvPicPr>
      <xdr:blipFill>
        <a:blip r:embed="rId260" cstate="email"/>
        <a:stretch>
          <a:fillRect/>
        </a:stretch>
      </xdr:blipFill>
      <xdr:spPr>
        <a:xfrm>
          <a:off x="1332865" y="120098820"/>
          <a:ext cx="302895" cy="614680"/>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xdr:cNvPicPr>
          <a:picLocks noChangeAspect="1"/>
        </xdr:cNvPicPr>
      </xdr:nvPicPr>
      <xdr:blipFill>
        <a:blip r:embed="rId261" cstate="email"/>
        <a:stretch>
          <a:fillRect/>
        </a:stretch>
      </xdr:blipFill>
      <xdr:spPr>
        <a:xfrm>
          <a:off x="1334135" y="120739535"/>
          <a:ext cx="301625" cy="608965"/>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xdr:cNvPicPr>
          <a:picLocks noChangeAspect="1"/>
        </xdr:cNvPicPr>
      </xdr:nvPicPr>
      <xdr:blipFill>
        <a:blip r:embed="rId260" cstate="email"/>
        <a:stretch>
          <a:fillRect/>
        </a:stretch>
      </xdr:blipFill>
      <xdr:spPr>
        <a:xfrm>
          <a:off x="1332865" y="121368820"/>
          <a:ext cx="302895" cy="614680"/>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xdr:cNvPicPr>
          <a:picLocks noChangeAspect="1" noChangeArrowheads="1"/>
        </xdr:cNvPicPr>
      </xdr:nvPicPr>
      <xdr:blipFill>
        <a:blip r:embed="rId262" cstate="email"/>
        <a:srcRect/>
        <a:stretch>
          <a:fillRect/>
        </a:stretch>
      </xdr:blipFill>
      <xdr:spPr>
        <a:xfrm>
          <a:off x="1310005" y="16397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xdr:cNvPicPr>
          <a:picLocks noChangeAspect="1" noChangeArrowheads="1"/>
        </xdr:cNvPicPr>
      </xdr:nvPicPr>
      <xdr:blipFill>
        <a:blip r:embed="rId262" cstate="email"/>
        <a:srcRect/>
        <a:stretch>
          <a:fillRect/>
        </a:stretch>
      </xdr:blipFill>
      <xdr:spPr>
        <a:xfrm>
          <a:off x="1310005" y="16461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xdr:cNvPicPr>
          <a:picLocks noChangeAspect="1" noChangeArrowheads="1"/>
        </xdr:cNvPicPr>
      </xdr:nvPicPr>
      <xdr:blipFill>
        <a:blip r:embed="rId263" cstate="email"/>
        <a:srcRect/>
        <a:stretch>
          <a:fillRect/>
        </a:stretch>
      </xdr:blipFill>
      <xdr:spPr>
        <a:xfrm>
          <a:off x="1310005" y="16524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xdr:cNvPicPr>
          <a:picLocks noChangeAspect="1" noChangeArrowheads="1"/>
        </xdr:cNvPicPr>
      </xdr:nvPicPr>
      <xdr:blipFill>
        <a:blip r:embed="rId263" cstate="email"/>
        <a:srcRect/>
        <a:stretch>
          <a:fillRect/>
        </a:stretch>
      </xdr:blipFill>
      <xdr:spPr>
        <a:xfrm>
          <a:off x="1310005" y="1658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xdr:cNvPicPr>
          <a:picLocks noChangeAspect="1" noChangeArrowheads="1"/>
        </xdr:cNvPicPr>
      </xdr:nvPicPr>
      <xdr:blipFill>
        <a:blip r:embed="rId263" cstate="email"/>
        <a:srcRect/>
        <a:stretch>
          <a:fillRect/>
        </a:stretch>
      </xdr:blipFill>
      <xdr:spPr>
        <a:xfrm>
          <a:off x="1310005" y="1665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xdr:cNvPicPr>
          <a:picLocks noChangeAspect="1" noChangeArrowheads="1"/>
        </xdr:cNvPicPr>
      </xdr:nvPicPr>
      <xdr:blipFill>
        <a:blip r:embed="rId263" cstate="email"/>
        <a:srcRect/>
        <a:stretch>
          <a:fillRect/>
        </a:stretch>
      </xdr:blipFill>
      <xdr:spPr>
        <a:xfrm>
          <a:off x="1310005" y="16715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xdr:cNvPicPr>
          <a:picLocks noChangeAspect="1" noChangeArrowheads="1"/>
        </xdr:cNvPicPr>
      </xdr:nvPicPr>
      <xdr:blipFill>
        <a:blip r:embed="rId264" cstate="print"/>
        <a:srcRect/>
        <a:stretch>
          <a:fillRect/>
        </a:stretch>
      </xdr:blipFill>
      <xdr:spPr>
        <a:xfrm>
          <a:off x="1297305" y="16778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xdr:cNvPicPr>
          <a:picLocks noChangeAspect="1" noChangeArrowheads="1"/>
        </xdr:cNvPicPr>
      </xdr:nvPicPr>
      <xdr:blipFill>
        <a:blip r:embed="rId265" cstate="print"/>
        <a:srcRect/>
        <a:stretch>
          <a:fillRect/>
        </a:stretch>
      </xdr:blipFill>
      <xdr:spPr>
        <a:xfrm>
          <a:off x="1297305" y="16842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xdr:cNvPicPr>
          <a:picLocks noChangeAspect="1" noChangeArrowheads="1"/>
        </xdr:cNvPicPr>
      </xdr:nvPicPr>
      <xdr:blipFill>
        <a:blip r:embed="rId265" cstate="print"/>
        <a:srcRect/>
        <a:stretch>
          <a:fillRect/>
        </a:stretch>
      </xdr:blipFill>
      <xdr:spPr>
        <a:xfrm>
          <a:off x="1297305" y="16905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xdr:cNvPicPr>
          <a:picLocks noChangeAspect="1" noChangeArrowheads="1"/>
        </xdr:cNvPicPr>
      </xdr:nvPicPr>
      <xdr:blipFill>
        <a:blip r:embed="rId265" cstate="print"/>
        <a:srcRect/>
        <a:stretch>
          <a:fillRect/>
        </a:stretch>
      </xdr:blipFill>
      <xdr:spPr>
        <a:xfrm>
          <a:off x="1297305" y="16969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xdr:cNvPicPr>
          <a:picLocks noChangeAspect="1" noChangeArrowheads="1"/>
        </xdr:cNvPicPr>
      </xdr:nvPicPr>
      <xdr:blipFill>
        <a:blip r:embed="rId266" cstate="print"/>
        <a:srcRect/>
        <a:stretch>
          <a:fillRect/>
        </a:stretch>
      </xdr:blipFill>
      <xdr:spPr>
        <a:xfrm>
          <a:off x="1297305" y="17032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xdr:cNvPicPr>
          <a:picLocks noChangeAspect="1" noChangeArrowheads="1"/>
        </xdr:cNvPicPr>
      </xdr:nvPicPr>
      <xdr:blipFill>
        <a:blip r:embed="rId266" cstate="print"/>
        <a:srcRect/>
        <a:stretch>
          <a:fillRect/>
        </a:stretch>
      </xdr:blipFill>
      <xdr:spPr>
        <a:xfrm>
          <a:off x="1297305" y="17096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xdr:cNvPicPr>
          <a:picLocks noChangeAspect="1" noChangeArrowheads="1"/>
        </xdr:cNvPicPr>
      </xdr:nvPicPr>
      <xdr:blipFill>
        <a:blip r:embed="rId267" cstate="print"/>
        <a:srcRect/>
        <a:stretch>
          <a:fillRect/>
        </a:stretch>
      </xdr:blipFill>
      <xdr:spPr>
        <a:xfrm>
          <a:off x="1297305" y="17159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xdr:cNvPicPr>
          <a:picLocks noChangeAspect="1" noChangeArrowheads="1"/>
        </xdr:cNvPicPr>
      </xdr:nvPicPr>
      <xdr:blipFill>
        <a:blip r:embed="rId267" cstate="print"/>
        <a:srcRect/>
        <a:stretch>
          <a:fillRect/>
        </a:stretch>
      </xdr:blipFill>
      <xdr:spPr>
        <a:xfrm>
          <a:off x="1297305" y="17223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xdr:cNvPicPr>
          <a:picLocks noChangeAspect="1" noChangeArrowheads="1"/>
        </xdr:cNvPicPr>
      </xdr:nvPicPr>
      <xdr:blipFill>
        <a:blip r:embed="rId267" cstate="print"/>
        <a:srcRect/>
        <a:stretch>
          <a:fillRect/>
        </a:stretch>
      </xdr:blipFill>
      <xdr:spPr>
        <a:xfrm>
          <a:off x="1297305" y="17286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xdr:cNvPicPr>
          <a:picLocks noChangeAspect="1" noChangeArrowheads="1"/>
        </xdr:cNvPicPr>
      </xdr:nvPicPr>
      <xdr:blipFill>
        <a:blip r:embed="rId268" cstate="print"/>
        <a:srcRect/>
        <a:stretch>
          <a:fillRect/>
        </a:stretch>
      </xdr:blipFill>
      <xdr:spPr>
        <a:xfrm>
          <a:off x="1297305" y="17350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xdr:cNvPicPr>
          <a:picLocks noChangeAspect="1" noChangeArrowheads="1"/>
        </xdr:cNvPicPr>
      </xdr:nvPicPr>
      <xdr:blipFill>
        <a:blip r:embed="rId268" cstate="print"/>
        <a:srcRect/>
        <a:stretch>
          <a:fillRect/>
        </a:stretch>
      </xdr:blipFill>
      <xdr:spPr>
        <a:xfrm>
          <a:off x="1297305" y="17413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xdr:cNvPicPr>
          <a:picLocks noChangeAspect="1" noChangeArrowheads="1"/>
        </xdr:cNvPicPr>
      </xdr:nvPicPr>
      <xdr:blipFill>
        <a:blip r:embed="rId268" cstate="print"/>
        <a:srcRect/>
        <a:stretch>
          <a:fillRect/>
        </a:stretch>
      </xdr:blipFill>
      <xdr:spPr>
        <a:xfrm>
          <a:off x="1297305" y="17477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xdr:cNvPicPr>
          <a:picLocks noChangeAspect="1" noChangeArrowheads="1"/>
        </xdr:cNvPicPr>
      </xdr:nvPicPr>
      <xdr:blipFill>
        <a:blip r:embed="rId269" cstate="print"/>
        <a:srcRect/>
        <a:stretch>
          <a:fillRect/>
        </a:stretch>
      </xdr:blipFill>
      <xdr:spPr>
        <a:xfrm>
          <a:off x="1297305" y="17540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xdr:cNvPicPr>
          <a:picLocks noChangeAspect="1" noChangeArrowheads="1"/>
        </xdr:cNvPicPr>
      </xdr:nvPicPr>
      <xdr:blipFill>
        <a:blip r:embed="rId269" cstate="print"/>
        <a:srcRect/>
        <a:stretch>
          <a:fillRect/>
        </a:stretch>
      </xdr:blipFill>
      <xdr:spPr>
        <a:xfrm>
          <a:off x="1297305" y="17604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xdr:cNvPicPr>
          <a:picLocks noChangeAspect="1" noChangeArrowheads="1"/>
        </xdr:cNvPicPr>
      </xdr:nvPicPr>
      <xdr:blipFill>
        <a:blip r:embed="rId269" cstate="print"/>
        <a:srcRect/>
        <a:stretch>
          <a:fillRect/>
        </a:stretch>
      </xdr:blipFill>
      <xdr:spPr>
        <a:xfrm>
          <a:off x="1297305" y="17667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xdr:cNvPicPr>
          <a:picLocks noChangeAspect="1" noChangeArrowheads="1"/>
        </xdr:cNvPicPr>
      </xdr:nvPicPr>
      <xdr:blipFill>
        <a:blip r:embed="rId270" cstate="email"/>
        <a:srcRect/>
        <a:stretch>
          <a:fillRect/>
        </a:stretch>
      </xdr:blipFill>
      <xdr:spPr>
        <a:xfrm>
          <a:off x="1310005" y="17794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xdr:cNvPicPr>
          <a:picLocks noChangeAspect="1" noChangeArrowheads="1"/>
        </xdr:cNvPicPr>
      </xdr:nvPicPr>
      <xdr:blipFill>
        <a:blip r:embed="rId270" cstate="email"/>
        <a:srcRect/>
        <a:stretch>
          <a:fillRect/>
        </a:stretch>
      </xdr:blipFill>
      <xdr:spPr>
        <a:xfrm>
          <a:off x="1310005" y="1785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xdr:cNvPicPr>
          <a:picLocks noChangeAspect="1" noChangeArrowheads="1"/>
        </xdr:cNvPicPr>
      </xdr:nvPicPr>
      <xdr:blipFill>
        <a:blip r:embed="rId270" cstate="email"/>
        <a:srcRect/>
        <a:stretch>
          <a:fillRect/>
        </a:stretch>
      </xdr:blipFill>
      <xdr:spPr>
        <a:xfrm>
          <a:off x="1310005" y="1792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xdr:cNvPicPr>
          <a:picLocks noChangeAspect="1" noChangeArrowheads="1"/>
        </xdr:cNvPicPr>
      </xdr:nvPicPr>
      <xdr:blipFill>
        <a:blip r:embed="rId271" cstate="print"/>
        <a:srcRect/>
        <a:stretch>
          <a:fillRect/>
        </a:stretch>
      </xdr:blipFill>
      <xdr:spPr>
        <a:xfrm>
          <a:off x="1297305" y="17985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xdr:cNvPicPr>
          <a:picLocks noChangeAspect="1" noChangeArrowheads="1"/>
        </xdr:cNvPicPr>
      </xdr:nvPicPr>
      <xdr:blipFill>
        <a:blip r:embed="rId272" cstate="print"/>
        <a:srcRect/>
        <a:stretch>
          <a:fillRect/>
        </a:stretch>
      </xdr:blipFill>
      <xdr:spPr>
        <a:xfrm>
          <a:off x="1284605" y="181146450"/>
          <a:ext cx="351155" cy="452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xdr:cNvPicPr>
          <a:picLocks noChangeAspect="1" noChangeArrowheads="1"/>
        </xdr:cNvPicPr>
      </xdr:nvPicPr>
      <xdr:blipFill>
        <a:blip r:embed="rId273" cstate="email"/>
        <a:srcRect/>
        <a:stretch>
          <a:fillRect/>
        </a:stretch>
      </xdr:blipFill>
      <xdr:spPr>
        <a:xfrm>
          <a:off x="1271905" y="181756050"/>
          <a:ext cx="3638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xdr:cNvPicPr>
          <a:picLocks noChangeAspect="1" noChangeArrowheads="1"/>
        </xdr:cNvPicPr>
      </xdr:nvPicPr>
      <xdr:blipFill>
        <a:blip r:embed="rId273" cstate="email"/>
        <a:srcRect/>
        <a:stretch>
          <a:fillRect/>
        </a:stretch>
      </xdr:blipFill>
      <xdr:spPr>
        <a:xfrm>
          <a:off x="1271905" y="182391050"/>
          <a:ext cx="3638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xdr:cNvPicPr>
          <a:picLocks noChangeAspect="1" noChangeArrowheads="1"/>
        </xdr:cNvPicPr>
      </xdr:nvPicPr>
      <xdr:blipFill>
        <a:blip r:embed="rId274" cstate="email"/>
        <a:srcRect/>
        <a:stretch>
          <a:fillRect/>
        </a:stretch>
      </xdr:blipFill>
      <xdr:spPr>
        <a:xfrm>
          <a:off x="1271905" y="183026050"/>
          <a:ext cx="3638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xdr:cNvPicPr>
          <a:picLocks noChangeAspect="1" noChangeArrowheads="1"/>
        </xdr:cNvPicPr>
      </xdr:nvPicPr>
      <xdr:blipFill>
        <a:blip r:embed="rId275" cstate="email"/>
        <a:srcRect/>
        <a:stretch>
          <a:fillRect/>
        </a:stretch>
      </xdr:blipFill>
      <xdr:spPr>
        <a:xfrm>
          <a:off x="1310005" y="183699150"/>
          <a:ext cx="325755"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xdr:cNvPicPr>
          <a:picLocks noChangeAspect="1" noChangeArrowheads="1"/>
        </xdr:cNvPicPr>
      </xdr:nvPicPr>
      <xdr:blipFill>
        <a:blip r:embed="rId276" cstate="email"/>
        <a:srcRect/>
        <a:stretch>
          <a:fillRect/>
        </a:stretch>
      </xdr:blipFill>
      <xdr:spPr>
        <a:xfrm>
          <a:off x="1310005" y="18429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xdr:cNvPicPr>
          <a:picLocks noChangeAspect="1" noChangeArrowheads="1"/>
        </xdr:cNvPicPr>
      </xdr:nvPicPr>
      <xdr:blipFill>
        <a:blip r:embed="rId276" cstate="email"/>
        <a:srcRect/>
        <a:stretch>
          <a:fillRect/>
        </a:stretch>
      </xdr:blipFill>
      <xdr:spPr>
        <a:xfrm>
          <a:off x="1310005" y="18493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xdr:cNvPicPr>
          <a:picLocks noChangeAspect="1" noChangeArrowheads="1"/>
        </xdr:cNvPicPr>
      </xdr:nvPicPr>
      <xdr:blipFill>
        <a:blip r:embed="rId276" cstate="email"/>
        <a:srcRect/>
        <a:stretch>
          <a:fillRect/>
        </a:stretch>
      </xdr:blipFill>
      <xdr:spPr>
        <a:xfrm>
          <a:off x="1310005" y="18556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xdr:cNvPicPr>
          <a:picLocks noChangeAspect="1" noChangeArrowheads="1"/>
        </xdr:cNvPicPr>
      </xdr:nvPicPr>
      <xdr:blipFill>
        <a:blip r:embed="rId277" cstate="email"/>
        <a:srcRect/>
        <a:stretch>
          <a:fillRect/>
        </a:stretch>
      </xdr:blipFill>
      <xdr:spPr>
        <a:xfrm>
          <a:off x="1310005" y="18620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xdr:cNvPicPr>
          <a:picLocks noChangeAspect="1" noChangeArrowheads="1"/>
        </xdr:cNvPicPr>
      </xdr:nvPicPr>
      <xdr:blipFill>
        <a:blip r:embed="rId278" cstate="email"/>
        <a:srcRect/>
        <a:stretch>
          <a:fillRect/>
        </a:stretch>
      </xdr:blipFill>
      <xdr:spPr>
        <a:xfrm>
          <a:off x="1310005" y="18683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xdr:cNvPicPr>
          <a:picLocks noChangeAspect="1" noChangeArrowheads="1"/>
        </xdr:cNvPicPr>
      </xdr:nvPicPr>
      <xdr:blipFill>
        <a:blip r:embed="rId279" cstate="email"/>
        <a:srcRect/>
        <a:stretch>
          <a:fillRect/>
        </a:stretch>
      </xdr:blipFill>
      <xdr:spPr>
        <a:xfrm>
          <a:off x="1310005" y="18747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xdr:cNvPicPr>
          <a:picLocks noChangeAspect="1" noChangeArrowheads="1"/>
        </xdr:cNvPicPr>
      </xdr:nvPicPr>
      <xdr:blipFill>
        <a:blip r:embed="rId279" cstate="email"/>
        <a:srcRect/>
        <a:stretch>
          <a:fillRect/>
        </a:stretch>
      </xdr:blipFill>
      <xdr:spPr>
        <a:xfrm>
          <a:off x="1310005" y="18810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xdr:cNvPicPr>
          <a:picLocks noChangeAspect="1" noChangeArrowheads="1"/>
        </xdr:cNvPicPr>
      </xdr:nvPicPr>
      <xdr:blipFill>
        <a:blip r:embed="rId279" cstate="email"/>
        <a:srcRect/>
        <a:stretch>
          <a:fillRect/>
        </a:stretch>
      </xdr:blipFill>
      <xdr:spPr>
        <a:xfrm>
          <a:off x="1310005" y="18874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xdr:cNvPicPr>
          <a:picLocks noChangeAspect="1" noChangeArrowheads="1"/>
        </xdr:cNvPicPr>
      </xdr:nvPicPr>
      <xdr:blipFill>
        <a:blip r:embed="rId280" cstate="email"/>
        <a:srcRect/>
        <a:stretch>
          <a:fillRect/>
        </a:stretch>
      </xdr:blipFill>
      <xdr:spPr>
        <a:xfrm>
          <a:off x="1310005" y="18937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xdr:cNvPicPr>
          <a:picLocks noChangeAspect="1" noChangeArrowheads="1"/>
        </xdr:cNvPicPr>
      </xdr:nvPicPr>
      <xdr:blipFill>
        <a:blip r:embed="rId280" cstate="email"/>
        <a:srcRect/>
        <a:stretch>
          <a:fillRect/>
        </a:stretch>
      </xdr:blipFill>
      <xdr:spPr>
        <a:xfrm>
          <a:off x="1310005" y="19001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xdr:cNvPicPr>
          <a:picLocks noChangeAspect="1" noChangeArrowheads="1"/>
        </xdr:cNvPicPr>
      </xdr:nvPicPr>
      <xdr:blipFill>
        <a:blip r:embed="rId281" cstate="email"/>
        <a:srcRect/>
        <a:stretch>
          <a:fillRect/>
        </a:stretch>
      </xdr:blipFill>
      <xdr:spPr>
        <a:xfrm>
          <a:off x="1310005" y="19064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xdr:cNvPicPr>
          <a:picLocks noChangeAspect="1" noChangeArrowheads="1"/>
        </xdr:cNvPicPr>
      </xdr:nvPicPr>
      <xdr:blipFill>
        <a:blip r:embed="rId281" cstate="email"/>
        <a:srcRect/>
        <a:stretch>
          <a:fillRect/>
        </a:stretch>
      </xdr:blipFill>
      <xdr:spPr>
        <a:xfrm>
          <a:off x="1310005" y="1912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xdr:cNvPicPr>
          <a:picLocks noChangeAspect="1" noChangeArrowheads="1"/>
        </xdr:cNvPicPr>
      </xdr:nvPicPr>
      <xdr:blipFill>
        <a:blip r:embed="rId281" cstate="email"/>
        <a:srcRect/>
        <a:stretch>
          <a:fillRect/>
        </a:stretch>
      </xdr:blipFill>
      <xdr:spPr>
        <a:xfrm>
          <a:off x="1310005" y="1919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xdr:cNvPicPr>
          <a:picLocks noChangeAspect="1" noChangeArrowheads="1"/>
        </xdr:cNvPicPr>
      </xdr:nvPicPr>
      <xdr:blipFill>
        <a:blip r:embed="rId282" cstate="email"/>
        <a:srcRect/>
        <a:stretch>
          <a:fillRect/>
        </a:stretch>
      </xdr:blipFill>
      <xdr:spPr>
        <a:xfrm>
          <a:off x="1310005" y="19255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xdr:cNvPicPr>
          <a:picLocks noChangeAspect="1" noChangeArrowheads="1"/>
        </xdr:cNvPicPr>
      </xdr:nvPicPr>
      <xdr:blipFill>
        <a:blip r:embed="rId283" cstate="email"/>
        <a:srcRect/>
        <a:stretch>
          <a:fillRect/>
        </a:stretch>
      </xdr:blipFill>
      <xdr:spPr>
        <a:xfrm>
          <a:off x="1310005" y="19318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xdr:cNvPicPr>
          <a:picLocks noChangeAspect="1" noChangeArrowheads="1"/>
        </xdr:cNvPicPr>
      </xdr:nvPicPr>
      <xdr:blipFill>
        <a:blip r:embed="rId283" cstate="email"/>
        <a:srcRect/>
        <a:stretch>
          <a:fillRect/>
        </a:stretch>
      </xdr:blipFill>
      <xdr:spPr>
        <a:xfrm>
          <a:off x="1310005" y="19382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xdr:cNvPicPr>
          <a:picLocks noChangeAspect="1" noChangeArrowheads="1"/>
        </xdr:cNvPicPr>
      </xdr:nvPicPr>
      <xdr:blipFill>
        <a:blip r:embed="rId283" cstate="email"/>
        <a:srcRect/>
        <a:stretch>
          <a:fillRect/>
        </a:stretch>
      </xdr:blipFill>
      <xdr:spPr>
        <a:xfrm>
          <a:off x="1310005" y="19445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xdr:cNvPicPr>
          <a:picLocks noChangeAspect="1" noChangeArrowheads="1"/>
        </xdr:cNvPicPr>
      </xdr:nvPicPr>
      <xdr:blipFill>
        <a:blip r:embed="rId284" cstate="email"/>
        <a:srcRect/>
        <a:stretch>
          <a:fillRect/>
        </a:stretch>
      </xdr:blipFill>
      <xdr:spPr>
        <a:xfrm>
          <a:off x="1310005" y="19509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xdr:cNvPicPr>
          <a:picLocks noChangeAspect="1" noChangeArrowheads="1"/>
        </xdr:cNvPicPr>
      </xdr:nvPicPr>
      <xdr:blipFill>
        <a:blip r:embed="rId284" cstate="email"/>
        <a:srcRect/>
        <a:stretch>
          <a:fillRect/>
        </a:stretch>
      </xdr:blipFill>
      <xdr:spPr>
        <a:xfrm>
          <a:off x="1310005" y="19572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xdr:cNvPicPr>
          <a:picLocks noChangeAspect="1" noChangeArrowheads="1"/>
        </xdr:cNvPicPr>
      </xdr:nvPicPr>
      <xdr:blipFill>
        <a:blip r:embed="rId284" cstate="email"/>
        <a:srcRect/>
        <a:stretch>
          <a:fillRect/>
        </a:stretch>
      </xdr:blipFill>
      <xdr:spPr>
        <a:xfrm>
          <a:off x="1310005" y="19636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xdr:cNvPicPr>
          <a:picLocks noChangeAspect="1" noChangeArrowheads="1"/>
        </xdr:cNvPicPr>
      </xdr:nvPicPr>
      <xdr:blipFill>
        <a:blip r:embed="rId284" cstate="email"/>
        <a:srcRect/>
        <a:stretch>
          <a:fillRect/>
        </a:stretch>
      </xdr:blipFill>
      <xdr:spPr>
        <a:xfrm>
          <a:off x="1310005" y="19699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xdr:cNvPicPr>
          <a:picLocks noChangeAspect="1" noChangeArrowheads="1"/>
        </xdr:cNvPicPr>
      </xdr:nvPicPr>
      <xdr:blipFill>
        <a:blip r:embed="rId285" cstate="email"/>
        <a:srcRect/>
        <a:stretch>
          <a:fillRect/>
        </a:stretch>
      </xdr:blipFill>
      <xdr:spPr>
        <a:xfrm>
          <a:off x="1310005" y="19763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xdr:cNvPicPr>
          <a:picLocks noChangeAspect="1" noChangeArrowheads="1"/>
        </xdr:cNvPicPr>
      </xdr:nvPicPr>
      <xdr:blipFill>
        <a:blip r:embed="rId285" cstate="email"/>
        <a:srcRect/>
        <a:stretch>
          <a:fillRect/>
        </a:stretch>
      </xdr:blipFill>
      <xdr:spPr>
        <a:xfrm>
          <a:off x="1310005" y="19826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xdr:cNvPicPr>
          <a:picLocks noChangeAspect="1" noChangeArrowheads="1"/>
        </xdr:cNvPicPr>
      </xdr:nvPicPr>
      <xdr:blipFill>
        <a:blip r:embed="rId286" cstate="print"/>
        <a:srcRect/>
        <a:stretch>
          <a:fillRect/>
        </a:stretch>
      </xdr:blipFill>
      <xdr:spPr>
        <a:xfrm>
          <a:off x="1297305" y="19890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xdr:cNvPicPr>
          <a:picLocks noChangeAspect="1" noChangeArrowheads="1"/>
        </xdr:cNvPicPr>
      </xdr:nvPicPr>
      <xdr:blipFill>
        <a:blip r:embed="rId286" cstate="print"/>
        <a:srcRect/>
        <a:stretch>
          <a:fillRect/>
        </a:stretch>
      </xdr:blipFill>
      <xdr:spPr>
        <a:xfrm>
          <a:off x="1297305" y="19953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xdr:cNvPicPr>
          <a:picLocks noChangeAspect="1" noChangeArrowheads="1"/>
        </xdr:cNvPicPr>
      </xdr:nvPicPr>
      <xdr:blipFill>
        <a:blip r:embed="rId286" cstate="print"/>
        <a:srcRect/>
        <a:stretch>
          <a:fillRect/>
        </a:stretch>
      </xdr:blipFill>
      <xdr:spPr>
        <a:xfrm>
          <a:off x="1297305" y="20017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xdr:cNvPicPr>
          <a:picLocks noChangeAspect="1" noChangeArrowheads="1"/>
        </xdr:cNvPicPr>
      </xdr:nvPicPr>
      <xdr:blipFill>
        <a:blip r:embed="rId287" cstate="print"/>
        <a:srcRect/>
        <a:stretch>
          <a:fillRect/>
        </a:stretch>
      </xdr:blipFill>
      <xdr:spPr>
        <a:xfrm>
          <a:off x="1297305" y="20080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xdr:cNvPicPr>
          <a:picLocks noChangeAspect="1" noChangeArrowheads="1"/>
        </xdr:cNvPicPr>
      </xdr:nvPicPr>
      <xdr:blipFill>
        <a:blip r:embed="rId287" cstate="print"/>
        <a:srcRect/>
        <a:stretch>
          <a:fillRect/>
        </a:stretch>
      </xdr:blipFill>
      <xdr:spPr>
        <a:xfrm>
          <a:off x="1297305" y="20144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xdr:cNvPicPr>
          <a:picLocks noChangeAspect="1" noChangeArrowheads="1"/>
        </xdr:cNvPicPr>
      </xdr:nvPicPr>
      <xdr:blipFill>
        <a:blip r:embed="rId287" cstate="print"/>
        <a:srcRect/>
        <a:stretch>
          <a:fillRect/>
        </a:stretch>
      </xdr:blipFill>
      <xdr:spPr>
        <a:xfrm>
          <a:off x="1297305" y="20207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xdr:cNvPicPr>
          <a:picLocks noChangeAspect="1" noChangeArrowheads="1"/>
        </xdr:cNvPicPr>
      </xdr:nvPicPr>
      <xdr:blipFill>
        <a:blip r:embed="rId288" cstate="print"/>
        <a:srcRect/>
        <a:stretch>
          <a:fillRect/>
        </a:stretch>
      </xdr:blipFill>
      <xdr:spPr>
        <a:xfrm>
          <a:off x="1297305" y="20271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xdr:cNvPicPr>
          <a:picLocks noChangeAspect="1" noChangeArrowheads="1"/>
        </xdr:cNvPicPr>
      </xdr:nvPicPr>
      <xdr:blipFill>
        <a:blip r:embed="rId288" cstate="print"/>
        <a:srcRect/>
        <a:stretch>
          <a:fillRect/>
        </a:stretch>
      </xdr:blipFill>
      <xdr:spPr>
        <a:xfrm>
          <a:off x="1297305" y="20334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xdr:cNvPicPr>
          <a:picLocks noChangeAspect="1" noChangeArrowheads="1"/>
        </xdr:cNvPicPr>
      </xdr:nvPicPr>
      <xdr:blipFill>
        <a:blip r:embed="rId289" cstate="email"/>
        <a:srcRect/>
        <a:stretch>
          <a:fillRect/>
        </a:stretch>
      </xdr:blipFill>
      <xdr:spPr>
        <a:xfrm>
          <a:off x="1310005" y="2039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xdr:cNvPicPr>
          <a:picLocks noChangeAspect="1" noChangeArrowheads="1"/>
        </xdr:cNvPicPr>
      </xdr:nvPicPr>
      <xdr:blipFill>
        <a:blip r:embed="rId290" cstate="email"/>
        <a:srcRect/>
        <a:stretch>
          <a:fillRect/>
        </a:stretch>
      </xdr:blipFill>
      <xdr:spPr>
        <a:xfrm>
          <a:off x="1310005" y="2046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xdr:cNvPicPr>
          <a:picLocks noChangeAspect="1" noChangeArrowheads="1"/>
        </xdr:cNvPicPr>
      </xdr:nvPicPr>
      <xdr:blipFill>
        <a:blip r:embed="rId290" cstate="email"/>
        <a:srcRect/>
        <a:stretch>
          <a:fillRect/>
        </a:stretch>
      </xdr:blipFill>
      <xdr:spPr>
        <a:xfrm>
          <a:off x="1310005" y="20525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xdr:cNvPicPr>
          <a:picLocks noChangeAspect="1" noChangeArrowheads="1"/>
        </xdr:cNvPicPr>
      </xdr:nvPicPr>
      <xdr:blipFill>
        <a:blip r:embed="rId262" cstate="email"/>
        <a:srcRect/>
        <a:stretch>
          <a:fillRect/>
        </a:stretch>
      </xdr:blipFill>
      <xdr:spPr>
        <a:xfrm>
          <a:off x="1310005" y="20652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xdr:cNvPicPr>
          <a:picLocks noChangeAspect="1" noChangeArrowheads="1"/>
        </xdr:cNvPicPr>
      </xdr:nvPicPr>
      <xdr:blipFill>
        <a:blip r:embed="rId291" cstate="print"/>
        <a:srcRect/>
        <a:stretch>
          <a:fillRect/>
        </a:stretch>
      </xdr:blipFill>
      <xdr:spPr>
        <a:xfrm>
          <a:off x="1297305" y="17731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xdr:cNvPicPr>
          <a:picLocks noChangeAspect="1" noChangeArrowheads="1"/>
        </xdr:cNvPicPr>
      </xdr:nvPicPr>
      <xdr:blipFill>
        <a:blip r:embed="rId292" cstate="email"/>
        <a:srcRect/>
        <a:stretch>
          <a:fillRect/>
        </a:stretch>
      </xdr:blipFill>
      <xdr:spPr>
        <a:xfrm>
          <a:off x="1284605" y="180498750"/>
          <a:ext cx="351155" cy="53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xdr:cNvPicPr>
          <a:picLocks noChangeAspect="1" noChangeArrowheads="1"/>
        </xdr:cNvPicPr>
      </xdr:nvPicPr>
      <xdr:blipFill>
        <a:blip r:embed="rId293" cstate="print"/>
        <a:srcRect/>
        <a:stretch>
          <a:fillRect/>
        </a:stretch>
      </xdr:blipFill>
      <xdr:spPr>
        <a:xfrm>
          <a:off x="1297305" y="20588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xdr:cNvPicPr>
          <a:picLocks noChangeAspect="1" noChangeArrowheads="1"/>
        </xdr:cNvPicPr>
      </xdr:nvPicPr>
      <xdr:blipFill>
        <a:blip r:embed="rId294" cstate="email"/>
        <a:srcRect/>
        <a:stretch>
          <a:fillRect/>
        </a:stretch>
      </xdr:blipFill>
      <xdr:spPr>
        <a:xfrm>
          <a:off x="1233805" y="207168750"/>
          <a:ext cx="4019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xdr:cNvPicPr>
          <a:picLocks noChangeAspect="1"/>
        </xdr:cNvPicPr>
      </xdr:nvPicPr>
      <xdr:blipFill>
        <a:blip r:embed="rId295" cstate="email"/>
        <a:stretch>
          <a:fillRect/>
        </a:stretch>
      </xdr:blipFill>
      <xdr:spPr>
        <a:xfrm>
          <a:off x="1322705" y="207829150"/>
          <a:ext cx="313055" cy="514350"/>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xdr:cNvPicPr>
          <a:picLocks noChangeAspect="1"/>
        </xdr:cNvPicPr>
      </xdr:nvPicPr>
      <xdr:blipFill>
        <a:blip r:embed="rId296" cstate="email"/>
        <a:stretch>
          <a:fillRect/>
        </a:stretch>
      </xdr:blipFill>
      <xdr:spPr>
        <a:xfrm>
          <a:off x="1310005" y="208489550"/>
          <a:ext cx="325755" cy="488950"/>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xdr:cNvPicPr>
          <a:picLocks noChangeAspect="1"/>
        </xdr:cNvPicPr>
      </xdr:nvPicPr>
      <xdr:blipFill>
        <a:blip r:embed="rId297" cstate="email"/>
        <a:stretch>
          <a:fillRect/>
        </a:stretch>
      </xdr:blipFill>
      <xdr:spPr>
        <a:xfrm>
          <a:off x="1218565" y="209098515"/>
          <a:ext cx="417195" cy="514985"/>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xdr:cNvPicPr>
          <a:picLocks noChangeAspect="1"/>
        </xdr:cNvPicPr>
      </xdr:nvPicPr>
      <xdr:blipFill>
        <a:blip r:embed="rId298" cstate="email"/>
        <a:stretch>
          <a:fillRect/>
        </a:stretch>
      </xdr:blipFill>
      <xdr:spPr>
        <a:xfrm>
          <a:off x="1318895" y="209721450"/>
          <a:ext cx="316865" cy="525780"/>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xdr:cNvPicPr>
          <a:picLocks noChangeAspect="1"/>
        </xdr:cNvPicPr>
      </xdr:nvPicPr>
      <xdr:blipFill>
        <a:blip r:embed="rId299" cstate="email"/>
        <a:stretch>
          <a:fillRect/>
        </a:stretch>
      </xdr:blipFill>
      <xdr:spPr>
        <a:xfrm>
          <a:off x="1308100" y="210357720"/>
          <a:ext cx="327660" cy="525780"/>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xdr:cNvPicPr>
          <a:picLocks noChangeAspect="1"/>
        </xdr:cNvPicPr>
      </xdr:nvPicPr>
      <xdr:blipFill>
        <a:blip r:embed="rId300" cstate="email"/>
        <a:stretch>
          <a:fillRect/>
        </a:stretch>
      </xdr:blipFill>
      <xdr:spPr>
        <a:xfrm>
          <a:off x="1344295" y="210985100"/>
          <a:ext cx="291465" cy="533400"/>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xdr:cNvPicPr>
          <a:picLocks noChangeAspect="1"/>
        </xdr:cNvPicPr>
      </xdr:nvPicPr>
      <xdr:blipFill>
        <a:blip r:embed="rId301" cstate="email"/>
        <a:stretch>
          <a:fillRect/>
        </a:stretch>
      </xdr:blipFill>
      <xdr:spPr>
        <a:xfrm>
          <a:off x="1308100" y="211634070"/>
          <a:ext cx="327660" cy="519430"/>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xdr:cNvPicPr>
          <a:picLocks noChangeAspect="1"/>
        </xdr:cNvPicPr>
      </xdr:nvPicPr>
      <xdr:blipFill>
        <a:blip r:embed="rId302" cstate="email"/>
        <a:stretch>
          <a:fillRect/>
        </a:stretch>
      </xdr:blipFill>
      <xdr:spPr>
        <a:xfrm>
          <a:off x="1306830" y="212273515"/>
          <a:ext cx="328930" cy="514985"/>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xdr:cNvPicPr>
          <a:picLocks noChangeAspect="1"/>
        </xdr:cNvPicPr>
      </xdr:nvPicPr>
      <xdr:blipFill>
        <a:blip r:embed="rId303" cstate="email"/>
        <a:stretch>
          <a:fillRect/>
        </a:stretch>
      </xdr:blipFill>
      <xdr:spPr>
        <a:xfrm>
          <a:off x="1350645" y="212908515"/>
          <a:ext cx="285115" cy="514985"/>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xdr:cNvPicPr>
          <a:picLocks noChangeAspect="1"/>
        </xdr:cNvPicPr>
      </xdr:nvPicPr>
      <xdr:blipFill>
        <a:blip r:embed="rId304" cstate="email"/>
        <a:stretch>
          <a:fillRect/>
        </a:stretch>
      </xdr:blipFill>
      <xdr:spPr>
        <a:xfrm>
          <a:off x="1347470" y="213537165"/>
          <a:ext cx="288290" cy="509905"/>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xdr:cNvPicPr>
          <a:picLocks noChangeAspect="1"/>
        </xdr:cNvPicPr>
      </xdr:nvPicPr>
      <xdr:blipFill>
        <a:blip r:embed="rId305" cstate="email"/>
        <a:stretch>
          <a:fillRect/>
        </a:stretch>
      </xdr:blipFill>
      <xdr:spPr>
        <a:xfrm>
          <a:off x="1381760" y="214165180"/>
          <a:ext cx="254000" cy="528320"/>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xdr:cNvPicPr>
          <a:picLocks noChangeAspect="1"/>
        </xdr:cNvPicPr>
      </xdr:nvPicPr>
      <xdr:blipFill>
        <a:blip r:embed="rId306" cstate="email"/>
        <a:stretch>
          <a:fillRect/>
        </a:stretch>
      </xdr:blipFill>
      <xdr:spPr>
        <a:xfrm>
          <a:off x="1318895" y="214776050"/>
          <a:ext cx="316865" cy="474980"/>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xdr:cNvPicPr>
          <a:picLocks noChangeAspect="1"/>
        </xdr:cNvPicPr>
      </xdr:nvPicPr>
      <xdr:blipFill>
        <a:blip r:embed="rId307" cstate="email"/>
        <a:stretch>
          <a:fillRect/>
        </a:stretch>
      </xdr:blipFill>
      <xdr:spPr>
        <a:xfrm>
          <a:off x="1295400" y="215436450"/>
          <a:ext cx="340360" cy="520065"/>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xdr:cNvPicPr>
          <a:picLocks noChangeAspect="1"/>
        </xdr:cNvPicPr>
      </xdr:nvPicPr>
      <xdr:blipFill>
        <a:blip r:embed="rId308" cstate="email"/>
        <a:stretch>
          <a:fillRect/>
        </a:stretch>
      </xdr:blipFill>
      <xdr:spPr>
        <a:xfrm>
          <a:off x="1369695" y="216064465"/>
          <a:ext cx="266065" cy="531495"/>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xdr:cNvPicPr>
          <a:picLocks noChangeAspect="1"/>
        </xdr:cNvPicPr>
      </xdr:nvPicPr>
      <xdr:blipFill>
        <a:blip r:embed="rId309" cstate="email"/>
        <a:stretch>
          <a:fillRect/>
        </a:stretch>
      </xdr:blipFill>
      <xdr:spPr>
        <a:xfrm>
          <a:off x="1243965" y="216706450"/>
          <a:ext cx="391795" cy="527050"/>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xdr:cNvPicPr>
          <a:picLocks noChangeAspect="1"/>
        </xdr:cNvPicPr>
      </xdr:nvPicPr>
      <xdr:blipFill>
        <a:blip r:embed="rId309" cstate="email"/>
        <a:stretch>
          <a:fillRect/>
        </a:stretch>
      </xdr:blipFill>
      <xdr:spPr>
        <a:xfrm>
          <a:off x="1245235" y="217342720"/>
          <a:ext cx="390525" cy="525780"/>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xdr:cNvPicPr>
          <a:picLocks noChangeAspect="1"/>
        </xdr:cNvPicPr>
      </xdr:nvPicPr>
      <xdr:blipFill>
        <a:blip r:embed="rId310" cstate="email"/>
        <a:stretch>
          <a:fillRect/>
        </a:stretch>
      </xdr:blipFill>
      <xdr:spPr>
        <a:xfrm>
          <a:off x="1281430" y="217976450"/>
          <a:ext cx="354330" cy="523875"/>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xdr:cNvPicPr>
          <a:picLocks noChangeAspect="1"/>
        </xdr:cNvPicPr>
      </xdr:nvPicPr>
      <xdr:blipFill>
        <a:blip r:embed="rId310" cstate="email"/>
        <a:stretch>
          <a:fillRect/>
        </a:stretch>
      </xdr:blipFill>
      <xdr:spPr>
        <a:xfrm>
          <a:off x="1281430" y="219246450"/>
          <a:ext cx="354330" cy="523875"/>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xdr:cNvPicPr>
          <a:picLocks noChangeAspect="1"/>
        </xdr:cNvPicPr>
      </xdr:nvPicPr>
      <xdr:blipFill>
        <a:blip r:embed="rId311" cstate="email"/>
        <a:stretch>
          <a:fillRect/>
        </a:stretch>
      </xdr:blipFill>
      <xdr:spPr>
        <a:xfrm>
          <a:off x="1470025" y="219868750"/>
          <a:ext cx="165735" cy="45466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xdr:cNvPicPr>
          <a:picLocks noChangeAspect="1"/>
        </xdr:cNvPicPr>
      </xdr:nvPicPr>
      <xdr:blipFill>
        <a:blip r:embed="rId312" cstate="email"/>
        <a:stretch>
          <a:fillRect/>
        </a:stretch>
      </xdr:blipFill>
      <xdr:spPr>
        <a:xfrm>
          <a:off x="1394460" y="220513275"/>
          <a:ext cx="241300" cy="530225"/>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xdr:cNvPicPr>
          <a:picLocks noChangeAspect="1"/>
        </xdr:cNvPicPr>
      </xdr:nvPicPr>
      <xdr:blipFill>
        <a:blip r:embed="rId313" cstate="email"/>
        <a:stretch>
          <a:fillRect/>
        </a:stretch>
      </xdr:blipFill>
      <xdr:spPr>
        <a:xfrm>
          <a:off x="1356995" y="221147005"/>
          <a:ext cx="278765" cy="53149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xdr:cNvPicPr>
          <a:picLocks noChangeAspect="1"/>
        </xdr:cNvPicPr>
      </xdr:nvPicPr>
      <xdr:blipFill>
        <a:blip r:embed="rId314" cstate="email"/>
        <a:stretch>
          <a:fillRect/>
        </a:stretch>
      </xdr:blipFill>
      <xdr:spPr>
        <a:xfrm>
          <a:off x="1345565" y="221808675"/>
          <a:ext cx="290195" cy="502920"/>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xdr:cNvPicPr>
          <a:picLocks noChangeAspect="1"/>
        </xdr:cNvPicPr>
      </xdr:nvPicPr>
      <xdr:blipFill>
        <a:blip r:embed="rId315" cstate="email"/>
        <a:stretch>
          <a:fillRect/>
        </a:stretch>
      </xdr:blipFill>
      <xdr:spPr>
        <a:xfrm>
          <a:off x="1026795" y="222436690"/>
          <a:ext cx="608965" cy="440055"/>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xdr:cNvPicPr>
          <a:picLocks noChangeAspect="1"/>
        </xdr:cNvPicPr>
      </xdr:nvPicPr>
      <xdr:blipFill>
        <a:blip r:embed="rId316" cstate="email"/>
        <a:stretch>
          <a:fillRect/>
        </a:stretch>
      </xdr:blipFill>
      <xdr:spPr>
        <a:xfrm>
          <a:off x="1081405" y="223081850"/>
          <a:ext cx="554355" cy="422275"/>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xdr:cNvPicPr>
          <a:picLocks noChangeAspect="1"/>
        </xdr:cNvPicPr>
      </xdr:nvPicPr>
      <xdr:blipFill>
        <a:blip r:embed="rId317" cstate="email"/>
        <a:stretch>
          <a:fillRect/>
        </a:stretch>
      </xdr:blipFill>
      <xdr:spPr>
        <a:xfrm>
          <a:off x="1268730" y="223703515"/>
          <a:ext cx="367030" cy="511175"/>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xdr:cNvPicPr>
          <a:picLocks noChangeAspect="1"/>
        </xdr:cNvPicPr>
      </xdr:nvPicPr>
      <xdr:blipFill>
        <a:blip r:embed="rId318" cstate="email"/>
        <a:stretch>
          <a:fillRect/>
        </a:stretch>
      </xdr:blipFill>
      <xdr:spPr>
        <a:xfrm>
          <a:off x="1228725" y="224338515"/>
          <a:ext cx="407035" cy="514985"/>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xdr:cNvPicPr>
          <a:picLocks noChangeAspect="1"/>
        </xdr:cNvPicPr>
      </xdr:nvPicPr>
      <xdr:blipFill>
        <a:blip r:embed="rId319" cstate="email"/>
        <a:stretch>
          <a:fillRect/>
        </a:stretch>
      </xdr:blipFill>
      <xdr:spPr>
        <a:xfrm>
          <a:off x="1344295" y="224970340"/>
          <a:ext cx="291465" cy="514985"/>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xdr:cNvPicPr>
          <a:picLocks noChangeAspect="1"/>
        </xdr:cNvPicPr>
      </xdr:nvPicPr>
      <xdr:blipFill>
        <a:blip r:embed="rId320" cstate="email"/>
        <a:stretch>
          <a:fillRect/>
        </a:stretch>
      </xdr:blipFill>
      <xdr:spPr>
        <a:xfrm>
          <a:off x="1218565" y="225593910"/>
          <a:ext cx="417195" cy="529590"/>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xdr:cNvPicPr>
          <a:picLocks noChangeAspect="1"/>
        </xdr:cNvPicPr>
      </xdr:nvPicPr>
      <xdr:blipFill>
        <a:blip r:embed="rId321" cstate="email"/>
        <a:stretch>
          <a:fillRect/>
        </a:stretch>
      </xdr:blipFill>
      <xdr:spPr>
        <a:xfrm>
          <a:off x="1143000" y="226231450"/>
          <a:ext cx="492760" cy="527050"/>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xdr:cNvPicPr>
          <a:picLocks noChangeAspect="1"/>
        </xdr:cNvPicPr>
      </xdr:nvPicPr>
      <xdr:blipFill>
        <a:blip r:embed="rId322" cstate="email"/>
        <a:stretch>
          <a:fillRect/>
        </a:stretch>
      </xdr:blipFill>
      <xdr:spPr>
        <a:xfrm>
          <a:off x="1299845" y="226875340"/>
          <a:ext cx="335915" cy="449580"/>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xdr:cNvPicPr>
          <a:picLocks noChangeAspect="1"/>
        </xdr:cNvPicPr>
      </xdr:nvPicPr>
      <xdr:blipFill>
        <a:blip r:embed="rId323" cstate="email"/>
        <a:stretch>
          <a:fillRect/>
        </a:stretch>
      </xdr:blipFill>
      <xdr:spPr>
        <a:xfrm>
          <a:off x="1297305" y="227489385"/>
          <a:ext cx="338455" cy="529590"/>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xdr:cNvPicPr>
          <a:picLocks noChangeAspect="1"/>
        </xdr:cNvPicPr>
      </xdr:nvPicPr>
      <xdr:blipFill>
        <a:blip r:embed="rId324" cstate="email"/>
        <a:stretch>
          <a:fillRect/>
        </a:stretch>
      </xdr:blipFill>
      <xdr:spPr>
        <a:xfrm>
          <a:off x="1238885" y="228136450"/>
          <a:ext cx="396875" cy="525780"/>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xdr:cNvPicPr>
          <a:picLocks noChangeAspect="1"/>
        </xdr:cNvPicPr>
      </xdr:nvPicPr>
      <xdr:blipFill>
        <a:blip r:embed="rId325" cstate="email"/>
        <a:stretch>
          <a:fillRect/>
        </a:stretch>
      </xdr:blipFill>
      <xdr:spPr>
        <a:xfrm>
          <a:off x="1240790" y="228770180"/>
          <a:ext cx="394970" cy="516890"/>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xdr:cNvPicPr>
          <a:picLocks noChangeAspect="1"/>
        </xdr:cNvPicPr>
      </xdr:nvPicPr>
      <xdr:blipFill>
        <a:blip r:embed="rId326" cstate="email"/>
        <a:stretch>
          <a:fillRect/>
        </a:stretch>
      </xdr:blipFill>
      <xdr:spPr>
        <a:xfrm>
          <a:off x="1242060" y="229408990"/>
          <a:ext cx="393700" cy="524510"/>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xdr:cNvPicPr>
          <a:picLocks noChangeAspect="1"/>
        </xdr:cNvPicPr>
      </xdr:nvPicPr>
      <xdr:blipFill>
        <a:blip r:embed="rId327" cstate="email"/>
        <a:stretch>
          <a:fillRect/>
        </a:stretch>
      </xdr:blipFill>
      <xdr:spPr>
        <a:xfrm>
          <a:off x="1174750" y="230053515"/>
          <a:ext cx="461010" cy="514985"/>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xdr:cNvPicPr>
          <a:picLocks noChangeAspect="1"/>
        </xdr:cNvPicPr>
      </xdr:nvPicPr>
      <xdr:blipFill>
        <a:blip r:embed="rId328" cstate="email"/>
        <a:stretch>
          <a:fillRect/>
        </a:stretch>
      </xdr:blipFill>
      <xdr:spPr>
        <a:xfrm>
          <a:off x="1241425" y="230676450"/>
          <a:ext cx="394335" cy="527050"/>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xdr:cNvPicPr>
          <a:picLocks noChangeAspect="1"/>
        </xdr:cNvPicPr>
      </xdr:nvPicPr>
      <xdr:blipFill>
        <a:blip r:embed="rId329" cstate="email"/>
        <a:stretch>
          <a:fillRect/>
        </a:stretch>
      </xdr:blipFill>
      <xdr:spPr>
        <a:xfrm>
          <a:off x="1268730" y="231298750"/>
          <a:ext cx="367030" cy="539115"/>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xdr:cNvPicPr>
          <a:picLocks noChangeAspect="1"/>
        </xdr:cNvPicPr>
      </xdr:nvPicPr>
      <xdr:blipFill>
        <a:blip r:embed="rId330" cstate="email"/>
        <a:stretch>
          <a:fillRect/>
        </a:stretch>
      </xdr:blipFill>
      <xdr:spPr>
        <a:xfrm>
          <a:off x="1218565" y="231948990"/>
          <a:ext cx="417195" cy="524510"/>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xdr:cNvPicPr>
          <a:picLocks noChangeAspect="1"/>
        </xdr:cNvPicPr>
      </xdr:nvPicPr>
      <xdr:blipFill>
        <a:blip r:embed="rId331" cstate="email"/>
        <a:stretch>
          <a:fillRect/>
        </a:stretch>
      </xdr:blipFill>
      <xdr:spPr>
        <a:xfrm>
          <a:off x="1281430" y="232580180"/>
          <a:ext cx="354330" cy="528320"/>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xdr:cNvPicPr>
          <a:picLocks noChangeAspect="1"/>
        </xdr:cNvPicPr>
      </xdr:nvPicPr>
      <xdr:blipFill>
        <a:blip r:embed="rId332" cstate="email"/>
        <a:stretch>
          <a:fillRect/>
        </a:stretch>
      </xdr:blipFill>
      <xdr:spPr>
        <a:xfrm>
          <a:off x="1130935" y="233208830"/>
          <a:ext cx="448945" cy="522605"/>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xdr:cNvPicPr>
          <a:picLocks noChangeAspect="1"/>
        </xdr:cNvPicPr>
      </xdr:nvPicPr>
      <xdr:blipFill>
        <a:blip r:embed="rId333" cstate="email"/>
        <a:stretch>
          <a:fillRect/>
        </a:stretch>
      </xdr:blipFill>
      <xdr:spPr>
        <a:xfrm>
          <a:off x="1165225" y="233854625"/>
          <a:ext cx="470535" cy="522605"/>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xdr:cNvPicPr>
          <a:picLocks noChangeAspect="1"/>
        </xdr:cNvPicPr>
      </xdr:nvPicPr>
      <xdr:blipFill>
        <a:blip r:embed="rId334" cstate="email"/>
        <a:stretch>
          <a:fillRect/>
        </a:stretch>
      </xdr:blipFill>
      <xdr:spPr>
        <a:xfrm>
          <a:off x="1160780" y="234499150"/>
          <a:ext cx="460375" cy="445770"/>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xdr:cNvPicPr>
          <a:picLocks noChangeAspect="1"/>
        </xdr:cNvPicPr>
      </xdr:nvPicPr>
      <xdr:blipFill>
        <a:blip r:embed="rId335" cstate="email"/>
        <a:stretch>
          <a:fillRect/>
        </a:stretch>
      </xdr:blipFill>
      <xdr:spPr>
        <a:xfrm>
          <a:off x="1089025" y="235031915"/>
          <a:ext cx="503555" cy="616585"/>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xdr:cNvPicPr>
          <a:picLocks noChangeAspect="1"/>
        </xdr:cNvPicPr>
      </xdr:nvPicPr>
      <xdr:blipFill>
        <a:blip r:embed="rId336" cstate="email"/>
        <a:stretch>
          <a:fillRect/>
        </a:stretch>
      </xdr:blipFill>
      <xdr:spPr>
        <a:xfrm>
          <a:off x="1098550" y="235713905"/>
          <a:ext cx="522605" cy="569595"/>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xdr:cNvPicPr>
          <a:picLocks noChangeAspect="1"/>
        </xdr:cNvPicPr>
      </xdr:nvPicPr>
      <xdr:blipFill>
        <a:blip r:embed="rId337" cstate="email"/>
        <a:stretch>
          <a:fillRect/>
        </a:stretch>
      </xdr:blipFill>
      <xdr:spPr>
        <a:xfrm>
          <a:off x="1043940" y="236303820"/>
          <a:ext cx="591820" cy="614680"/>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xdr:cNvPicPr>
          <a:picLocks noChangeAspect="1"/>
        </xdr:cNvPicPr>
      </xdr:nvPicPr>
      <xdr:blipFill>
        <a:blip r:embed="rId338" cstate="email"/>
        <a:stretch>
          <a:fillRect/>
        </a:stretch>
      </xdr:blipFill>
      <xdr:spPr>
        <a:xfrm>
          <a:off x="1105535" y="236975015"/>
          <a:ext cx="530225" cy="578485"/>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xdr:cNvPicPr>
          <a:picLocks noChangeAspect="1"/>
        </xdr:cNvPicPr>
      </xdr:nvPicPr>
      <xdr:blipFill>
        <a:blip r:embed="rId339" cstate="email"/>
        <a:stretch>
          <a:fillRect/>
        </a:stretch>
      </xdr:blipFill>
      <xdr:spPr>
        <a:xfrm>
          <a:off x="1000760" y="237610015"/>
          <a:ext cx="635000" cy="578485"/>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xdr:cNvPicPr>
          <a:picLocks noChangeAspect="1"/>
        </xdr:cNvPicPr>
      </xdr:nvPicPr>
      <xdr:blipFill>
        <a:blip r:embed="rId340" cstate="email"/>
        <a:stretch>
          <a:fillRect/>
        </a:stretch>
      </xdr:blipFill>
      <xdr:spPr>
        <a:xfrm>
          <a:off x="1002665" y="238231045"/>
          <a:ext cx="633095" cy="592455"/>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xdr:cNvPicPr>
          <a:picLocks noChangeAspect="1"/>
        </xdr:cNvPicPr>
      </xdr:nvPicPr>
      <xdr:blipFill>
        <a:blip r:embed="rId341" cstate="email"/>
        <a:stretch>
          <a:fillRect/>
        </a:stretch>
      </xdr:blipFill>
      <xdr:spPr>
        <a:xfrm>
          <a:off x="979805" y="238843820"/>
          <a:ext cx="626745" cy="614680"/>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xdr:cNvPicPr>
          <a:picLocks noChangeAspect="1"/>
        </xdr:cNvPicPr>
      </xdr:nvPicPr>
      <xdr:blipFill>
        <a:blip r:embed="rId342" cstate="email"/>
        <a:stretch>
          <a:fillRect/>
        </a:stretch>
      </xdr:blipFill>
      <xdr:spPr>
        <a:xfrm>
          <a:off x="1087755" y="239528985"/>
          <a:ext cx="548005" cy="564515"/>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xdr:cNvPicPr>
          <a:picLocks noChangeAspect="1"/>
        </xdr:cNvPicPr>
      </xdr:nvPicPr>
      <xdr:blipFill>
        <a:blip r:embed="rId343" cstate="email"/>
        <a:stretch>
          <a:fillRect/>
        </a:stretch>
      </xdr:blipFill>
      <xdr:spPr>
        <a:xfrm>
          <a:off x="1245235" y="240150015"/>
          <a:ext cx="390525" cy="578485"/>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xdr:cNvPicPr>
          <a:picLocks noChangeAspect="1"/>
        </xdr:cNvPicPr>
      </xdr:nvPicPr>
      <xdr:blipFill>
        <a:blip r:embed="rId344" cstate="email"/>
        <a:stretch>
          <a:fillRect/>
        </a:stretch>
      </xdr:blipFill>
      <xdr:spPr>
        <a:xfrm>
          <a:off x="1202055" y="240785015"/>
          <a:ext cx="433705" cy="578485"/>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xdr:cNvPicPr>
          <a:picLocks noChangeAspect="1"/>
        </xdr:cNvPicPr>
      </xdr:nvPicPr>
      <xdr:blipFill>
        <a:blip r:embed="rId345" cstate="email"/>
        <a:stretch>
          <a:fillRect/>
        </a:stretch>
      </xdr:blipFill>
      <xdr:spPr>
        <a:xfrm>
          <a:off x="1188085" y="241405410"/>
          <a:ext cx="447675" cy="593090"/>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xdr:cNvPicPr>
          <a:picLocks noChangeAspect="1"/>
        </xdr:cNvPicPr>
      </xdr:nvPicPr>
      <xdr:blipFill>
        <a:blip r:embed="rId346" cstate="email"/>
        <a:stretch>
          <a:fillRect/>
        </a:stretch>
      </xdr:blipFill>
      <xdr:spPr>
        <a:xfrm>
          <a:off x="1166495" y="242047395"/>
          <a:ext cx="469265" cy="586105"/>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xdr:cNvPicPr>
          <a:picLocks noChangeAspect="1"/>
        </xdr:cNvPicPr>
      </xdr:nvPicPr>
      <xdr:blipFill>
        <a:blip r:embed="rId347" cstate="email"/>
        <a:stretch>
          <a:fillRect/>
        </a:stretch>
      </xdr:blipFill>
      <xdr:spPr>
        <a:xfrm>
          <a:off x="1009650" y="242655090"/>
          <a:ext cx="626110" cy="61341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xdr:cNvPicPr>
          <a:picLocks noChangeAspect="1"/>
        </xdr:cNvPicPr>
      </xdr:nvPicPr>
      <xdr:blipFill>
        <a:blip r:embed="rId348" cstate="email"/>
        <a:stretch>
          <a:fillRect/>
        </a:stretch>
      </xdr:blipFill>
      <xdr:spPr>
        <a:xfrm>
          <a:off x="1210945" y="243296440"/>
          <a:ext cx="424815" cy="607060"/>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xdr:cNvPicPr>
          <a:picLocks noChangeAspect="1"/>
        </xdr:cNvPicPr>
      </xdr:nvPicPr>
      <xdr:blipFill>
        <a:blip r:embed="rId349" cstate="email"/>
        <a:stretch>
          <a:fillRect/>
        </a:stretch>
      </xdr:blipFill>
      <xdr:spPr>
        <a:xfrm>
          <a:off x="1158240" y="243960015"/>
          <a:ext cx="434340" cy="57848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xdr:cNvPicPr>
          <a:picLocks noChangeAspect="1"/>
        </xdr:cNvPicPr>
      </xdr:nvPicPr>
      <xdr:blipFill>
        <a:blip r:embed="rId350" cstate="email"/>
        <a:stretch>
          <a:fillRect/>
        </a:stretch>
      </xdr:blipFill>
      <xdr:spPr>
        <a:xfrm>
          <a:off x="1230630" y="244565805"/>
          <a:ext cx="405130" cy="536575"/>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xdr:cNvPicPr>
          <a:picLocks noChangeAspect="1"/>
        </xdr:cNvPicPr>
      </xdr:nvPicPr>
      <xdr:blipFill>
        <a:blip r:embed="rId351" cstate="email"/>
        <a:stretch>
          <a:fillRect/>
        </a:stretch>
      </xdr:blipFill>
      <xdr:spPr>
        <a:xfrm>
          <a:off x="1193800" y="245190010"/>
          <a:ext cx="441960" cy="539750"/>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xdr:cNvPicPr>
          <a:picLocks noChangeAspect="1"/>
        </xdr:cNvPicPr>
      </xdr:nvPicPr>
      <xdr:blipFill>
        <a:blip r:embed="rId352" cstate="email"/>
        <a:stretch>
          <a:fillRect/>
        </a:stretch>
      </xdr:blipFill>
      <xdr:spPr>
        <a:xfrm>
          <a:off x="1243965" y="245835805"/>
          <a:ext cx="391795" cy="536575"/>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xdr:cNvPicPr>
          <a:picLocks noChangeAspect="1"/>
        </xdr:cNvPicPr>
      </xdr:nvPicPr>
      <xdr:blipFill>
        <a:blip r:embed="rId353" cstate="email"/>
        <a:stretch>
          <a:fillRect/>
        </a:stretch>
      </xdr:blipFill>
      <xdr:spPr>
        <a:xfrm>
          <a:off x="1229995" y="246485410"/>
          <a:ext cx="394970" cy="593090"/>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xdr:cNvPicPr>
          <a:picLocks noChangeAspect="1"/>
        </xdr:cNvPicPr>
      </xdr:nvPicPr>
      <xdr:blipFill>
        <a:blip r:embed="rId354" cstate="email"/>
        <a:stretch>
          <a:fillRect/>
        </a:stretch>
      </xdr:blipFill>
      <xdr:spPr>
        <a:xfrm>
          <a:off x="1058545" y="247733820"/>
          <a:ext cx="577215" cy="547370"/>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xdr:cNvPicPr>
          <a:picLocks noChangeAspect="1"/>
        </xdr:cNvPicPr>
      </xdr:nvPicPr>
      <xdr:blipFill>
        <a:blip r:embed="rId355" cstate="email"/>
        <a:stretch>
          <a:fillRect/>
        </a:stretch>
      </xdr:blipFill>
      <xdr:spPr>
        <a:xfrm>
          <a:off x="1099820" y="247120410"/>
          <a:ext cx="477520" cy="593090"/>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xdr:cNvPicPr>
          <a:picLocks noChangeAspect="1"/>
        </xdr:cNvPicPr>
      </xdr:nvPicPr>
      <xdr:blipFill>
        <a:blip r:embed="rId356" cstate="email"/>
        <a:stretch>
          <a:fillRect/>
        </a:stretch>
      </xdr:blipFill>
      <xdr:spPr>
        <a:xfrm>
          <a:off x="1144270" y="248405015"/>
          <a:ext cx="491490" cy="578485"/>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xdr:cNvPicPr>
          <a:picLocks noChangeAspect="1"/>
        </xdr:cNvPicPr>
      </xdr:nvPicPr>
      <xdr:blipFill>
        <a:blip r:embed="rId357" cstate="email"/>
        <a:stretch>
          <a:fillRect/>
        </a:stretch>
      </xdr:blipFill>
      <xdr:spPr>
        <a:xfrm>
          <a:off x="1151255" y="249010805"/>
          <a:ext cx="484505" cy="607695"/>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xdr:cNvPicPr>
          <a:picLocks noChangeAspect="1"/>
        </xdr:cNvPicPr>
      </xdr:nvPicPr>
      <xdr:blipFill>
        <a:blip r:embed="rId358" cstate="email"/>
        <a:stretch>
          <a:fillRect/>
        </a:stretch>
      </xdr:blipFill>
      <xdr:spPr>
        <a:xfrm>
          <a:off x="1129665" y="249660410"/>
          <a:ext cx="506095" cy="593090"/>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xdr:cNvPicPr>
          <a:picLocks noChangeAspect="1"/>
        </xdr:cNvPicPr>
      </xdr:nvPicPr>
      <xdr:blipFill>
        <a:blip r:embed="rId359" cstate="email"/>
        <a:stretch>
          <a:fillRect/>
        </a:stretch>
      </xdr:blipFill>
      <xdr:spPr>
        <a:xfrm>
          <a:off x="1158240" y="250295410"/>
          <a:ext cx="477520" cy="593090"/>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xdr:cNvPicPr>
          <a:picLocks noChangeAspect="1"/>
        </xdr:cNvPicPr>
      </xdr:nvPicPr>
      <xdr:blipFill>
        <a:blip r:embed="rId360" cstate="email"/>
        <a:stretch>
          <a:fillRect/>
        </a:stretch>
      </xdr:blipFill>
      <xdr:spPr>
        <a:xfrm>
          <a:off x="1101090" y="250915805"/>
          <a:ext cx="534670" cy="604520"/>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xdr:cNvPicPr>
          <a:picLocks noChangeAspect="1"/>
        </xdr:cNvPicPr>
      </xdr:nvPicPr>
      <xdr:blipFill>
        <a:blip r:embed="rId361" cstate="email"/>
        <a:stretch>
          <a:fillRect/>
        </a:stretch>
      </xdr:blipFill>
      <xdr:spPr>
        <a:xfrm>
          <a:off x="1072515" y="251565410"/>
          <a:ext cx="563245" cy="593090"/>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xdr:cNvPicPr>
          <a:picLocks noChangeAspect="1"/>
        </xdr:cNvPicPr>
      </xdr:nvPicPr>
      <xdr:blipFill>
        <a:blip r:embed="rId362" cstate="email"/>
        <a:stretch>
          <a:fillRect/>
        </a:stretch>
      </xdr:blipFill>
      <xdr:spPr>
        <a:xfrm>
          <a:off x="986790" y="252192790"/>
          <a:ext cx="648970" cy="534670"/>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xdr:cNvPicPr>
          <a:picLocks noChangeAspect="1"/>
        </xdr:cNvPicPr>
      </xdr:nvPicPr>
      <xdr:blipFill>
        <a:blip r:embed="rId363" cstate="email"/>
        <a:stretch>
          <a:fillRect/>
        </a:stretch>
      </xdr:blipFill>
      <xdr:spPr>
        <a:xfrm>
          <a:off x="1073150" y="252821440"/>
          <a:ext cx="562610" cy="60706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xdr:cNvPicPr>
          <a:picLocks noChangeAspect="1"/>
        </xdr:cNvPicPr>
      </xdr:nvPicPr>
      <xdr:blipFill>
        <a:blip r:embed="rId364" cstate="email"/>
        <a:stretch>
          <a:fillRect/>
        </a:stretch>
      </xdr:blipFill>
      <xdr:spPr>
        <a:xfrm>
          <a:off x="1068070" y="253465965"/>
          <a:ext cx="567690" cy="597535"/>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xdr:cNvPicPr>
          <a:picLocks noChangeAspect="1"/>
        </xdr:cNvPicPr>
      </xdr:nvPicPr>
      <xdr:blipFill>
        <a:blip r:embed="rId365" cstate="email"/>
        <a:stretch>
          <a:fillRect/>
        </a:stretch>
      </xdr:blipFill>
      <xdr:spPr>
        <a:xfrm>
          <a:off x="1158240" y="254120015"/>
          <a:ext cx="436245" cy="529590"/>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xdr:cNvPicPr>
          <a:picLocks noChangeAspect="1"/>
        </xdr:cNvPicPr>
      </xdr:nvPicPr>
      <xdr:blipFill>
        <a:blip r:embed="rId366" cstate="email"/>
        <a:stretch>
          <a:fillRect/>
        </a:stretch>
      </xdr:blipFill>
      <xdr:spPr>
        <a:xfrm>
          <a:off x="1129665" y="254729615"/>
          <a:ext cx="389890" cy="510540"/>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xdr:cNvPicPr>
          <a:picLocks noChangeAspect="1"/>
        </xdr:cNvPicPr>
      </xdr:nvPicPr>
      <xdr:blipFill>
        <a:blip r:embed="rId367" cstate="email"/>
        <a:stretch>
          <a:fillRect/>
        </a:stretch>
      </xdr:blipFill>
      <xdr:spPr>
        <a:xfrm>
          <a:off x="1085850" y="255361440"/>
          <a:ext cx="526415" cy="607060"/>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xdr:cNvPicPr>
          <a:picLocks noChangeAspect="1"/>
        </xdr:cNvPicPr>
      </xdr:nvPicPr>
      <xdr:blipFill>
        <a:blip r:embed="rId368" cstate="email"/>
        <a:stretch>
          <a:fillRect/>
        </a:stretch>
      </xdr:blipFill>
      <xdr:spPr>
        <a:xfrm>
          <a:off x="1086485" y="256002790"/>
          <a:ext cx="541655" cy="597535"/>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xdr:cNvPicPr>
          <a:picLocks noChangeAspect="1"/>
        </xdr:cNvPicPr>
      </xdr:nvPicPr>
      <xdr:blipFill>
        <a:blip r:embed="rId369" cstate="email"/>
        <a:stretch>
          <a:fillRect/>
        </a:stretch>
      </xdr:blipFill>
      <xdr:spPr>
        <a:xfrm>
          <a:off x="1086485" y="256623820"/>
          <a:ext cx="549275" cy="614680"/>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xdr:cNvPicPr>
          <a:picLocks noChangeAspect="1"/>
        </xdr:cNvPicPr>
      </xdr:nvPicPr>
      <xdr:blipFill>
        <a:blip r:embed="rId370" cstate="email"/>
        <a:stretch>
          <a:fillRect/>
        </a:stretch>
      </xdr:blipFill>
      <xdr:spPr>
        <a:xfrm>
          <a:off x="1078865" y="257287395"/>
          <a:ext cx="539115" cy="586105"/>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xdr:cNvPicPr>
          <a:picLocks noChangeAspect="1"/>
        </xdr:cNvPicPr>
      </xdr:nvPicPr>
      <xdr:blipFill>
        <a:blip r:embed="rId371" cstate="email"/>
        <a:stretch>
          <a:fillRect/>
        </a:stretch>
      </xdr:blipFill>
      <xdr:spPr>
        <a:xfrm>
          <a:off x="1117600" y="257910965"/>
          <a:ext cx="517525" cy="597535"/>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xdr:cNvPicPr>
          <a:picLocks noChangeAspect="1"/>
        </xdr:cNvPicPr>
      </xdr:nvPicPr>
      <xdr:blipFill>
        <a:blip r:embed="rId372" cstate="email"/>
        <a:stretch>
          <a:fillRect/>
        </a:stretch>
      </xdr:blipFill>
      <xdr:spPr>
        <a:xfrm>
          <a:off x="1158240" y="258543425"/>
          <a:ext cx="477520" cy="600075"/>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xdr:cNvPicPr>
          <a:picLocks noChangeAspect="1"/>
        </xdr:cNvPicPr>
      </xdr:nvPicPr>
      <xdr:blipFill>
        <a:blip r:embed="rId373" cstate="email"/>
        <a:stretch>
          <a:fillRect/>
        </a:stretch>
      </xdr:blipFill>
      <xdr:spPr>
        <a:xfrm>
          <a:off x="1139190" y="259180965"/>
          <a:ext cx="496570" cy="59753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xdr:cNvPicPr>
          <a:picLocks noChangeAspect="1"/>
        </xdr:cNvPicPr>
      </xdr:nvPicPr>
      <xdr:blipFill>
        <a:blip r:embed="rId374" cstate="email"/>
        <a:stretch>
          <a:fillRect/>
        </a:stretch>
      </xdr:blipFill>
      <xdr:spPr>
        <a:xfrm>
          <a:off x="1079500" y="259835015"/>
          <a:ext cx="556260" cy="578485"/>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xdr:cNvPicPr>
          <a:picLocks noChangeAspect="1"/>
        </xdr:cNvPicPr>
      </xdr:nvPicPr>
      <xdr:blipFill>
        <a:blip r:embed="rId375" cstate="email"/>
        <a:stretch>
          <a:fillRect/>
        </a:stretch>
      </xdr:blipFill>
      <xdr:spPr>
        <a:xfrm>
          <a:off x="1101090" y="260455410"/>
          <a:ext cx="534670" cy="593090"/>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xdr:cNvPicPr>
          <a:picLocks noChangeAspect="1"/>
        </xdr:cNvPicPr>
      </xdr:nvPicPr>
      <xdr:blipFill>
        <a:blip r:embed="rId376" cstate="email"/>
        <a:stretch>
          <a:fillRect/>
        </a:stretch>
      </xdr:blipFill>
      <xdr:spPr>
        <a:xfrm>
          <a:off x="1129665" y="261740015"/>
          <a:ext cx="506095" cy="578485"/>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xdr:cNvPicPr>
          <a:picLocks noChangeAspect="1"/>
        </xdr:cNvPicPr>
      </xdr:nvPicPr>
      <xdr:blipFill>
        <a:blip r:embed="rId377" cstate="email"/>
        <a:stretch>
          <a:fillRect/>
        </a:stretch>
      </xdr:blipFill>
      <xdr:spPr>
        <a:xfrm>
          <a:off x="1172845" y="262352790"/>
          <a:ext cx="422275" cy="596900"/>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xdr:cNvPicPr>
          <a:picLocks noChangeAspect="1"/>
        </xdr:cNvPicPr>
      </xdr:nvPicPr>
      <xdr:blipFill>
        <a:blip r:embed="rId378" cstate="email"/>
        <a:stretch>
          <a:fillRect/>
        </a:stretch>
      </xdr:blipFill>
      <xdr:spPr>
        <a:xfrm>
          <a:off x="1085215" y="261105015"/>
          <a:ext cx="550545" cy="578485"/>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xdr:cNvPicPr>
          <a:picLocks noChangeAspect="1"/>
        </xdr:cNvPicPr>
      </xdr:nvPicPr>
      <xdr:blipFill>
        <a:blip r:embed="rId379" cstate="email"/>
        <a:stretch>
          <a:fillRect/>
        </a:stretch>
      </xdr:blipFill>
      <xdr:spPr>
        <a:xfrm>
          <a:off x="1158240" y="262995410"/>
          <a:ext cx="423545" cy="593090"/>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xdr:cNvPicPr>
          <a:picLocks noChangeAspect="1"/>
        </xdr:cNvPicPr>
      </xdr:nvPicPr>
      <xdr:blipFill>
        <a:blip r:embed="rId380" cstate="email"/>
        <a:stretch>
          <a:fillRect/>
        </a:stretch>
      </xdr:blipFill>
      <xdr:spPr>
        <a:xfrm>
          <a:off x="1153795" y="263658985"/>
          <a:ext cx="423545" cy="564515"/>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xdr:cNvPicPr>
          <a:picLocks noChangeAspect="1"/>
        </xdr:cNvPicPr>
      </xdr:nvPicPr>
      <xdr:blipFill>
        <a:blip r:embed="rId381" cstate="email"/>
        <a:stretch>
          <a:fillRect/>
        </a:stretch>
      </xdr:blipFill>
      <xdr:spPr>
        <a:xfrm>
          <a:off x="1172845" y="264265410"/>
          <a:ext cx="410845" cy="593090"/>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xdr:cNvPicPr>
          <a:picLocks noChangeAspect="1"/>
        </xdr:cNvPicPr>
      </xdr:nvPicPr>
      <xdr:blipFill>
        <a:blip r:embed="rId382" cstate="email"/>
        <a:stretch>
          <a:fillRect/>
        </a:stretch>
      </xdr:blipFill>
      <xdr:spPr>
        <a:xfrm>
          <a:off x="1170305" y="264913110"/>
          <a:ext cx="444500" cy="517525"/>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xdr:cNvPicPr>
          <a:picLocks noChangeAspect="1"/>
        </xdr:cNvPicPr>
      </xdr:nvPicPr>
      <xdr:blipFill>
        <a:blip r:embed="rId383" cstate="email"/>
        <a:stretch>
          <a:fillRect/>
        </a:stretch>
      </xdr:blipFill>
      <xdr:spPr>
        <a:xfrm>
          <a:off x="1186815" y="265534140"/>
          <a:ext cx="448945" cy="594360"/>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xdr:cNvPicPr>
          <a:picLocks noChangeAspect="1"/>
        </xdr:cNvPicPr>
      </xdr:nvPicPr>
      <xdr:blipFill>
        <a:blip r:embed="rId384" cstate="email"/>
        <a:stretch>
          <a:fillRect/>
        </a:stretch>
      </xdr:blipFill>
      <xdr:spPr>
        <a:xfrm>
          <a:off x="1188720" y="266157710"/>
          <a:ext cx="431165" cy="605790"/>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xdr:cNvPicPr>
          <a:picLocks noChangeAspect="1" noChangeArrowheads="1"/>
        </xdr:cNvPicPr>
      </xdr:nvPicPr>
      <xdr:blipFill>
        <a:blip r:embed="rId385" cstate="email"/>
        <a:srcRect/>
        <a:stretch>
          <a:fillRect/>
        </a:stretch>
      </xdr:blipFill>
      <xdr:spPr>
        <a:xfrm>
          <a:off x="1122680" y="271867630"/>
          <a:ext cx="501650" cy="610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xdr:cNvPicPr>
          <a:picLocks noChangeAspect="1" noChangeArrowheads="1"/>
        </xdr:cNvPicPr>
      </xdr:nvPicPr>
      <xdr:blipFill>
        <a:blip r:embed="rId386" cstate="email"/>
        <a:srcRect/>
        <a:stretch>
          <a:fillRect/>
        </a:stretch>
      </xdr:blipFill>
      <xdr:spPr>
        <a:xfrm>
          <a:off x="1132205" y="271241520"/>
          <a:ext cx="490855" cy="601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xdr:cNvPicPr>
          <a:picLocks noChangeAspect="1" noChangeArrowheads="1"/>
        </xdr:cNvPicPr>
      </xdr:nvPicPr>
      <xdr:blipFill>
        <a:blip r:embed="rId387" cstate="email"/>
        <a:srcRect/>
        <a:stretch>
          <a:fillRect/>
        </a:stretch>
      </xdr:blipFill>
      <xdr:spPr>
        <a:xfrm>
          <a:off x="1153795" y="270614775"/>
          <a:ext cx="481965"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xdr:cNvPicPr>
          <a:picLocks noChangeAspect="1" noChangeArrowheads="1"/>
        </xdr:cNvPicPr>
      </xdr:nvPicPr>
      <xdr:blipFill>
        <a:blip r:embed="rId388" cstate="print"/>
        <a:srcRect/>
        <a:stretch>
          <a:fillRect/>
        </a:stretch>
      </xdr:blipFill>
      <xdr:spPr>
        <a:xfrm>
          <a:off x="1126490" y="268707235"/>
          <a:ext cx="490855"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xdr:cNvPicPr>
          <a:picLocks noChangeAspect="1" noChangeArrowheads="1"/>
        </xdr:cNvPicPr>
      </xdr:nvPicPr>
      <xdr:blipFill>
        <a:blip r:embed="rId389" cstate="print"/>
        <a:srcRect/>
        <a:stretch>
          <a:fillRect/>
        </a:stretch>
      </xdr:blipFill>
      <xdr:spPr>
        <a:xfrm>
          <a:off x="1092835" y="269332075"/>
          <a:ext cx="507365"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xdr:cNvPicPr>
          <a:picLocks noChangeAspect="1" noChangeArrowheads="1"/>
        </xdr:cNvPicPr>
      </xdr:nvPicPr>
      <xdr:blipFill>
        <a:blip r:embed="rId390" cstate="email"/>
        <a:srcRect/>
        <a:stretch>
          <a:fillRect/>
        </a:stretch>
      </xdr:blipFill>
      <xdr:spPr>
        <a:xfrm>
          <a:off x="1059180" y="269966440"/>
          <a:ext cx="505460"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xdr:cNvPicPr>
          <a:picLocks noChangeAspect="1" noChangeArrowheads="1"/>
        </xdr:cNvPicPr>
      </xdr:nvPicPr>
      <xdr:blipFill>
        <a:blip r:embed="rId391" cstate="email"/>
        <a:srcRect/>
        <a:stretch>
          <a:fillRect/>
        </a:stretch>
      </xdr:blipFill>
      <xdr:spPr>
        <a:xfrm>
          <a:off x="1156335" y="267428980"/>
          <a:ext cx="479425"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xdr:cNvPicPr>
          <a:picLocks noChangeAspect="1" noChangeArrowheads="1"/>
        </xdr:cNvPicPr>
      </xdr:nvPicPr>
      <xdr:blipFill>
        <a:blip r:embed="rId392" cstate="email"/>
        <a:srcRect/>
        <a:stretch>
          <a:fillRect/>
        </a:stretch>
      </xdr:blipFill>
      <xdr:spPr>
        <a:xfrm>
          <a:off x="1148080" y="268063980"/>
          <a:ext cx="487680"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xdr:cNvPicPr>
          <a:picLocks noChangeAspect="1" noChangeArrowheads="1"/>
        </xdr:cNvPicPr>
      </xdr:nvPicPr>
      <xdr:blipFill>
        <a:blip r:embed="rId393" cstate="print"/>
        <a:srcRect/>
        <a:stretch>
          <a:fillRect/>
        </a:stretch>
      </xdr:blipFill>
      <xdr:spPr>
        <a:xfrm>
          <a:off x="1151890" y="266798425"/>
          <a:ext cx="483870" cy="600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xdr:cNvPicPr>
          <a:picLocks noChangeAspect="1" noChangeArrowheads="1"/>
        </xdr:cNvPicPr>
      </xdr:nvPicPr>
      <xdr:blipFill>
        <a:blip r:embed="rId394" cstate="email"/>
        <a:srcRect/>
        <a:stretch>
          <a:fillRect/>
        </a:stretch>
      </xdr:blipFill>
      <xdr:spPr>
        <a:xfrm>
          <a:off x="1122680" y="272508980"/>
          <a:ext cx="513080"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xdr:cNvPicPr>
          <a:picLocks noChangeAspect="1" noChangeArrowheads="1"/>
        </xdr:cNvPicPr>
      </xdr:nvPicPr>
      <xdr:blipFill>
        <a:blip r:embed="rId395" cstate="email"/>
        <a:srcRect/>
        <a:stretch>
          <a:fillRect/>
        </a:stretch>
      </xdr:blipFill>
      <xdr:spPr>
        <a:xfrm>
          <a:off x="1139190" y="273143980"/>
          <a:ext cx="496570"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xdr:cNvPicPr>
          <a:picLocks noChangeAspect="1" noChangeArrowheads="1"/>
        </xdr:cNvPicPr>
      </xdr:nvPicPr>
      <xdr:blipFill>
        <a:blip r:embed="rId396" cstate="print"/>
        <a:srcRect/>
        <a:stretch>
          <a:fillRect/>
        </a:stretch>
      </xdr:blipFill>
      <xdr:spPr>
        <a:xfrm>
          <a:off x="1126490" y="273787235"/>
          <a:ext cx="49085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xdr:cNvPicPr>
          <a:picLocks noChangeAspect="1" noChangeArrowheads="1"/>
        </xdr:cNvPicPr>
      </xdr:nvPicPr>
      <xdr:blipFill>
        <a:blip r:embed="rId397" cstate="email"/>
        <a:srcRect/>
        <a:stretch>
          <a:fillRect/>
        </a:stretch>
      </xdr:blipFill>
      <xdr:spPr>
        <a:xfrm>
          <a:off x="1139190" y="274423505"/>
          <a:ext cx="496570" cy="594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xdr:cNvPicPr>
          <a:picLocks noChangeAspect="1" noChangeArrowheads="1"/>
        </xdr:cNvPicPr>
      </xdr:nvPicPr>
      <xdr:blipFill>
        <a:blip r:embed="rId398" cstate="email"/>
        <a:srcRect/>
        <a:stretch>
          <a:fillRect/>
        </a:stretch>
      </xdr:blipFill>
      <xdr:spPr>
        <a:xfrm>
          <a:off x="1117600" y="275054060"/>
          <a:ext cx="502920" cy="599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xdr:cNvPicPr>
          <a:picLocks noChangeAspect="1" noChangeArrowheads="1"/>
        </xdr:cNvPicPr>
      </xdr:nvPicPr>
      <xdr:blipFill>
        <a:blip r:embed="rId399" cstate="email"/>
        <a:srcRect/>
        <a:stretch>
          <a:fillRect/>
        </a:stretch>
      </xdr:blipFill>
      <xdr:spPr>
        <a:xfrm>
          <a:off x="1125855" y="275680170"/>
          <a:ext cx="49530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xdr:cNvPicPr>
          <a:picLocks noChangeAspect="1" noChangeArrowheads="1"/>
        </xdr:cNvPicPr>
      </xdr:nvPicPr>
      <xdr:blipFill>
        <a:blip r:embed="rId400" cstate="print"/>
        <a:srcRect/>
        <a:stretch>
          <a:fillRect/>
        </a:stretch>
      </xdr:blipFill>
      <xdr:spPr>
        <a:xfrm>
          <a:off x="1112520" y="276315170"/>
          <a:ext cx="49530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xdr:cNvPicPr>
          <a:picLocks noChangeAspect="1" noChangeArrowheads="1"/>
        </xdr:cNvPicPr>
      </xdr:nvPicPr>
      <xdr:blipFill>
        <a:blip r:embed="rId401" cstate="print"/>
        <a:srcRect/>
        <a:stretch>
          <a:fillRect/>
        </a:stretch>
      </xdr:blipFill>
      <xdr:spPr>
        <a:xfrm>
          <a:off x="1097915" y="276959695"/>
          <a:ext cx="49022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xdr:cNvPicPr>
          <a:picLocks noChangeAspect="1" noChangeArrowheads="1"/>
        </xdr:cNvPicPr>
      </xdr:nvPicPr>
      <xdr:blipFill>
        <a:blip r:embed="rId402" cstate="print"/>
        <a:srcRect/>
        <a:stretch>
          <a:fillRect/>
        </a:stretch>
      </xdr:blipFill>
      <xdr:spPr>
        <a:xfrm>
          <a:off x="1085850" y="277590250"/>
          <a:ext cx="50800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xdr:cNvPicPr>
          <a:picLocks noChangeAspect="1" noChangeArrowheads="1"/>
        </xdr:cNvPicPr>
      </xdr:nvPicPr>
      <xdr:blipFill>
        <a:blip r:embed="rId403" cstate="email"/>
        <a:srcRect/>
        <a:stretch>
          <a:fillRect/>
        </a:stretch>
      </xdr:blipFill>
      <xdr:spPr>
        <a:xfrm>
          <a:off x="1163955" y="278260175"/>
          <a:ext cx="471805"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xdr:cNvPicPr>
          <a:picLocks noChangeAspect="1" noChangeArrowheads="1"/>
        </xdr:cNvPicPr>
      </xdr:nvPicPr>
      <xdr:blipFill>
        <a:blip r:embed="rId404" cstate="print"/>
        <a:srcRect/>
        <a:stretch>
          <a:fillRect/>
        </a:stretch>
      </xdr:blipFill>
      <xdr:spPr>
        <a:xfrm>
          <a:off x="1101090" y="278869140"/>
          <a:ext cx="495300" cy="594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xdr:cNvPicPr>
          <a:picLocks noChangeAspect="1" noChangeArrowheads="1"/>
        </xdr:cNvPicPr>
      </xdr:nvPicPr>
      <xdr:blipFill>
        <a:blip r:embed="rId404" cstate="print"/>
        <a:srcRect/>
        <a:stretch>
          <a:fillRect/>
        </a:stretch>
      </xdr:blipFill>
      <xdr:spPr>
        <a:xfrm>
          <a:off x="1113790" y="279504775"/>
          <a:ext cx="495935"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xdr:cNvPicPr>
          <a:picLocks noChangeAspect="1" noChangeArrowheads="1"/>
        </xdr:cNvPicPr>
      </xdr:nvPicPr>
      <xdr:blipFill>
        <a:blip r:embed="rId405" cstate="print"/>
        <a:srcRect/>
        <a:stretch>
          <a:fillRect/>
        </a:stretch>
      </xdr:blipFill>
      <xdr:spPr>
        <a:xfrm>
          <a:off x="1163955" y="280125805"/>
          <a:ext cx="471805"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xdr:cNvPicPr>
          <a:picLocks noChangeAspect="1" noChangeArrowheads="1"/>
        </xdr:cNvPicPr>
      </xdr:nvPicPr>
      <xdr:blipFill>
        <a:blip r:embed="rId406" cstate="email"/>
        <a:srcRect/>
        <a:stretch>
          <a:fillRect/>
        </a:stretch>
      </xdr:blipFill>
      <xdr:spPr>
        <a:xfrm>
          <a:off x="1164590" y="280772870"/>
          <a:ext cx="471170" cy="595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xdr:cNvPicPr>
          <a:picLocks noChangeAspect="1" noChangeArrowheads="1"/>
        </xdr:cNvPicPr>
      </xdr:nvPicPr>
      <xdr:blipFill>
        <a:blip r:embed="rId406" cstate="email"/>
        <a:srcRect/>
        <a:stretch>
          <a:fillRect/>
        </a:stretch>
      </xdr:blipFill>
      <xdr:spPr>
        <a:xfrm>
          <a:off x="1164590" y="281408505"/>
          <a:ext cx="471170" cy="594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xdr:cNvPicPr>
          <a:picLocks noChangeAspect="1" noChangeArrowheads="1"/>
        </xdr:cNvPicPr>
      </xdr:nvPicPr>
      <xdr:blipFill>
        <a:blip r:embed="rId407" cstate="print"/>
        <a:srcRect/>
        <a:stretch>
          <a:fillRect/>
        </a:stretch>
      </xdr:blipFill>
      <xdr:spPr>
        <a:xfrm>
          <a:off x="1165225" y="282058745"/>
          <a:ext cx="470535"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xdr:cNvPicPr>
          <a:picLocks noChangeAspect="1" noChangeArrowheads="1"/>
        </xdr:cNvPicPr>
      </xdr:nvPicPr>
      <xdr:blipFill>
        <a:blip r:embed="rId408" cstate="email"/>
        <a:srcRect/>
        <a:stretch>
          <a:fillRect/>
        </a:stretch>
      </xdr:blipFill>
      <xdr:spPr>
        <a:xfrm>
          <a:off x="1163955" y="282705175"/>
          <a:ext cx="471805"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xdr:cNvPicPr>
          <a:picLocks noChangeAspect="1" noChangeArrowheads="1"/>
        </xdr:cNvPicPr>
      </xdr:nvPicPr>
      <xdr:blipFill>
        <a:blip r:embed="rId409" cstate="email"/>
        <a:srcRect/>
        <a:stretch>
          <a:fillRect/>
        </a:stretch>
      </xdr:blipFill>
      <xdr:spPr>
        <a:xfrm>
          <a:off x="1163955" y="283314775"/>
          <a:ext cx="471805"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xdr:cNvPicPr>
          <a:picLocks noChangeAspect="1" noChangeArrowheads="1"/>
        </xdr:cNvPicPr>
      </xdr:nvPicPr>
      <xdr:blipFill>
        <a:blip r:embed="rId410" cstate="email"/>
        <a:srcRect/>
        <a:stretch>
          <a:fillRect/>
        </a:stretch>
      </xdr:blipFill>
      <xdr:spPr>
        <a:xfrm>
          <a:off x="1177925" y="283926915"/>
          <a:ext cx="457835"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xdr:cNvPicPr>
          <a:picLocks noChangeAspect="1" noChangeArrowheads="1"/>
        </xdr:cNvPicPr>
      </xdr:nvPicPr>
      <xdr:blipFill>
        <a:blip r:embed="rId411" cstate="email"/>
        <a:srcRect/>
        <a:stretch>
          <a:fillRect/>
        </a:stretch>
      </xdr:blipFill>
      <xdr:spPr>
        <a:xfrm>
          <a:off x="1149985" y="284563185"/>
          <a:ext cx="48577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xdr:cNvPicPr>
          <a:picLocks noChangeAspect="1" noChangeArrowheads="1"/>
        </xdr:cNvPicPr>
      </xdr:nvPicPr>
      <xdr:blipFill>
        <a:blip r:embed="rId412" cstate="email"/>
        <a:srcRect/>
        <a:stretch>
          <a:fillRect/>
        </a:stretch>
      </xdr:blipFill>
      <xdr:spPr>
        <a:xfrm>
          <a:off x="1164590" y="285212790"/>
          <a:ext cx="471170" cy="600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xdr:cNvPicPr>
          <a:picLocks noChangeAspect="1" noChangeArrowheads="1"/>
        </xdr:cNvPicPr>
      </xdr:nvPicPr>
      <xdr:blipFill>
        <a:blip r:embed="rId413" cstate="email"/>
        <a:srcRect/>
        <a:stretch>
          <a:fillRect/>
        </a:stretch>
      </xdr:blipFill>
      <xdr:spPr>
        <a:xfrm>
          <a:off x="1151890" y="285856045"/>
          <a:ext cx="483870" cy="592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xdr:cNvPicPr>
          <a:picLocks noChangeAspect="1" noChangeArrowheads="1"/>
        </xdr:cNvPicPr>
      </xdr:nvPicPr>
      <xdr:blipFill>
        <a:blip r:embed="rId414" cstate="email"/>
        <a:srcRect/>
        <a:stretch>
          <a:fillRect/>
        </a:stretch>
      </xdr:blipFill>
      <xdr:spPr>
        <a:xfrm>
          <a:off x="1161415" y="335371440"/>
          <a:ext cx="474345"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xdr:cNvPicPr>
          <a:picLocks noChangeAspect="1" noChangeArrowheads="1"/>
        </xdr:cNvPicPr>
      </xdr:nvPicPr>
      <xdr:blipFill>
        <a:blip r:embed="rId415" cstate="email"/>
        <a:srcRect/>
        <a:stretch>
          <a:fillRect/>
        </a:stretch>
      </xdr:blipFill>
      <xdr:spPr>
        <a:xfrm>
          <a:off x="1136015" y="286475805"/>
          <a:ext cx="49149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xdr:cNvPicPr>
          <a:picLocks noChangeAspect="1" noChangeArrowheads="1"/>
        </xdr:cNvPicPr>
      </xdr:nvPicPr>
      <xdr:blipFill>
        <a:blip r:embed="rId416" cstate="email"/>
        <a:srcRect/>
        <a:stretch>
          <a:fillRect/>
        </a:stretch>
      </xdr:blipFill>
      <xdr:spPr>
        <a:xfrm>
          <a:off x="1164590" y="287111440"/>
          <a:ext cx="471170"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xdr:cNvPicPr>
          <a:picLocks noChangeAspect="1" noChangeArrowheads="1"/>
        </xdr:cNvPicPr>
      </xdr:nvPicPr>
      <xdr:blipFill>
        <a:blip r:embed="rId417" cstate="email"/>
        <a:srcRect/>
        <a:stretch>
          <a:fillRect/>
        </a:stretch>
      </xdr:blipFill>
      <xdr:spPr>
        <a:xfrm>
          <a:off x="1163955" y="287773110"/>
          <a:ext cx="471805"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xdr:cNvPicPr>
          <a:picLocks noChangeAspect="1" noChangeArrowheads="1"/>
        </xdr:cNvPicPr>
      </xdr:nvPicPr>
      <xdr:blipFill>
        <a:blip r:embed="rId418" cstate="email"/>
        <a:srcRect/>
        <a:stretch>
          <a:fillRect/>
        </a:stretch>
      </xdr:blipFill>
      <xdr:spPr>
        <a:xfrm>
          <a:off x="1164590" y="288395410"/>
          <a:ext cx="471170" cy="593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xdr:cNvPicPr>
          <a:picLocks noChangeAspect="1" noChangeArrowheads="1"/>
        </xdr:cNvPicPr>
      </xdr:nvPicPr>
      <xdr:blipFill>
        <a:blip r:embed="rId419" cstate="email"/>
        <a:srcRect/>
        <a:stretch>
          <a:fillRect/>
        </a:stretch>
      </xdr:blipFill>
      <xdr:spPr>
        <a:xfrm>
          <a:off x="1178560" y="289030410"/>
          <a:ext cx="457200" cy="593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xdr:cNvPicPr>
          <a:picLocks noChangeAspect="1" noChangeArrowheads="1"/>
        </xdr:cNvPicPr>
      </xdr:nvPicPr>
      <xdr:blipFill>
        <a:blip r:embed="rId420" cstate="email"/>
        <a:srcRect/>
        <a:stretch>
          <a:fillRect/>
        </a:stretch>
      </xdr:blipFill>
      <xdr:spPr>
        <a:xfrm>
          <a:off x="1149985" y="290285805"/>
          <a:ext cx="485775"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xdr:cNvPicPr>
          <a:picLocks noChangeAspect="1" noChangeArrowheads="1"/>
        </xdr:cNvPicPr>
      </xdr:nvPicPr>
      <xdr:blipFill>
        <a:blip r:embed="rId421" cstate="print"/>
        <a:srcRect/>
        <a:stretch>
          <a:fillRect/>
        </a:stretch>
      </xdr:blipFill>
      <xdr:spPr>
        <a:xfrm>
          <a:off x="1177290" y="289678110"/>
          <a:ext cx="458470"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xdr:cNvPicPr>
          <a:picLocks noChangeAspect="1" noChangeArrowheads="1"/>
        </xdr:cNvPicPr>
      </xdr:nvPicPr>
      <xdr:blipFill>
        <a:blip r:embed="rId422" cstate="email"/>
        <a:srcRect/>
        <a:stretch>
          <a:fillRect/>
        </a:stretch>
      </xdr:blipFill>
      <xdr:spPr>
        <a:xfrm>
          <a:off x="1191260" y="290962080"/>
          <a:ext cx="444500" cy="566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xdr:cNvPicPr>
          <a:picLocks noChangeAspect="1" noChangeArrowheads="1"/>
        </xdr:cNvPicPr>
      </xdr:nvPicPr>
      <xdr:blipFill>
        <a:blip r:embed="rId423" cstate="email"/>
        <a:srcRect/>
        <a:stretch>
          <a:fillRect/>
        </a:stretch>
      </xdr:blipFill>
      <xdr:spPr>
        <a:xfrm>
          <a:off x="1177925" y="291556440"/>
          <a:ext cx="457835"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xdr:cNvPicPr>
          <a:picLocks noChangeAspect="1" noChangeArrowheads="1"/>
        </xdr:cNvPicPr>
      </xdr:nvPicPr>
      <xdr:blipFill>
        <a:blip r:embed="rId424" cstate="print"/>
        <a:srcRect/>
        <a:stretch>
          <a:fillRect/>
        </a:stretch>
      </xdr:blipFill>
      <xdr:spPr>
        <a:xfrm>
          <a:off x="1206500" y="292205410"/>
          <a:ext cx="429260" cy="593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xdr:cNvPicPr>
          <a:picLocks noChangeAspect="1" noChangeArrowheads="1"/>
        </xdr:cNvPicPr>
      </xdr:nvPicPr>
      <xdr:blipFill>
        <a:blip r:embed="rId425" cstate="email"/>
        <a:srcRect/>
        <a:stretch>
          <a:fillRect/>
        </a:stretch>
      </xdr:blipFill>
      <xdr:spPr>
        <a:xfrm>
          <a:off x="1193165" y="292841045"/>
          <a:ext cx="442595" cy="592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xdr:cNvPicPr>
          <a:picLocks noChangeAspect="1" noChangeArrowheads="1"/>
        </xdr:cNvPicPr>
      </xdr:nvPicPr>
      <xdr:blipFill>
        <a:blip r:embed="rId426" cstate="email"/>
        <a:srcRect/>
        <a:stretch>
          <a:fillRect/>
        </a:stretch>
      </xdr:blipFill>
      <xdr:spPr>
        <a:xfrm>
          <a:off x="1178560" y="293476680"/>
          <a:ext cx="45720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xdr:cNvPicPr>
          <a:picLocks noChangeAspect="1" noChangeArrowheads="1"/>
        </xdr:cNvPicPr>
      </xdr:nvPicPr>
      <xdr:blipFill>
        <a:blip r:embed="rId427" cstate="email"/>
        <a:srcRect/>
        <a:stretch>
          <a:fillRect/>
        </a:stretch>
      </xdr:blipFill>
      <xdr:spPr>
        <a:xfrm>
          <a:off x="1179195" y="294112315"/>
          <a:ext cx="456565"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xdr:cNvPicPr>
          <a:picLocks noChangeAspect="1" noChangeArrowheads="1"/>
        </xdr:cNvPicPr>
      </xdr:nvPicPr>
      <xdr:blipFill>
        <a:blip r:embed="rId428" cstate="email"/>
        <a:srcRect/>
        <a:stretch>
          <a:fillRect/>
        </a:stretch>
      </xdr:blipFill>
      <xdr:spPr>
        <a:xfrm>
          <a:off x="1165860" y="294747950"/>
          <a:ext cx="46990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xdr:cNvPicPr>
          <a:picLocks noChangeAspect="1" noChangeArrowheads="1"/>
        </xdr:cNvPicPr>
      </xdr:nvPicPr>
      <xdr:blipFill>
        <a:blip r:embed="rId429" cstate="email"/>
        <a:srcRect/>
        <a:stretch>
          <a:fillRect/>
        </a:stretch>
      </xdr:blipFill>
      <xdr:spPr>
        <a:xfrm>
          <a:off x="1146810" y="295385490"/>
          <a:ext cx="488950" cy="5880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xdr:cNvPicPr>
          <a:picLocks noChangeAspect="1" noChangeArrowheads="1"/>
        </xdr:cNvPicPr>
      </xdr:nvPicPr>
      <xdr:blipFill>
        <a:blip r:embed="rId430" cstate="email"/>
        <a:srcRect/>
        <a:stretch>
          <a:fillRect/>
        </a:stretch>
      </xdr:blipFill>
      <xdr:spPr>
        <a:xfrm>
          <a:off x="1165860" y="296005885"/>
          <a:ext cx="46990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xdr:cNvPicPr>
          <a:picLocks noChangeAspect="1" noChangeArrowheads="1"/>
        </xdr:cNvPicPr>
      </xdr:nvPicPr>
      <xdr:blipFill>
        <a:blip r:embed="rId431" cstate="email"/>
        <a:srcRect/>
        <a:stretch>
          <a:fillRect/>
        </a:stretch>
      </xdr:blipFill>
      <xdr:spPr>
        <a:xfrm>
          <a:off x="1189355" y="296651680"/>
          <a:ext cx="446405"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xdr:cNvPicPr>
          <a:picLocks noChangeAspect="1" noChangeArrowheads="1"/>
        </xdr:cNvPicPr>
      </xdr:nvPicPr>
      <xdr:blipFill>
        <a:blip r:embed="rId432" cstate="print"/>
        <a:srcRect/>
        <a:stretch>
          <a:fillRect/>
        </a:stretch>
      </xdr:blipFill>
      <xdr:spPr>
        <a:xfrm>
          <a:off x="1172210" y="297307000"/>
          <a:ext cx="4635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xdr:cNvPicPr>
          <a:picLocks noChangeAspect="1" noChangeArrowheads="1"/>
        </xdr:cNvPicPr>
      </xdr:nvPicPr>
      <xdr:blipFill>
        <a:blip r:embed="rId433" cstate="email"/>
        <a:srcRect/>
        <a:stretch>
          <a:fillRect/>
        </a:stretch>
      </xdr:blipFill>
      <xdr:spPr>
        <a:xfrm>
          <a:off x="1174750" y="297923585"/>
          <a:ext cx="461010" cy="589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xdr:cNvPicPr>
          <a:picLocks noChangeAspect="1" noChangeArrowheads="1"/>
        </xdr:cNvPicPr>
      </xdr:nvPicPr>
      <xdr:blipFill>
        <a:blip r:embed="rId434" cstate="email"/>
        <a:srcRect/>
        <a:stretch>
          <a:fillRect/>
        </a:stretch>
      </xdr:blipFill>
      <xdr:spPr>
        <a:xfrm>
          <a:off x="1202055" y="298581445"/>
          <a:ext cx="433705" cy="567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xdr:cNvPicPr>
          <a:picLocks noChangeAspect="1" noChangeArrowheads="1"/>
        </xdr:cNvPicPr>
      </xdr:nvPicPr>
      <xdr:blipFill>
        <a:blip r:embed="rId435" cstate="email"/>
        <a:srcRect/>
        <a:stretch>
          <a:fillRect/>
        </a:stretch>
      </xdr:blipFill>
      <xdr:spPr>
        <a:xfrm>
          <a:off x="1186180" y="299174535"/>
          <a:ext cx="4495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xdr:cNvPicPr>
          <a:picLocks noChangeAspect="1" noChangeArrowheads="1"/>
        </xdr:cNvPicPr>
      </xdr:nvPicPr>
      <xdr:blipFill>
        <a:blip r:embed="rId436" cstate="email"/>
        <a:srcRect/>
        <a:stretch>
          <a:fillRect/>
        </a:stretch>
      </xdr:blipFill>
      <xdr:spPr>
        <a:xfrm>
          <a:off x="1186180" y="299822235"/>
          <a:ext cx="4495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xdr:cNvPicPr>
          <a:picLocks noChangeAspect="1" noChangeArrowheads="1"/>
        </xdr:cNvPicPr>
      </xdr:nvPicPr>
      <xdr:blipFill>
        <a:blip r:embed="rId437" cstate="print"/>
        <a:srcRect/>
        <a:stretch>
          <a:fillRect/>
        </a:stretch>
      </xdr:blipFill>
      <xdr:spPr>
        <a:xfrm>
          <a:off x="1173480" y="300444535"/>
          <a:ext cx="4622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xdr:cNvPicPr>
          <a:picLocks noChangeAspect="1" noChangeArrowheads="1"/>
        </xdr:cNvPicPr>
      </xdr:nvPicPr>
      <xdr:blipFill>
        <a:blip r:embed="rId438" cstate="email"/>
        <a:srcRect/>
        <a:stretch>
          <a:fillRect/>
        </a:stretch>
      </xdr:blipFill>
      <xdr:spPr>
        <a:xfrm>
          <a:off x="1173480" y="302995330"/>
          <a:ext cx="462280" cy="598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xdr:cNvPicPr>
          <a:picLocks noChangeAspect="1" noChangeArrowheads="1"/>
        </xdr:cNvPicPr>
      </xdr:nvPicPr>
      <xdr:blipFill>
        <a:blip r:embed="rId439" cstate="print"/>
        <a:srcRect/>
        <a:stretch>
          <a:fillRect/>
        </a:stretch>
      </xdr:blipFill>
      <xdr:spPr>
        <a:xfrm>
          <a:off x="1173480" y="301092235"/>
          <a:ext cx="4622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xdr:cNvPicPr>
          <a:picLocks noChangeAspect="1" noChangeArrowheads="1"/>
        </xdr:cNvPicPr>
      </xdr:nvPicPr>
      <xdr:blipFill>
        <a:blip r:embed="rId440" cstate="print"/>
        <a:srcRect/>
        <a:stretch>
          <a:fillRect/>
        </a:stretch>
      </xdr:blipFill>
      <xdr:spPr>
        <a:xfrm>
          <a:off x="1172845" y="301714535"/>
          <a:ext cx="462915"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xdr:cNvPicPr>
          <a:picLocks noChangeAspect="1" noChangeArrowheads="1"/>
        </xdr:cNvPicPr>
      </xdr:nvPicPr>
      <xdr:blipFill>
        <a:blip r:embed="rId440" cstate="print"/>
        <a:srcRect/>
        <a:stretch>
          <a:fillRect/>
        </a:stretch>
      </xdr:blipFill>
      <xdr:spPr>
        <a:xfrm>
          <a:off x="1172845" y="302349535"/>
          <a:ext cx="462915"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xdr:cNvPicPr>
          <a:picLocks noChangeAspect="1" noChangeArrowheads="1"/>
        </xdr:cNvPicPr>
      </xdr:nvPicPr>
      <xdr:blipFill>
        <a:blip r:embed="rId441" cstate="email"/>
        <a:srcRect/>
        <a:stretch>
          <a:fillRect/>
        </a:stretch>
      </xdr:blipFill>
      <xdr:spPr>
        <a:xfrm>
          <a:off x="1160780" y="303643665"/>
          <a:ext cx="474980" cy="584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xdr:cNvPicPr>
          <a:picLocks noChangeAspect="1" noChangeArrowheads="1"/>
        </xdr:cNvPicPr>
      </xdr:nvPicPr>
      <xdr:blipFill>
        <a:blip r:embed="rId442" cstate="print"/>
        <a:srcRect/>
        <a:stretch>
          <a:fillRect/>
        </a:stretch>
      </xdr:blipFill>
      <xdr:spPr>
        <a:xfrm>
          <a:off x="1135380" y="304265965"/>
          <a:ext cx="49403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xdr:cNvPicPr>
          <a:picLocks noChangeAspect="1" noChangeArrowheads="1"/>
        </xdr:cNvPicPr>
      </xdr:nvPicPr>
      <xdr:blipFill>
        <a:blip r:embed="rId442" cstate="print"/>
        <a:srcRect/>
        <a:stretch>
          <a:fillRect/>
        </a:stretch>
      </xdr:blipFill>
      <xdr:spPr>
        <a:xfrm>
          <a:off x="1135380" y="304900965"/>
          <a:ext cx="49403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xdr:cNvPicPr>
          <a:picLocks noChangeAspect="1" noChangeArrowheads="1"/>
        </xdr:cNvPicPr>
      </xdr:nvPicPr>
      <xdr:blipFill>
        <a:blip r:embed="rId443" cstate="email"/>
        <a:srcRect/>
        <a:stretch>
          <a:fillRect/>
        </a:stretch>
      </xdr:blipFill>
      <xdr:spPr>
        <a:xfrm>
          <a:off x="1135380" y="305524535"/>
          <a:ext cx="5003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xdr:cNvPicPr>
          <a:picLocks noChangeAspect="1" noChangeArrowheads="1"/>
        </xdr:cNvPicPr>
      </xdr:nvPicPr>
      <xdr:blipFill>
        <a:blip r:embed="rId444" cstate="email"/>
        <a:srcRect/>
        <a:stretch>
          <a:fillRect/>
        </a:stretch>
      </xdr:blipFill>
      <xdr:spPr>
        <a:xfrm>
          <a:off x="1134745" y="306172235"/>
          <a:ext cx="50101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xdr:cNvPicPr>
          <a:picLocks noChangeAspect="1" noChangeArrowheads="1"/>
        </xdr:cNvPicPr>
      </xdr:nvPicPr>
      <xdr:blipFill>
        <a:blip r:embed="rId445" cstate="print"/>
        <a:srcRect/>
        <a:stretch>
          <a:fillRect/>
        </a:stretch>
      </xdr:blipFill>
      <xdr:spPr>
        <a:xfrm>
          <a:off x="1128395" y="306807235"/>
          <a:ext cx="50736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xdr:cNvPicPr>
          <a:picLocks noChangeAspect="1" noChangeArrowheads="1"/>
        </xdr:cNvPicPr>
      </xdr:nvPicPr>
      <xdr:blipFill>
        <a:blip r:embed="rId446" cstate="print"/>
        <a:srcRect/>
        <a:stretch>
          <a:fillRect/>
        </a:stretch>
      </xdr:blipFill>
      <xdr:spPr>
        <a:xfrm>
          <a:off x="1173480" y="307454935"/>
          <a:ext cx="4622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xdr:cNvPicPr>
          <a:picLocks noChangeAspect="1" noChangeArrowheads="1"/>
        </xdr:cNvPicPr>
      </xdr:nvPicPr>
      <xdr:blipFill>
        <a:blip r:embed="rId447" cstate="print"/>
        <a:srcRect/>
        <a:stretch>
          <a:fillRect/>
        </a:stretch>
      </xdr:blipFill>
      <xdr:spPr>
        <a:xfrm>
          <a:off x="1185545" y="308077235"/>
          <a:ext cx="45021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xdr:cNvPicPr>
          <a:picLocks noChangeAspect="1" noChangeArrowheads="1"/>
        </xdr:cNvPicPr>
      </xdr:nvPicPr>
      <xdr:blipFill>
        <a:blip r:embed="rId448" cstate="print"/>
        <a:srcRect/>
        <a:stretch>
          <a:fillRect/>
        </a:stretch>
      </xdr:blipFill>
      <xdr:spPr>
        <a:xfrm>
          <a:off x="1186180" y="308724935"/>
          <a:ext cx="4495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xdr:cNvPicPr>
          <a:picLocks noChangeAspect="1" noChangeArrowheads="1"/>
        </xdr:cNvPicPr>
      </xdr:nvPicPr>
      <xdr:blipFill>
        <a:blip r:embed="rId449" cstate="email"/>
        <a:srcRect/>
        <a:stretch>
          <a:fillRect/>
        </a:stretch>
      </xdr:blipFill>
      <xdr:spPr>
        <a:xfrm>
          <a:off x="1148080" y="309334535"/>
          <a:ext cx="4876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xdr:cNvPicPr>
          <a:picLocks noChangeAspect="1" noChangeArrowheads="1"/>
        </xdr:cNvPicPr>
      </xdr:nvPicPr>
      <xdr:blipFill>
        <a:blip r:embed="rId450" cstate="email"/>
        <a:srcRect/>
        <a:stretch>
          <a:fillRect/>
        </a:stretch>
      </xdr:blipFill>
      <xdr:spPr>
        <a:xfrm>
          <a:off x="1211580" y="309994935"/>
          <a:ext cx="4241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xdr:cNvPicPr>
          <a:picLocks noChangeAspect="1" noChangeArrowheads="1"/>
        </xdr:cNvPicPr>
      </xdr:nvPicPr>
      <xdr:blipFill>
        <a:blip r:embed="rId451" cstate="email"/>
        <a:srcRect/>
        <a:stretch>
          <a:fillRect/>
        </a:stretch>
      </xdr:blipFill>
      <xdr:spPr>
        <a:xfrm>
          <a:off x="1198880" y="310617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xdr:cNvPicPr>
          <a:picLocks noChangeAspect="1" noChangeArrowheads="1"/>
        </xdr:cNvPicPr>
      </xdr:nvPicPr>
      <xdr:blipFill>
        <a:blip r:embed="rId450" cstate="email"/>
        <a:srcRect/>
        <a:stretch>
          <a:fillRect/>
        </a:stretch>
      </xdr:blipFill>
      <xdr:spPr>
        <a:xfrm>
          <a:off x="1211580" y="311264935"/>
          <a:ext cx="4241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xdr:cNvPicPr>
          <a:picLocks noChangeAspect="1" noChangeArrowheads="1"/>
        </xdr:cNvPicPr>
      </xdr:nvPicPr>
      <xdr:blipFill>
        <a:blip r:embed="rId452" cstate="print"/>
        <a:srcRect/>
        <a:stretch>
          <a:fillRect/>
        </a:stretch>
      </xdr:blipFill>
      <xdr:spPr>
        <a:xfrm>
          <a:off x="1186180" y="311887235"/>
          <a:ext cx="4495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xdr:cNvPicPr>
          <a:picLocks noChangeAspect="1" noChangeArrowheads="1"/>
        </xdr:cNvPicPr>
      </xdr:nvPicPr>
      <xdr:blipFill>
        <a:blip r:embed="rId453" cstate="email"/>
        <a:srcRect/>
        <a:stretch>
          <a:fillRect/>
        </a:stretch>
      </xdr:blipFill>
      <xdr:spPr>
        <a:xfrm>
          <a:off x="1211580" y="313157235"/>
          <a:ext cx="4241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xdr:cNvPicPr>
          <a:picLocks noChangeAspect="1" noChangeArrowheads="1"/>
        </xdr:cNvPicPr>
      </xdr:nvPicPr>
      <xdr:blipFill>
        <a:blip r:embed="rId454" cstate="email"/>
        <a:srcRect/>
        <a:stretch>
          <a:fillRect/>
        </a:stretch>
      </xdr:blipFill>
      <xdr:spPr>
        <a:xfrm>
          <a:off x="1198880" y="312509535"/>
          <a:ext cx="4368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xdr:cNvPicPr>
          <a:picLocks noChangeAspect="1" noChangeArrowheads="1"/>
        </xdr:cNvPicPr>
      </xdr:nvPicPr>
      <xdr:blipFill>
        <a:blip r:embed="rId455" cstate="email"/>
        <a:srcRect/>
        <a:stretch>
          <a:fillRect/>
        </a:stretch>
      </xdr:blipFill>
      <xdr:spPr>
        <a:xfrm>
          <a:off x="1198880" y="313792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xdr:cNvPicPr>
          <a:picLocks noChangeAspect="1" noChangeArrowheads="1"/>
        </xdr:cNvPicPr>
      </xdr:nvPicPr>
      <xdr:blipFill>
        <a:blip r:embed="rId455" cstate="email"/>
        <a:srcRect/>
        <a:stretch>
          <a:fillRect/>
        </a:stretch>
      </xdr:blipFill>
      <xdr:spPr>
        <a:xfrm>
          <a:off x="1198880" y="314427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xdr:cNvPicPr>
          <a:picLocks noChangeAspect="1" noChangeArrowheads="1"/>
        </xdr:cNvPicPr>
      </xdr:nvPicPr>
      <xdr:blipFill>
        <a:blip r:embed="rId455" cstate="email"/>
        <a:srcRect/>
        <a:stretch>
          <a:fillRect/>
        </a:stretch>
      </xdr:blipFill>
      <xdr:spPr>
        <a:xfrm>
          <a:off x="1198880" y="315062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xdr:cNvPicPr>
          <a:picLocks noChangeAspect="1" noChangeArrowheads="1"/>
        </xdr:cNvPicPr>
      </xdr:nvPicPr>
      <xdr:blipFill>
        <a:blip r:embed="rId456" cstate="print"/>
        <a:srcRect/>
        <a:stretch>
          <a:fillRect/>
        </a:stretch>
      </xdr:blipFill>
      <xdr:spPr>
        <a:xfrm>
          <a:off x="1198880" y="315709935"/>
          <a:ext cx="4368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xdr:cNvPicPr>
          <a:picLocks noChangeAspect="1" noChangeArrowheads="1"/>
        </xdr:cNvPicPr>
      </xdr:nvPicPr>
      <xdr:blipFill>
        <a:blip r:embed="rId457" cstate="email"/>
        <a:srcRect/>
        <a:stretch>
          <a:fillRect/>
        </a:stretch>
      </xdr:blipFill>
      <xdr:spPr>
        <a:xfrm>
          <a:off x="1148080" y="316336680"/>
          <a:ext cx="479425"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xdr:cNvPicPr>
          <a:picLocks noChangeAspect="1"/>
        </xdr:cNvPicPr>
      </xdr:nvPicPr>
      <xdr:blipFill>
        <a:blip r:embed="rId458" cstate="email"/>
        <a:stretch>
          <a:fillRect/>
        </a:stretch>
      </xdr:blipFill>
      <xdr:spPr>
        <a:xfrm>
          <a:off x="1160780" y="316962155"/>
          <a:ext cx="474980" cy="601345"/>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xdr:cNvPicPr>
          <a:picLocks noChangeAspect="1"/>
        </xdr:cNvPicPr>
      </xdr:nvPicPr>
      <xdr:blipFill>
        <a:blip r:embed="rId459" cstate="email"/>
        <a:stretch>
          <a:fillRect/>
        </a:stretch>
      </xdr:blipFill>
      <xdr:spPr>
        <a:xfrm>
          <a:off x="1160780" y="317588900"/>
          <a:ext cx="474980" cy="609600"/>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xdr:cNvPicPr>
          <a:picLocks noChangeAspect="1"/>
        </xdr:cNvPicPr>
      </xdr:nvPicPr>
      <xdr:blipFill>
        <a:blip r:embed="rId460" cstate="email"/>
        <a:stretch>
          <a:fillRect/>
        </a:stretch>
      </xdr:blipFill>
      <xdr:spPr>
        <a:xfrm>
          <a:off x="1186180" y="318237235"/>
          <a:ext cx="449580" cy="596265"/>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xdr:cNvPicPr>
          <a:picLocks noChangeAspect="1"/>
        </xdr:cNvPicPr>
      </xdr:nvPicPr>
      <xdr:blipFill>
        <a:blip r:embed="rId461" cstate="email"/>
        <a:stretch>
          <a:fillRect/>
        </a:stretch>
      </xdr:blipFill>
      <xdr:spPr>
        <a:xfrm>
          <a:off x="1173480" y="318872235"/>
          <a:ext cx="462280" cy="596265"/>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xdr:cNvPicPr>
          <a:picLocks noChangeAspect="1"/>
        </xdr:cNvPicPr>
      </xdr:nvPicPr>
      <xdr:blipFill>
        <a:blip r:embed="rId462" cstate="email"/>
        <a:stretch>
          <a:fillRect/>
        </a:stretch>
      </xdr:blipFill>
      <xdr:spPr>
        <a:xfrm>
          <a:off x="1173480" y="319494535"/>
          <a:ext cx="462280" cy="608965"/>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xdr:cNvPicPr>
          <a:picLocks noChangeAspect="1"/>
        </xdr:cNvPicPr>
      </xdr:nvPicPr>
      <xdr:blipFill>
        <a:blip r:embed="rId463" cstate="email"/>
        <a:stretch>
          <a:fillRect/>
        </a:stretch>
      </xdr:blipFill>
      <xdr:spPr>
        <a:xfrm>
          <a:off x="1173480" y="320777235"/>
          <a:ext cx="462280" cy="596265"/>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xdr:cNvPicPr>
          <a:picLocks noChangeAspect="1"/>
        </xdr:cNvPicPr>
      </xdr:nvPicPr>
      <xdr:blipFill>
        <a:blip r:embed="rId464" cstate="email"/>
        <a:stretch>
          <a:fillRect/>
        </a:stretch>
      </xdr:blipFill>
      <xdr:spPr>
        <a:xfrm>
          <a:off x="1173480" y="320129535"/>
          <a:ext cx="462280" cy="608965"/>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xdr:cNvPicPr>
          <a:picLocks noChangeAspect="1"/>
        </xdr:cNvPicPr>
      </xdr:nvPicPr>
      <xdr:blipFill>
        <a:blip r:embed="rId465" cstate="email"/>
        <a:stretch>
          <a:fillRect/>
        </a:stretch>
      </xdr:blipFill>
      <xdr:spPr>
        <a:xfrm>
          <a:off x="1173480" y="321424935"/>
          <a:ext cx="462280" cy="58356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xdr:cNvPicPr>
          <a:picLocks noChangeAspect="1"/>
        </xdr:cNvPicPr>
      </xdr:nvPicPr>
      <xdr:blipFill>
        <a:blip r:embed="rId466" cstate="email"/>
        <a:stretch>
          <a:fillRect/>
        </a:stretch>
      </xdr:blipFill>
      <xdr:spPr>
        <a:xfrm>
          <a:off x="1186180" y="322059935"/>
          <a:ext cx="449580" cy="58356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xdr:cNvPicPr>
          <a:picLocks noChangeAspect="1"/>
        </xdr:cNvPicPr>
      </xdr:nvPicPr>
      <xdr:blipFill>
        <a:blip r:embed="rId467" cstate="email"/>
        <a:stretch>
          <a:fillRect/>
        </a:stretch>
      </xdr:blipFill>
      <xdr:spPr>
        <a:xfrm>
          <a:off x="1186180" y="322682235"/>
          <a:ext cx="449580" cy="59626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xdr:cNvPicPr>
          <a:picLocks noChangeAspect="1"/>
        </xdr:cNvPicPr>
      </xdr:nvPicPr>
      <xdr:blipFill>
        <a:blip r:embed="rId467" cstate="email"/>
        <a:stretch>
          <a:fillRect/>
        </a:stretch>
      </xdr:blipFill>
      <xdr:spPr>
        <a:xfrm>
          <a:off x="1186180" y="323317235"/>
          <a:ext cx="449580" cy="59626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xdr:cNvPicPr>
          <a:picLocks noChangeAspect="1"/>
        </xdr:cNvPicPr>
      </xdr:nvPicPr>
      <xdr:blipFill>
        <a:blip r:embed="rId468" cstate="email"/>
        <a:stretch>
          <a:fillRect/>
        </a:stretch>
      </xdr:blipFill>
      <xdr:spPr>
        <a:xfrm>
          <a:off x="1186180" y="323932550"/>
          <a:ext cx="449580" cy="615950"/>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xdr:cNvPicPr>
          <a:picLocks noChangeAspect="1"/>
        </xdr:cNvPicPr>
      </xdr:nvPicPr>
      <xdr:blipFill>
        <a:blip r:embed="rId469" cstate="email"/>
        <a:stretch>
          <a:fillRect/>
        </a:stretch>
      </xdr:blipFill>
      <xdr:spPr>
        <a:xfrm>
          <a:off x="1176020" y="324548500"/>
          <a:ext cx="459740" cy="551815"/>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xdr:cNvPicPr>
          <a:picLocks noChangeAspect="1"/>
        </xdr:cNvPicPr>
      </xdr:nvPicPr>
      <xdr:blipFill>
        <a:blip r:embed="rId470" cstate="email"/>
        <a:stretch>
          <a:fillRect/>
        </a:stretch>
      </xdr:blipFill>
      <xdr:spPr>
        <a:xfrm>
          <a:off x="1186180" y="325183500"/>
          <a:ext cx="449580" cy="551815"/>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xdr:cNvPicPr>
          <a:picLocks noChangeAspect="1"/>
        </xdr:cNvPicPr>
      </xdr:nvPicPr>
      <xdr:blipFill>
        <a:blip r:embed="rId471" cstate="email"/>
        <a:stretch>
          <a:fillRect/>
        </a:stretch>
      </xdr:blipFill>
      <xdr:spPr>
        <a:xfrm>
          <a:off x="1173480" y="325854695"/>
          <a:ext cx="462280" cy="527685"/>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xdr:cNvPicPr>
          <a:picLocks noChangeAspect="1" noChangeArrowheads="1"/>
        </xdr:cNvPicPr>
      </xdr:nvPicPr>
      <xdr:blipFill>
        <a:blip r:embed="rId472" cstate="email"/>
        <a:srcRect/>
        <a:stretch>
          <a:fillRect/>
        </a:stretch>
      </xdr:blipFill>
      <xdr:spPr>
        <a:xfrm>
          <a:off x="1141730" y="333489300"/>
          <a:ext cx="462280" cy="58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xdr:cNvPicPr>
          <a:picLocks noChangeAspect="1" noChangeArrowheads="1"/>
        </xdr:cNvPicPr>
      </xdr:nvPicPr>
      <xdr:blipFill>
        <a:blip r:embed="rId473" cstate="email"/>
        <a:srcRect/>
        <a:stretch>
          <a:fillRect/>
        </a:stretch>
      </xdr:blipFill>
      <xdr:spPr>
        <a:xfrm>
          <a:off x="1090930" y="332212315"/>
          <a:ext cx="483870"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xdr:cNvPicPr>
          <a:picLocks noChangeAspect="1"/>
        </xdr:cNvPicPr>
      </xdr:nvPicPr>
      <xdr:blipFill>
        <a:blip r:embed="rId474" cstate="email"/>
        <a:stretch>
          <a:fillRect/>
        </a:stretch>
      </xdr:blipFill>
      <xdr:spPr>
        <a:xfrm>
          <a:off x="1198880" y="335991835"/>
          <a:ext cx="436880" cy="62166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xdr:cNvPicPr>
          <a:picLocks noChangeAspect="1"/>
        </xdr:cNvPicPr>
      </xdr:nvPicPr>
      <xdr:blipFill>
        <a:blip r:embed="rId475" cstate="email"/>
        <a:stretch>
          <a:fillRect/>
        </a:stretch>
      </xdr:blipFill>
      <xdr:spPr>
        <a:xfrm>
          <a:off x="1165860" y="336652235"/>
          <a:ext cx="456565" cy="596265"/>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xdr:cNvPicPr>
          <a:picLocks noChangeAspect="1"/>
        </xdr:cNvPicPr>
      </xdr:nvPicPr>
      <xdr:blipFill>
        <a:blip r:embed="rId476" cstate="email"/>
        <a:stretch>
          <a:fillRect/>
        </a:stretch>
      </xdr:blipFill>
      <xdr:spPr>
        <a:xfrm>
          <a:off x="1167765" y="337299935"/>
          <a:ext cx="467995" cy="583565"/>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xdr:cNvPicPr>
          <a:picLocks noChangeAspect="1"/>
        </xdr:cNvPicPr>
      </xdr:nvPicPr>
      <xdr:blipFill>
        <a:blip r:embed="rId477" cstate="email"/>
        <a:stretch>
          <a:fillRect/>
        </a:stretch>
      </xdr:blipFill>
      <xdr:spPr>
        <a:xfrm>
          <a:off x="1144270" y="337915250"/>
          <a:ext cx="456565" cy="601345"/>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xdr:cNvPicPr>
          <a:picLocks noChangeAspect="1"/>
        </xdr:cNvPicPr>
      </xdr:nvPicPr>
      <xdr:blipFill>
        <a:blip r:embed="rId478" cstate="email"/>
        <a:stretch>
          <a:fillRect/>
        </a:stretch>
      </xdr:blipFill>
      <xdr:spPr>
        <a:xfrm>
          <a:off x="1131570" y="338554060"/>
          <a:ext cx="467995" cy="599440"/>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xdr:cNvPicPr>
          <a:picLocks noChangeAspect="1"/>
        </xdr:cNvPicPr>
      </xdr:nvPicPr>
      <xdr:blipFill>
        <a:blip r:embed="rId479" cstate="email"/>
        <a:stretch>
          <a:fillRect/>
        </a:stretch>
      </xdr:blipFill>
      <xdr:spPr>
        <a:xfrm>
          <a:off x="1198880" y="339192235"/>
          <a:ext cx="436880" cy="525145"/>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xdr:cNvPicPr>
          <a:picLocks noChangeAspect="1"/>
        </xdr:cNvPicPr>
      </xdr:nvPicPr>
      <xdr:blipFill>
        <a:blip r:embed="rId480" cstate="email"/>
        <a:stretch>
          <a:fillRect/>
        </a:stretch>
      </xdr:blipFill>
      <xdr:spPr>
        <a:xfrm>
          <a:off x="1186180" y="339822155"/>
          <a:ext cx="410845" cy="601345"/>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xdr:cNvPicPr>
          <a:picLocks noChangeAspect="1"/>
        </xdr:cNvPicPr>
      </xdr:nvPicPr>
      <xdr:blipFill>
        <a:blip r:embed="rId481" cstate="email"/>
        <a:stretch>
          <a:fillRect/>
        </a:stretch>
      </xdr:blipFill>
      <xdr:spPr>
        <a:xfrm>
          <a:off x="1198880" y="340457155"/>
          <a:ext cx="407670" cy="601345"/>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xdr:cNvPicPr>
          <a:picLocks noChangeAspect="1"/>
        </xdr:cNvPicPr>
      </xdr:nvPicPr>
      <xdr:blipFill>
        <a:blip r:embed="rId482" cstate="email"/>
        <a:stretch>
          <a:fillRect/>
        </a:stretch>
      </xdr:blipFill>
      <xdr:spPr>
        <a:xfrm>
          <a:off x="1186180" y="341084535"/>
          <a:ext cx="449580" cy="608965"/>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xdr:cNvPicPr>
          <a:picLocks noChangeAspect="1"/>
        </xdr:cNvPicPr>
      </xdr:nvPicPr>
      <xdr:blipFill>
        <a:blip r:embed="rId483" cstate="email"/>
        <a:stretch>
          <a:fillRect/>
        </a:stretch>
      </xdr:blipFill>
      <xdr:spPr>
        <a:xfrm>
          <a:off x="1163955" y="341719535"/>
          <a:ext cx="471805" cy="608965"/>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xdr:cNvPicPr>
          <a:picLocks noChangeAspect="1"/>
        </xdr:cNvPicPr>
      </xdr:nvPicPr>
      <xdr:blipFill>
        <a:blip r:embed="rId484" cstate="email"/>
        <a:stretch>
          <a:fillRect/>
        </a:stretch>
      </xdr:blipFill>
      <xdr:spPr>
        <a:xfrm>
          <a:off x="1171575" y="342341835"/>
          <a:ext cx="464185" cy="549275"/>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xdr:cNvPicPr>
          <a:picLocks noChangeAspect="1"/>
        </xdr:cNvPicPr>
      </xdr:nvPicPr>
      <xdr:blipFill>
        <a:blip r:embed="rId485" cstate="email"/>
        <a:stretch>
          <a:fillRect/>
        </a:stretch>
      </xdr:blipFill>
      <xdr:spPr>
        <a:xfrm>
          <a:off x="1198880" y="343002235"/>
          <a:ext cx="436880" cy="593725"/>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xdr:cNvPicPr>
          <a:picLocks noChangeAspect="1"/>
        </xdr:cNvPicPr>
      </xdr:nvPicPr>
      <xdr:blipFill>
        <a:blip r:embed="rId486" cstate="email"/>
        <a:stretch>
          <a:fillRect/>
        </a:stretch>
      </xdr:blipFill>
      <xdr:spPr>
        <a:xfrm>
          <a:off x="1198880" y="344272235"/>
          <a:ext cx="436880" cy="596265"/>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xdr:cNvPicPr>
          <a:picLocks noChangeAspect="1"/>
        </xdr:cNvPicPr>
      </xdr:nvPicPr>
      <xdr:blipFill>
        <a:blip r:embed="rId487" cstate="email"/>
        <a:stretch>
          <a:fillRect/>
        </a:stretch>
      </xdr:blipFill>
      <xdr:spPr>
        <a:xfrm>
          <a:off x="1211580" y="343637235"/>
          <a:ext cx="424180" cy="593725"/>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xdr:cNvPicPr>
          <a:picLocks noChangeAspect="1"/>
        </xdr:cNvPicPr>
      </xdr:nvPicPr>
      <xdr:blipFill>
        <a:blip r:embed="rId486" cstate="email"/>
        <a:stretch>
          <a:fillRect/>
        </a:stretch>
      </xdr:blipFill>
      <xdr:spPr>
        <a:xfrm>
          <a:off x="1198880" y="344907235"/>
          <a:ext cx="436880" cy="596265"/>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xdr:cNvPicPr>
          <a:picLocks noChangeAspect="1"/>
        </xdr:cNvPicPr>
      </xdr:nvPicPr>
      <xdr:blipFill>
        <a:blip r:embed="rId488" cstate="email"/>
        <a:stretch>
          <a:fillRect/>
        </a:stretch>
      </xdr:blipFill>
      <xdr:spPr>
        <a:xfrm>
          <a:off x="1089025" y="345514930"/>
          <a:ext cx="546735" cy="623570"/>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xdr:cNvPicPr>
          <a:picLocks noChangeAspect="1"/>
        </xdr:cNvPicPr>
      </xdr:nvPicPr>
      <xdr:blipFill>
        <a:blip r:embed="rId489" cstate="email"/>
        <a:stretch>
          <a:fillRect/>
        </a:stretch>
      </xdr:blipFill>
      <xdr:spPr>
        <a:xfrm>
          <a:off x="1193800" y="346189935"/>
          <a:ext cx="441960" cy="583565"/>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xdr:cNvPicPr>
          <a:picLocks noChangeAspect="1"/>
        </xdr:cNvPicPr>
      </xdr:nvPicPr>
      <xdr:blipFill>
        <a:blip r:embed="rId490" cstate="email"/>
        <a:stretch>
          <a:fillRect/>
        </a:stretch>
      </xdr:blipFill>
      <xdr:spPr>
        <a:xfrm>
          <a:off x="1083310" y="331576045"/>
          <a:ext cx="468630" cy="592455"/>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xdr:cNvPicPr>
          <a:picLocks noChangeAspect="1"/>
        </xdr:cNvPicPr>
      </xdr:nvPicPr>
      <xdr:blipFill>
        <a:blip r:embed="rId491" cstate="email"/>
        <a:stretch>
          <a:fillRect/>
        </a:stretch>
      </xdr:blipFill>
      <xdr:spPr>
        <a:xfrm>
          <a:off x="1043305" y="330941045"/>
          <a:ext cx="474980" cy="592455"/>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xdr:cNvPicPr>
          <a:picLocks noChangeAspect="1"/>
        </xdr:cNvPicPr>
      </xdr:nvPicPr>
      <xdr:blipFill>
        <a:blip r:embed="rId492" cstate="email"/>
        <a:stretch>
          <a:fillRect/>
        </a:stretch>
      </xdr:blipFill>
      <xdr:spPr>
        <a:xfrm>
          <a:off x="1249680" y="346812235"/>
          <a:ext cx="386080" cy="595630"/>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xdr:cNvPicPr>
          <a:picLocks noChangeAspect="1"/>
        </xdr:cNvPicPr>
      </xdr:nvPicPr>
      <xdr:blipFill>
        <a:blip r:embed="rId493" cstate="email"/>
        <a:stretch>
          <a:fillRect/>
        </a:stretch>
      </xdr:blipFill>
      <xdr:spPr>
        <a:xfrm>
          <a:off x="1211580" y="348717235"/>
          <a:ext cx="424180" cy="596265"/>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xdr:cNvPicPr>
          <a:picLocks noChangeAspect="1"/>
        </xdr:cNvPicPr>
      </xdr:nvPicPr>
      <xdr:blipFill>
        <a:blip r:embed="rId492" cstate="email"/>
        <a:stretch>
          <a:fillRect/>
        </a:stretch>
      </xdr:blipFill>
      <xdr:spPr>
        <a:xfrm>
          <a:off x="1249680" y="347447235"/>
          <a:ext cx="386080" cy="595630"/>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xdr:cNvPicPr>
          <a:picLocks noChangeAspect="1"/>
        </xdr:cNvPicPr>
      </xdr:nvPicPr>
      <xdr:blipFill>
        <a:blip r:embed="rId494" cstate="email"/>
        <a:stretch>
          <a:fillRect/>
        </a:stretch>
      </xdr:blipFill>
      <xdr:spPr>
        <a:xfrm>
          <a:off x="1236980" y="348069535"/>
          <a:ext cx="398780" cy="535305"/>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xdr:cNvPicPr>
          <a:picLocks noChangeAspect="1"/>
        </xdr:cNvPicPr>
      </xdr:nvPicPr>
      <xdr:blipFill>
        <a:blip r:embed="rId493" cstate="email"/>
        <a:stretch>
          <a:fillRect/>
        </a:stretch>
      </xdr:blipFill>
      <xdr:spPr>
        <a:xfrm>
          <a:off x="1211580" y="349352235"/>
          <a:ext cx="424180" cy="596265"/>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xdr:cNvPicPr>
          <a:picLocks noChangeAspect="1"/>
        </xdr:cNvPicPr>
      </xdr:nvPicPr>
      <xdr:blipFill>
        <a:blip r:embed="rId495" cstate="email"/>
        <a:stretch>
          <a:fillRect/>
        </a:stretch>
      </xdr:blipFill>
      <xdr:spPr>
        <a:xfrm>
          <a:off x="1028700" y="330313665"/>
          <a:ext cx="486410" cy="513715"/>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xdr:cNvPicPr>
          <a:picLocks noChangeAspect="1"/>
        </xdr:cNvPicPr>
      </xdr:nvPicPr>
      <xdr:blipFill>
        <a:blip r:embed="rId496" cstate="email"/>
        <a:stretch>
          <a:fillRect/>
        </a:stretch>
      </xdr:blipFill>
      <xdr:spPr>
        <a:xfrm>
          <a:off x="1057910" y="329693270"/>
          <a:ext cx="486410" cy="570230"/>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xdr:cNvPicPr>
          <a:picLocks noChangeAspect="1"/>
        </xdr:cNvPicPr>
      </xdr:nvPicPr>
      <xdr:blipFill>
        <a:blip r:embed="rId497" cstate="email"/>
        <a:stretch>
          <a:fillRect/>
        </a:stretch>
      </xdr:blipFill>
      <xdr:spPr>
        <a:xfrm>
          <a:off x="1211580" y="349999935"/>
          <a:ext cx="424180" cy="49085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xdr:cNvPicPr>
          <a:picLocks noChangeAspect="1"/>
        </xdr:cNvPicPr>
      </xdr:nvPicPr>
      <xdr:blipFill>
        <a:blip r:embed="rId498" cstate="email"/>
        <a:stretch>
          <a:fillRect/>
        </a:stretch>
      </xdr:blipFill>
      <xdr:spPr>
        <a:xfrm>
          <a:off x="1224280" y="351892235"/>
          <a:ext cx="411480" cy="596265"/>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xdr:cNvPicPr>
          <a:picLocks noChangeAspect="1"/>
        </xdr:cNvPicPr>
      </xdr:nvPicPr>
      <xdr:blipFill>
        <a:blip r:embed="rId499" cstate="email"/>
        <a:stretch>
          <a:fillRect/>
        </a:stretch>
      </xdr:blipFill>
      <xdr:spPr>
        <a:xfrm>
          <a:off x="1198880" y="351257235"/>
          <a:ext cx="436880" cy="596265"/>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xdr:cNvPicPr>
          <a:picLocks noChangeAspect="1"/>
        </xdr:cNvPicPr>
      </xdr:nvPicPr>
      <xdr:blipFill>
        <a:blip r:embed="rId500" cstate="email"/>
        <a:stretch>
          <a:fillRect/>
        </a:stretch>
      </xdr:blipFill>
      <xdr:spPr>
        <a:xfrm>
          <a:off x="1167765" y="334119855"/>
          <a:ext cx="456565" cy="585470"/>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xdr:cNvPicPr>
          <a:picLocks noChangeAspect="1"/>
        </xdr:cNvPicPr>
      </xdr:nvPicPr>
      <xdr:blipFill>
        <a:blip r:embed="rId500" cstate="email"/>
        <a:stretch>
          <a:fillRect/>
        </a:stretch>
      </xdr:blipFill>
      <xdr:spPr>
        <a:xfrm>
          <a:off x="1160780" y="334761840"/>
          <a:ext cx="456565" cy="581660"/>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xdr:cNvPicPr>
          <a:picLocks noChangeAspect="1"/>
        </xdr:cNvPicPr>
      </xdr:nvPicPr>
      <xdr:blipFill>
        <a:blip r:embed="rId498" cstate="email"/>
        <a:stretch>
          <a:fillRect/>
        </a:stretch>
      </xdr:blipFill>
      <xdr:spPr>
        <a:xfrm>
          <a:off x="1224280" y="352527235"/>
          <a:ext cx="411480" cy="596265"/>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xdr:cNvPicPr>
          <a:picLocks noChangeAspect="1"/>
        </xdr:cNvPicPr>
      </xdr:nvPicPr>
      <xdr:blipFill>
        <a:blip r:embed="rId501" cstate="email"/>
        <a:stretch>
          <a:fillRect/>
        </a:stretch>
      </xdr:blipFill>
      <xdr:spPr>
        <a:xfrm>
          <a:off x="1224280" y="350622235"/>
          <a:ext cx="411480" cy="596265"/>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xdr:cNvPicPr>
          <a:picLocks noChangeAspect="1"/>
        </xdr:cNvPicPr>
      </xdr:nvPicPr>
      <xdr:blipFill>
        <a:blip r:embed="rId502" cstate="email"/>
        <a:stretch>
          <a:fillRect/>
        </a:stretch>
      </xdr:blipFill>
      <xdr:spPr>
        <a:xfrm>
          <a:off x="1144270" y="326489695"/>
          <a:ext cx="491490" cy="598805"/>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xdr:cNvPicPr>
          <a:picLocks noChangeAspect="1"/>
        </xdr:cNvPicPr>
      </xdr:nvPicPr>
      <xdr:blipFill>
        <a:blip r:embed="rId503" cstate="email"/>
        <a:stretch>
          <a:fillRect/>
        </a:stretch>
      </xdr:blipFill>
      <xdr:spPr>
        <a:xfrm>
          <a:off x="1104900" y="327124695"/>
          <a:ext cx="530860" cy="521335"/>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xdr:cNvPicPr>
          <a:picLocks noChangeAspect="1"/>
        </xdr:cNvPicPr>
      </xdr:nvPicPr>
      <xdr:blipFill>
        <a:blip r:embed="rId504" cstate="email"/>
        <a:stretch>
          <a:fillRect/>
        </a:stretch>
      </xdr:blipFill>
      <xdr:spPr>
        <a:xfrm>
          <a:off x="1176020" y="353155885"/>
          <a:ext cx="459740" cy="597535"/>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xdr:cNvPicPr>
          <a:picLocks noChangeAspect="1"/>
        </xdr:cNvPicPr>
      </xdr:nvPicPr>
      <xdr:blipFill>
        <a:blip r:embed="rId505" cstate="email"/>
        <a:stretch>
          <a:fillRect/>
        </a:stretch>
      </xdr:blipFill>
      <xdr:spPr>
        <a:xfrm>
          <a:off x="1240790" y="353832795"/>
          <a:ext cx="394970" cy="530225"/>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xdr:cNvPicPr>
          <a:picLocks noChangeAspect="1"/>
        </xdr:cNvPicPr>
      </xdr:nvPicPr>
      <xdr:blipFill>
        <a:blip r:embed="rId506" cstate="email"/>
        <a:stretch>
          <a:fillRect/>
        </a:stretch>
      </xdr:blipFill>
      <xdr:spPr>
        <a:xfrm>
          <a:off x="968375" y="328390250"/>
          <a:ext cx="536575" cy="603250"/>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xdr:cNvPicPr>
          <a:picLocks noChangeAspect="1"/>
        </xdr:cNvPicPr>
      </xdr:nvPicPr>
      <xdr:blipFill>
        <a:blip r:embed="rId507" cstate="email"/>
        <a:stretch>
          <a:fillRect/>
        </a:stretch>
      </xdr:blipFill>
      <xdr:spPr>
        <a:xfrm>
          <a:off x="1170305" y="355677470"/>
          <a:ext cx="465455" cy="621030"/>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xdr:cNvPicPr>
          <a:picLocks noChangeAspect="1"/>
        </xdr:cNvPicPr>
      </xdr:nvPicPr>
      <xdr:blipFill>
        <a:blip r:embed="rId508" cstate="email"/>
        <a:stretch>
          <a:fillRect/>
        </a:stretch>
      </xdr:blipFill>
      <xdr:spPr>
        <a:xfrm>
          <a:off x="1156335" y="355042470"/>
          <a:ext cx="479425" cy="621030"/>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xdr:cNvPicPr>
          <a:picLocks noChangeAspect="1"/>
        </xdr:cNvPicPr>
      </xdr:nvPicPr>
      <xdr:blipFill>
        <a:blip r:embed="rId509" cstate="email"/>
        <a:stretch>
          <a:fillRect/>
        </a:stretch>
      </xdr:blipFill>
      <xdr:spPr>
        <a:xfrm>
          <a:off x="1099820" y="358244140"/>
          <a:ext cx="535940" cy="554990"/>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xdr:cNvPicPr>
          <a:picLocks noChangeAspect="1"/>
        </xdr:cNvPicPr>
      </xdr:nvPicPr>
      <xdr:blipFill>
        <a:blip r:embed="rId510" cstate="email"/>
        <a:stretch>
          <a:fillRect/>
        </a:stretch>
      </xdr:blipFill>
      <xdr:spPr>
        <a:xfrm>
          <a:off x="1056640" y="358940100"/>
          <a:ext cx="540385" cy="533400"/>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xdr:cNvPicPr>
          <a:picLocks noChangeAspect="1"/>
        </xdr:cNvPicPr>
      </xdr:nvPicPr>
      <xdr:blipFill>
        <a:blip r:embed="rId511" cstate="email"/>
        <a:stretch>
          <a:fillRect/>
        </a:stretch>
      </xdr:blipFill>
      <xdr:spPr>
        <a:xfrm>
          <a:off x="1050290" y="356329615"/>
          <a:ext cx="585470" cy="603885"/>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xdr:cNvPicPr>
          <a:picLocks noChangeAspect="1"/>
        </xdr:cNvPicPr>
      </xdr:nvPicPr>
      <xdr:blipFill>
        <a:blip r:embed="rId512" cstate="email"/>
        <a:stretch>
          <a:fillRect/>
        </a:stretch>
      </xdr:blipFill>
      <xdr:spPr>
        <a:xfrm>
          <a:off x="1045845" y="357587550"/>
          <a:ext cx="582295" cy="582295"/>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xdr:cNvPicPr>
          <a:picLocks noChangeAspect="1"/>
        </xdr:cNvPicPr>
      </xdr:nvPicPr>
      <xdr:blipFill>
        <a:blip r:embed="rId513" cstate="email"/>
        <a:stretch>
          <a:fillRect/>
        </a:stretch>
      </xdr:blipFill>
      <xdr:spPr>
        <a:xfrm>
          <a:off x="1061720" y="357001445"/>
          <a:ext cx="570230" cy="567055"/>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xdr:cNvPicPr>
          <a:picLocks noChangeAspect="1"/>
        </xdr:cNvPicPr>
      </xdr:nvPicPr>
      <xdr:blipFill>
        <a:blip r:embed="rId514" cstate="email"/>
        <a:stretch>
          <a:fillRect/>
        </a:stretch>
      </xdr:blipFill>
      <xdr:spPr>
        <a:xfrm>
          <a:off x="1018540" y="329035410"/>
          <a:ext cx="565785" cy="59309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xdr:nvSpPr>
        <xdr:cNvPr id="12253" name="AutoShape 2485"/>
        <xdr:cNvSpPr>
          <a:spLocks noChangeAspect="1" noChangeArrowheads="1"/>
        </xdr:cNvSpPr>
      </xdr:nvSpPr>
      <xdr:spPr>
        <a:xfrm>
          <a:off x="800100" y="3996944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xdr:cNvPicPr>
          <a:picLocks noChangeAspect="1"/>
        </xdr:cNvPicPr>
      </xdr:nvPicPr>
      <xdr:blipFill>
        <a:blip r:embed="rId515" cstate="email"/>
        <a:stretch>
          <a:fillRect/>
        </a:stretch>
      </xdr:blipFill>
      <xdr:spPr>
        <a:xfrm>
          <a:off x="1094740" y="498558185"/>
          <a:ext cx="505460" cy="624840"/>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xdr:cNvPicPr>
          <a:picLocks noChangeAspect="1"/>
        </xdr:cNvPicPr>
      </xdr:nvPicPr>
      <xdr:blipFill>
        <a:blip r:embed="rId516" cstate="email"/>
        <a:stretch>
          <a:fillRect/>
        </a:stretch>
      </xdr:blipFill>
      <xdr:spPr>
        <a:xfrm>
          <a:off x="1094740" y="494093500"/>
          <a:ext cx="450850" cy="64770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xdr:cNvPicPr>
          <a:picLocks noChangeAspect="1"/>
        </xdr:cNvPicPr>
      </xdr:nvPicPr>
      <xdr:blipFill>
        <a:blip r:embed="rId517" cstate="email"/>
        <a:stretch>
          <a:fillRect/>
        </a:stretch>
      </xdr:blipFill>
      <xdr:spPr>
        <a:xfrm>
          <a:off x="1119505" y="499245255"/>
          <a:ext cx="452755" cy="563245"/>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xdr:cNvPicPr>
          <a:picLocks noChangeAspect="1"/>
        </xdr:cNvPicPr>
      </xdr:nvPicPr>
      <xdr:blipFill>
        <a:blip r:embed="rId517" cstate="email"/>
        <a:stretch>
          <a:fillRect/>
        </a:stretch>
      </xdr:blipFill>
      <xdr:spPr>
        <a:xfrm>
          <a:off x="1113155" y="499880890"/>
          <a:ext cx="452755" cy="562610"/>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xdr:cNvPicPr>
          <a:picLocks noChangeAspect="1"/>
        </xdr:cNvPicPr>
      </xdr:nvPicPr>
      <xdr:blipFill>
        <a:blip r:embed="rId518" cstate="email"/>
        <a:stretch>
          <a:fillRect/>
        </a:stretch>
      </xdr:blipFill>
      <xdr:spPr>
        <a:xfrm>
          <a:off x="1051560" y="495413665"/>
          <a:ext cx="461645" cy="584835"/>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xdr:cNvPicPr>
          <a:picLocks noChangeAspect="1"/>
        </xdr:cNvPicPr>
      </xdr:nvPicPr>
      <xdr:blipFill>
        <a:blip r:embed="rId519" cstate="email"/>
        <a:stretch>
          <a:fillRect/>
        </a:stretch>
      </xdr:blipFill>
      <xdr:spPr>
        <a:xfrm>
          <a:off x="1099820" y="496067715"/>
          <a:ext cx="508000" cy="565785"/>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xdr:cNvPicPr>
          <a:picLocks noChangeAspect="1"/>
        </xdr:cNvPicPr>
      </xdr:nvPicPr>
      <xdr:blipFill>
        <a:blip r:embed="rId520" cstate="email"/>
        <a:stretch>
          <a:fillRect/>
        </a:stretch>
      </xdr:blipFill>
      <xdr:spPr>
        <a:xfrm>
          <a:off x="1099820" y="496661440"/>
          <a:ext cx="465455" cy="592455"/>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xdr:cNvPicPr>
          <a:picLocks noChangeAspect="1"/>
        </xdr:cNvPicPr>
      </xdr:nvPicPr>
      <xdr:blipFill>
        <a:blip r:embed="rId521" cstate="email"/>
        <a:stretch>
          <a:fillRect/>
        </a:stretch>
      </xdr:blipFill>
      <xdr:spPr>
        <a:xfrm>
          <a:off x="1104265" y="497351685"/>
          <a:ext cx="503555" cy="551815"/>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xdr:cNvPicPr>
          <a:picLocks noChangeAspect="1"/>
        </xdr:cNvPicPr>
      </xdr:nvPicPr>
      <xdr:blipFill>
        <a:blip r:embed="rId522" cstate="email"/>
        <a:stretch>
          <a:fillRect/>
        </a:stretch>
      </xdr:blipFill>
      <xdr:spPr>
        <a:xfrm>
          <a:off x="1164590" y="508732155"/>
          <a:ext cx="471170" cy="601345"/>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xdr:cNvPicPr>
          <a:picLocks noChangeAspect="1"/>
        </xdr:cNvPicPr>
      </xdr:nvPicPr>
      <xdr:blipFill>
        <a:blip r:embed="rId523" cstate="email"/>
        <a:stretch>
          <a:fillRect/>
        </a:stretch>
      </xdr:blipFill>
      <xdr:spPr>
        <a:xfrm>
          <a:off x="1130935" y="509350010"/>
          <a:ext cx="474345" cy="638175"/>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xdr:cNvPicPr>
          <a:picLocks noChangeAspect="1"/>
        </xdr:cNvPicPr>
      </xdr:nvPicPr>
      <xdr:blipFill>
        <a:blip r:embed="rId523" cstate="email"/>
        <a:stretch>
          <a:fillRect/>
        </a:stretch>
      </xdr:blipFill>
      <xdr:spPr>
        <a:xfrm>
          <a:off x="1080135" y="509968500"/>
          <a:ext cx="473710" cy="637540"/>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xdr:cNvPicPr>
          <a:picLocks noChangeAspect="1"/>
        </xdr:cNvPicPr>
      </xdr:nvPicPr>
      <xdr:blipFill>
        <a:blip r:embed="rId523" cstate="email"/>
        <a:stretch>
          <a:fillRect/>
        </a:stretch>
      </xdr:blipFill>
      <xdr:spPr>
        <a:xfrm>
          <a:off x="1080135" y="510603500"/>
          <a:ext cx="473710" cy="637540"/>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xdr:cNvPicPr>
          <a:picLocks noChangeAspect="1"/>
        </xdr:cNvPicPr>
      </xdr:nvPicPr>
      <xdr:blipFill>
        <a:blip r:embed="rId524" cstate="email"/>
        <a:stretch>
          <a:fillRect/>
        </a:stretch>
      </xdr:blipFill>
      <xdr:spPr>
        <a:xfrm>
          <a:off x="1046480" y="511255010"/>
          <a:ext cx="541655" cy="62357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xdr:cNvPicPr>
          <a:picLocks noChangeAspect="1"/>
        </xdr:cNvPicPr>
      </xdr:nvPicPr>
      <xdr:blipFill>
        <a:blip r:embed="rId525" cstate="email"/>
        <a:stretch>
          <a:fillRect/>
        </a:stretch>
      </xdr:blipFill>
      <xdr:spPr>
        <a:xfrm>
          <a:off x="1062990" y="511873500"/>
          <a:ext cx="541655" cy="631825"/>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xdr:cNvPicPr>
          <a:picLocks noChangeAspect="1"/>
        </xdr:cNvPicPr>
      </xdr:nvPicPr>
      <xdr:blipFill>
        <a:blip r:embed="rId526" cstate="email"/>
        <a:stretch>
          <a:fillRect/>
        </a:stretch>
      </xdr:blipFill>
      <xdr:spPr>
        <a:xfrm>
          <a:off x="1062990" y="512529455"/>
          <a:ext cx="508000" cy="614045"/>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xdr:cNvPicPr>
          <a:picLocks noChangeAspect="1"/>
        </xdr:cNvPicPr>
      </xdr:nvPicPr>
      <xdr:blipFill>
        <a:blip r:embed="rId527" cstate="email"/>
        <a:stretch>
          <a:fillRect/>
        </a:stretch>
      </xdr:blipFill>
      <xdr:spPr>
        <a:xfrm>
          <a:off x="1113790" y="513177155"/>
          <a:ext cx="427990" cy="601345"/>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xdr:cNvPicPr>
          <a:picLocks noChangeAspect="1"/>
        </xdr:cNvPicPr>
      </xdr:nvPicPr>
      <xdr:blipFill>
        <a:blip r:embed="rId528" cstate="email"/>
        <a:stretch>
          <a:fillRect/>
        </a:stretch>
      </xdr:blipFill>
      <xdr:spPr>
        <a:xfrm>
          <a:off x="1148080" y="513795010"/>
          <a:ext cx="427355"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xdr:cNvPicPr>
          <a:picLocks noChangeAspect="1"/>
        </xdr:cNvPicPr>
      </xdr:nvPicPr>
      <xdr:blipFill>
        <a:blip r:embed="rId529" cstate="email"/>
        <a:stretch>
          <a:fillRect/>
        </a:stretch>
      </xdr:blipFill>
      <xdr:spPr>
        <a:xfrm>
          <a:off x="1164590" y="514447155"/>
          <a:ext cx="452120" cy="601345"/>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xdr:cNvPicPr>
          <a:picLocks noChangeAspect="1"/>
        </xdr:cNvPicPr>
      </xdr:nvPicPr>
      <xdr:blipFill>
        <a:blip r:embed="rId530" cstate="email"/>
        <a:stretch>
          <a:fillRect/>
        </a:stretch>
      </xdr:blipFill>
      <xdr:spPr>
        <a:xfrm>
          <a:off x="1164590" y="515065010"/>
          <a:ext cx="452120"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xdr:cNvPicPr>
          <a:picLocks noChangeAspect="1"/>
        </xdr:cNvPicPr>
      </xdr:nvPicPr>
      <xdr:blipFill>
        <a:blip r:embed="rId530" cstate="email"/>
        <a:stretch>
          <a:fillRect/>
        </a:stretch>
      </xdr:blipFill>
      <xdr:spPr>
        <a:xfrm>
          <a:off x="1167765" y="515738745"/>
          <a:ext cx="452120" cy="579755"/>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xdr:cNvPicPr>
          <a:picLocks noChangeAspect="1"/>
        </xdr:cNvPicPr>
      </xdr:nvPicPr>
      <xdr:blipFill>
        <a:blip r:embed="rId531" cstate="email"/>
        <a:stretch>
          <a:fillRect/>
        </a:stretch>
      </xdr:blipFill>
      <xdr:spPr>
        <a:xfrm>
          <a:off x="1148080" y="516335010"/>
          <a:ext cx="457200" cy="618490"/>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xdr:cNvPicPr>
          <a:picLocks noChangeAspect="1"/>
        </xdr:cNvPicPr>
      </xdr:nvPicPr>
      <xdr:blipFill>
        <a:blip r:embed="rId532" cstate="email"/>
        <a:stretch>
          <a:fillRect/>
        </a:stretch>
      </xdr:blipFill>
      <xdr:spPr>
        <a:xfrm>
          <a:off x="1130935" y="516973185"/>
          <a:ext cx="423545" cy="600075"/>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xdr:cNvPicPr>
          <a:picLocks noChangeAspect="1"/>
        </xdr:cNvPicPr>
      </xdr:nvPicPr>
      <xdr:blipFill>
        <a:blip r:embed="rId532" cstate="email"/>
        <a:stretch>
          <a:fillRect/>
        </a:stretch>
      </xdr:blipFill>
      <xdr:spPr>
        <a:xfrm>
          <a:off x="1147445" y="517624695"/>
          <a:ext cx="423545" cy="598805"/>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xdr:cNvPicPr>
          <a:picLocks noChangeAspect="1"/>
        </xdr:cNvPicPr>
      </xdr:nvPicPr>
      <xdr:blipFill>
        <a:blip r:embed="rId532" cstate="email"/>
        <a:stretch>
          <a:fillRect/>
        </a:stretch>
      </xdr:blipFill>
      <xdr:spPr>
        <a:xfrm>
          <a:off x="1147445" y="518243185"/>
          <a:ext cx="423545" cy="600075"/>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xdr:cNvPicPr>
          <a:picLocks noChangeAspect="1"/>
        </xdr:cNvPicPr>
      </xdr:nvPicPr>
      <xdr:blipFill>
        <a:blip r:embed="rId533" cstate="email"/>
        <a:stretch>
          <a:fillRect/>
        </a:stretch>
      </xdr:blipFill>
      <xdr:spPr>
        <a:xfrm>
          <a:off x="1164590" y="518888980"/>
          <a:ext cx="428625" cy="604520"/>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xdr:cNvPicPr>
          <a:picLocks noChangeAspect="1"/>
        </xdr:cNvPicPr>
      </xdr:nvPicPr>
      <xdr:blipFill>
        <a:blip r:embed="rId534" cstate="email"/>
        <a:stretch>
          <a:fillRect/>
        </a:stretch>
      </xdr:blipFill>
      <xdr:spPr>
        <a:xfrm>
          <a:off x="1181735" y="519534775"/>
          <a:ext cx="454025" cy="593725"/>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xdr:cNvPicPr>
          <a:picLocks noChangeAspect="1"/>
        </xdr:cNvPicPr>
      </xdr:nvPicPr>
      <xdr:blipFill>
        <a:blip r:embed="rId535" cstate="email"/>
        <a:stretch>
          <a:fillRect/>
        </a:stretch>
      </xdr:blipFill>
      <xdr:spPr>
        <a:xfrm>
          <a:off x="1217295" y="520162155"/>
          <a:ext cx="418465" cy="601345"/>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xdr:cNvPicPr>
          <a:picLocks noChangeAspect="1"/>
        </xdr:cNvPicPr>
      </xdr:nvPicPr>
      <xdr:blipFill>
        <a:blip r:embed="rId536" cstate="email"/>
        <a:stretch>
          <a:fillRect/>
        </a:stretch>
      </xdr:blipFill>
      <xdr:spPr>
        <a:xfrm>
          <a:off x="1181735" y="520776200"/>
          <a:ext cx="454025" cy="622300"/>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xdr:cNvPicPr>
          <a:picLocks noChangeAspect="1"/>
        </xdr:cNvPicPr>
      </xdr:nvPicPr>
      <xdr:blipFill>
        <a:blip r:embed="rId537" cstate="email"/>
        <a:stretch>
          <a:fillRect/>
        </a:stretch>
      </xdr:blipFill>
      <xdr:spPr>
        <a:xfrm>
          <a:off x="1191895" y="521421360"/>
          <a:ext cx="443865" cy="612140"/>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xdr:cNvPicPr>
          <a:picLocks noChangeAspect="1"/>
        </xdr:cNvPicPr>
      </xdr:nvPicPr>
      <xdr:blipFill>
        <a:blip r:embed="rId538" cstate="email"/>
        <a:stretch>
          <a:fillRect/>
        </a:stretch>
      </xdr:blipFill>
      <xdr:spPr>
        <a:xfrm>
          <a:off x="1211580" y="522084935"/>
          <a:ext cx="424180" cy="583565"/>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xdr:cNvPicPr>
          <a:picLocks noChangeAspect="1"/>
        </xdr:cNvPicPr>
      </xdr:nvPicPr>
      <xdr:blipFill>
        <a:blip r:embed="rId539" cstate="email"/>
        <a:stretch>
          <a:fillRect/>
        </a:stretch>
      </xdr:blipFill>
      <xdr:spPr>
        <a:xfrm>
          <a:off x="1147445" y="522685010"/>
          <a:ext cx="457835" cy="619125"/>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xdr:cNvPicPr>
          <a:picLocks noChangeAspect="1"/>
        </xdr:cNvPicPr>
      </xdr:nvPicPr>
      <xdr:blipFill>
        <a:blip r:embed="rId539" cstate="email"/>
        <a:stretch>
          <a:fillRect/>
        </a:stretch>
      </xdr:blipFill>
      <xdr:spPr>
        <a:xfrm>
          <a:off x="1148080" y="523337155"/>
          <a:ext cx="457200" cy="618490"/>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xdr:cNvPicPr>
          <a:picLocks noChangeAspect="1"/>
        </xdr:cNvPicPr>
      </xdr:nvPicPr>
      <xdr:blipFill>
        <a:blip r:embed="rId540" cstate="email"/>
        <a:stretch>
          <a:fillRect/>
        </a:stretch>
      </xdr:blipFill>
      <xdr:spPr>
        <a:xfrm>
          <a:off x="1113790" y="523989300"/>
          <a:ext cx="457200" cy="586740"/>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xdr:cNvPicPr>
          <a:picLocks noChangeAspect="1"/>
        </xdr:cNvPicPr>
      </xdr:nvPicPr>
      <xdr:blipFill>
        <a:blip r:embed="rId541" cstate="email"/>
        <a:stretch>
          <a:fillRect/>
        </a:stretch>
      </xdr:blipFill>
      <xdr:spPr>
        <a:xfrm>
          <a:off x="1113790" y="524607155"/>
          <a:ext cx="457200" cy="595630"/>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xdr:cNvPicPr>
          <a:picLocks noChangeAspect="1"/>
        </xdr:cNvPicPr>
      </xdr:nvPicPr>
      <xdr:blipFill>
        <a:blip r:embed="rId542" cstate="email"/>
        <a:stretch>
          <a:fillRect/>
        </a:stretch>
      </xdr:blipFill>
      <xdr:spPr>
        <a:xfrm>
          <a:off x="1130935" y="525243425"/>
          <a:ext cx="473710" cy="600075"/>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xdr:cNvPicPr>
          <a:picLocks noChangeAspect="1"/>
        </xdr:cNvPicPr>
      </xdr:nvPicPr>
      <xdr:blipFill>
        <a:blip r:embed="rId543" cstate="email"/>
        <a:stretch>
          <a:fillRect/>
        </a:stretch>
      </xdr:blipFill>
      <xdr:spPr>
        <a:xfrm>
          <a:off x="1130935" y="525900015"/>
          <a:ext cx="437515" cy="578485"/>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xdr:cNvPicPr>
          <a:picLocks noChangeAspect="1"/>
        </xdr:cNvPicPr>
      </xdr:nvPicPr>
      <xdr:blipFill>
        <a:blip r:embed="rId544" cstate="email"/>
        <a:stretch>
          <a:fillRect/>
        </a:stretch>
      </xdr:blipFill>
      <xdr:spPr>
        <a:xfrm>
          <a:off x="1127760" y="527134455"/>
          <a:ext cx="473075" cy="621030"/>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xdr:cNvPicPr>
          <a:picLocks noChangeAspect="1"/>
        </xdr:cNvPicPr>
      </xdr:nvPicPr>
      <xdr:blipFill>
        <a:blip r:embed="rId545" cstate="email"/>
        <a:stretch>
          <a:fillRect/>
        </a:stretch>
      </xdr:blipFill>
      <xdr:spPr>
        <a:xfrm>
          <a:off x="1127760" y="527769455"/>
          <a:ext cx="452120" cy="586740"/>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xdr:cNvPicPr>
          <a:picLocks noChangeAspect="1"/>
        </xdr:cNvPicPr>
      </xdr:nvPicPr>
      <xdr:blipFill>
        <a:blip r:embed="rId545" cstate="email"/>
        <a:stretch>
          <a:fillRect/>
        </a:stretch>
      </xdr:blipFill>
      <xdr:spPr>
        <a:xfrm>
          <a:off x="1095375" y="528426045"/>
          <a:ext cx="452120" cy="586740"/>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xdr:cNvPicPr>
          <a:picLocks noChangeAspect="1"/>
        </xdr:cNvPicPr>
      </xdr:nvPicPr>
      <xdr:blipFill>
        <a:blip r:embed="rId546" cstate="email"/>
        <a:stretch>
          <a:fillRect/>
        </a:stretch>
      </xdr:blipFill>
      <xdr:spPr>
        <a:xfrm>
          <a:off x="1153795" y="529680805"/>
          <a:ext cx="481965" cy="607695"/>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xdr:cNvPicPr>
          <a:picLocks noChangeAspect="1"/>
        </xdr:cNvPicPr>
      </xdr:nvPicPr>
      <xdr:blipFill>
        <a:blip r:embed="rId547" cstate="email"/>
        <a:stretch>
          <a:fillRect/>
        </a:stretch>
      </xdr:blipFill>
      <xdr:spPr>
        <a:xfrm>
          <a:off x="1153795" y="530315805"/>
          <a:ext cx="481965" cy="607695"/>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xdr:cNvPicPr>
          <a:picLocks noChangeAspect="1"/>
        </xdr:cNvPicPr>
      </xdr:nvPicPr>
      <xdr:blipFill>
        <a:blip r:embed="rId548" cstate="email"/>
        <a:stretch>
          <a:fillRect/>
        </a:stretch>
      </xdr:blipFill>
      <xdr:spPr>
        <a:xfrm>
          <a:off x="1211580" y="531637240"/>
          <a:ext cx="424180" cy="556260"/>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xdr:cNvPicPr>
          <a:picLocks noChangeAspect="1"/>
        </xdr:cNvPicPr>
      </xdr:nvPicPr>
      <xdr:blipFill>
        <a:blip r:embed="rId549" cstate="email"/>
        <a:stretch>
          <a:fillRect/>
        </a:stretch>
      </xdr:blipFill>
      <xdr:spPr>
        <a:xfrm>
          <a:off x="1195705" y="532257635"/>
          <a:ext cx="432435" cy="570865"/>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xdr:cNvPicPr>
          <a:picLocks noChangeAspect="1"/>
        </xdr:cNvPicPr>
      </xdr:nvPicPr>
      <xdr:blipFill>
        <a:blip r:embed="rId550" cstate="email"/>
        <a:stretch>
          <a:fillRect/>
        </a:stretch>
      </xdr:blipFill>
      <xdr:spPr>
        <a:xfrm>
          <a:off x="1167765" y="532841835"/>
          <a:ext cx="467995" cy="614680"/>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xdr:cNvPicPr>
          <a:picLocks noChangeAspect="1"/>
        </xdr:cNvPicPr>
      </xdr:nvPicPr>
      <xdr:blipFill>
        <a:blip r:embed="rId551" cstate="email"/>
        <a:stretch>
          <a:fillRect/>
        </a:stretch>
      </xdr:blipFill>
      <xdr:spPr>
        <a:xfrm>
          <a:off x="1181735" y="533504775"/>
          <a:ext cx="432435" cy="612775"/>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xdr:cNvPicPr>
          <a:picLocks noChangeAspect="1"/>
        </xdr:cNvPicPr>
      </xdr:nvPicPr>
      <xdr:blipFill>
        <a:blip r:embed="rId552" cstate="email"/>
        <a:stretch>
          <a:fillRect/>
        </a:stretch>
      </xdr:blipFill>
      <xdr:spPr>
        <a:xfrm>
          <a:off x="1194435" y="534145490"/>
          <a:ext cx="391160" cy="588010"/>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xdr:cNvPicPr>
          <a:picLocks noChangeAspect="1"/>
        </xdr:cNvPicPr>
      </xdr:nvPicPr>
      <xdr:blipFill>
        <a:blip r:embed="rId553" cstate="email"/>
        <a:stretch>
          <a:fillRect/>
        </a:stretch>
      </xdr:blipFill>
      <xdr:spPr>
        <a:xfrm>
          <a:off x="1223645" y="534746835"/>
          <a:ext cx="407670" cy="586740"/>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xdr:cNvPicPr>
          <a:picLocks noChangeAspect="1"/>
        </xdr:cNvPicPr>
      </xdr:nvPicPr>
      <xdr:blipFill>
        <a:blip r:embed="rId554" cstate="email"/>
        <a:stretch>
          <a:fillRect/>
        </a:stretch>
      </xdr:blipFill>
      <xdr:spPr>
        <a:xfrm>
          <a:off x="1250315" y="535381200"/>
          <a:ext cx="385445" cy="586105"/>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xdr:cNvPicPr>
          <a:picLocks noChangeAspect="1"/>
        </xdr:cNvPicPr>
      </xdr:nvPicPr>
      <xdr:blipFill>
        <a:blip r:embed="rId555" cstate="email"/>
        <a:stretch>
          <a:fillRect/>
        </a:stretch>
      </xdr:blipFill>
      <xdr:spPr>
        <a:xfrm>
          <a:off x="1223645" y="536030805"/>
          <a:ext cx="412115" cy="605790"/>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xdr:cNvPicPr>
          <a:picLocks noChangeAspect="1"/>
        </xdr:cNvPicPr>
      </xdr:nvPicPr>
      <xdr:blipFill>
        <a:blip r:embed="rId556" cstate="email"/>
        <a:stretch>
          <a:fillRect/>
        </a:stretch>
      </xdr:blipFill>
      <xdr:spPr>
        <a:xfrm>
          <a:off x="1195705" y="536680410"/>
          <a:ext cx="440055" cy="593090"/>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xdr:cNvPicPr>
          <a:picLocks noChangeAspect="1"/>
        </xdr:cNvPicPr>
      </xdr:nvPicPr>
      <xdr:blipFill>
        <a:blip r:embed="rId557" cstate="email"/>
        <a:stretch>
          <a:fillRect/>
        </a:stretch>
      </xdr:blipFill>
      <xdr:spPr>
        <a:xfrm>
          <a:off x="1138555" y="530955885"/>
          <a:ext cx="497205" cy="602615"/>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xdr:cNvPicPr>
          <a:picLocks noChangeAspect="1"/>
        </xdr:cNvPicPr>
      </xdr:nvPicPr>
      <xdr:blipFill>
        <a:blip r:embed="rId558" cstate="email"/>
        <a:stretch>
          <a:fillRect/>
        </a:stretch>
      </xdr:blipFill>
      <xdr:spPr>
        <a:xfrm>
          <a:off x="1101090" y="361407710"/>
          <a:ext cx="534670" cy="605790"/>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xdr:cNvPicPr>
          <a:picLocks noChangeAspect="1"/>
        </xdr:cNvPicPr>
      </xdr:nvPicPr>
      <xdr:blipFill>
        <a:blip r:embed="rId559" cstate="email"/>
        <a:stretch>
          <a:fillRect/>
        </a:stretch>
      </xdr:blipFill>
      <xdr:spPr>
        <a:xfrm>
          <a:off x="1081405" y="362061760"/>
          <a:ext cx="488315" cy="588010"/>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xdr:cNvPicPr>
          <a:picLocks noChangeAspect="1"/>
        </xdr:cNvPicPr>
      </xdr:nvPicPr>
      <xdr:blipFill>
        <a:blip r:embed="rId560" cstate="email"/>
        <a:stretch>
          <a:fillRect/>
        </a:stretch>
      </xdr:blipFill>
      <xdr:spPr>
        <a:xfrm>
          <a:off x="1110615" y="362667550"/>
          <a:ext cx="488315" cy="615950"/>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xdr:cNvPicPr>
          <a:picLocks noChangeAspect="1"/>
        </xdr:cNvPicPr>
      </xdr:nvPicPr>
      <xdr:blipFill>
        <a:blip r:embed="rId561" cstate="email"/>
        <a:stretch>
          <a:fillRect/>
        </a:stretch>
      </xdr:blipFill>
      <xdr:spPr>
        <a:xfrm>
          <a:off x="1110615" y="363322235"/>
          <a:ext cx="525145" cy="596265"/>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xdr:cNvPicPr>
          <a:picLocks noChangeAspect="1"/>
        </xdr:cNvPicPr>
      </xdr:nvPicPr>
      <xdr:blipFill>
        <a:blip r:embed="rId562" cstate="email"/>
        <a:stretch>
          <a:fillRect/>
        </a:stretch>
      </xdr:blipFill>
      <xdr:spPr>
        <a:xfrm>
          <a:off x="1110615" y="374107710"/>
          <a:ext cx="525145" cy="605790"/>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xdr:cNvPicPr>
          <a:picLocks noChangeAspect="1"/>
        </xdr:cNvPicPr>
      </xdr:nvPicPr>
      <xdr:blipFill>
        <a:blip r:embed="rId563" cstate="email"/>
        <a:stretch>
          <a:fillRect/>
        </a:stretch>
      </xdr:blipFill>
      <xdr:spPr>
        <a:xfrm>
          <a:off x="1097280" y="374748425"/>
          <a:ext cx="537210" cy="602615"/>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xdr:cNvPicPr>
          <a:picLocks noChangeAspect="1"/>
        </xdr:cNvPicPr>
      </xdr:nvPicPr>
      <xdr:blipFill>
        <a:blip r:embed="rId564" cstate="email"/>
        <a:stretch>
          <a:fillRect/>
        </a:stretch>
      </xdr:blipFill>
      <xdr:spPr>
        <a:xfrm>
          <a:off x="1061720" y="375367550"/>
          <a:ext cx="518160" cy="615950"/>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xdr:cNvPicPr>
          <a:picLocks noChangeAspect="1"/>
        </xdr:cNvPicPr>
      </xdr:nvPicPr>
      <xdr:blipFill>
        <a:blip r:embed="rId565" cstate="email"/>
        <a:stretch>
          <a:fillRect/>
        </a:stretch>
      </xdr:blipFill>
      <xdr:spPr>
        <a:xfrm>
          <a:off x="1217930" y="377927235"/>
          <a:ext cx="417830" cy="596265"/>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xdr:cNvPicPr>
          <a:picLocks noChangeAspect="1"/>
        </xdr:cNvPicPr>
      </xdr:nvPicPr>
      <xdr:blipFill>
        <a:blip r:embed="rId566" cstate="email"/>
        <a:stretch>
          <a:fillRect/>
        </a:stretch>
      </xdr:blipFill>
      <xdr:spPr>
        <a:xfrm>
          <a:off x="1012825" y="386778500"/>
          <a:ext cx="556895" cy="635000"/>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xdr:cNvPicPr>
          <a:picLocks noChangeAspect="1"/>
        </xdr:cNvPicPr>
      </xdr:nvPicPr>
      <xdr:blipFill>
        <a:blip r:embed="rId566" cstate="email"/>
        <a:stretch>
          <a:fillRect/>
        </a:stretch>
      </xdr:blipFill>
      <xdr:spPr>
        <a:xfrm>
          <a:off x="1012825" y="387413500"/>
          <a:ext cx="556895" cy="635000"/>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xdr:cNvPicPr>
          <a:picLocks noChangeAspect="1"/>
        </xdr:cNvPicPr>
      </xdr:nvPicPr>
      <xdr:blipFill>
        <a:blip r:embed="rId567" cstate="email"/>
        <a:stretch>
          <a:fillRect/>
        </a:stretch>
      </xdr:blipFill>
      <xdr:spPr>
        <a:xfrm>
          <a:off x="1071880" y="390001760"/>
          <a:ext cx="510540" cy="589280"/>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xdr:cNvPicPr>
          <a:picLocks noChangeAspect="1"/>
        </xdr:cNvPicPr>
      </xdr:nvPicPr>
      <xdr:blipFill>
        <a:blip r:embed="rId568" cstate="email"/>
        <a:stretch>
          <a:fillRect/>
        </a:stretch>
      </xdr:blipFill>
      <xdr:spPr>
        <a:xfrm>
          <a:off x="1081405" y="395052550"/>
          <a:ext cx="439420" cy="616585"/>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xdr:cNvPicPr>
          <a:picLocks noChangeAspect="1"/>
        </xdr:cNvPicPr>
      </xdr:nvPicPr>
      <xdr:blipFill>
        <a:blip r:embed="rId569"/>
        <a:stretch>
          <a:fillRect/>
        </a:stretch>
      </xdr:blipFill>
      <xdr:spPr>
        <a:xfrm>
          <a:off x="1081405" y="396938500"/>
          <a:ext cx="439420" cy="0"/>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xdr:cNvPicPr>
          <a:picLocks noChangeAspect="1"/>
        </xdr:cNvPicPr>
      </xdr:nvPicPr>
      <xdr:blipFill>
        <a:blip r:embed="rId570" cstate="email"/>
        <a:stretch>
          <a:fillRect/>
        </a:stretch>
      </xdr:blipFill>
      <xdr:spPr>
        <a:xfrm>
          <a:off x="1097915" y="372200805"/>
          <a:ext cx="537845" cy="607695"/>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xdr:cNvPicPr>
          <a:picLocks noChangeAspect="1"/>
        </xdr:cNvPicPr>
      </xdr:nvPicPr>
      <xdr:blipFill>
        <a:blip r:embed="rId571" cstate="email"/>
        <a:stretch>
          <a:fillRect/>
        </a:stretch>
      </xdr:blipFill>
      <xdr:spPr>
        <a:xfrm>
          <a:off x="1061720" y="398229455"/>
          <a:ext cx="534035" cy="617220"/>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xdr:cNvPicPr>
          <a:picLocks noChangeAspect="1"/>
        </xdr:cNvPicPr>
      </xdr:nvPicPr>
      <xdr:blipFill>
        <a:blip r:embed="rId572" cstate="email"/>
        <a:stretch>
          <a:fillRect/>
        </a:stretch>
      </xdr:blipFill>
      <xdr:spPr>
        <a:xfrm>
          <a:off x="1094105" y="400134455"/>
          <a:ext cx="508000" cy="614680"/>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xdr:cNvPicPr>
          <a:picLocks noChangeAspect="1"/>
        </xdr:cNvPicPr>
      </xdr:nvPicPr>
      <xdr:blipFill>
        <a:blip r:embed="rId573" cstate="email"/>
        <a:stretch>
          <a:fillRect/>
        </a:stretch>
      </xdr:blipFill>
      <xdr:spPr>
        <a:xfrm>
          <a:off x="1104900" y="400780250"/>
          <a:ext cx="501650" cy="603250"/>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xdr:cNvPicPr>
          <a:picLocks noChangeAspect="1"/>
        </xdr:cNvPicPr>
      </xdr:nvPicPr>
      <xdr:blipFill>
        <a:blip r:embed="rId566" cstate="email"/>
        <a:stretch>
          <a:fillRect/>
        </a:stretch>
      </xdr:blipFill>
      <xdr:spPr>
        <a:xfrm>
          <a:off x="1017270" y="402018500"/>
          <a:ext cx="556895" cy="635000"/>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xdr:cNvPicPr>
          <a:picLocks noChangeAspect="1"/>
        </xdr:cNvPicPr>
      </xdr:nvPicPr>
      <xdr:blipFill>
        <a:blip r:embed="rId574" cstate="email"/>
        <a:stretch>
          <a:fillRect/>
        </a:stretch>
      </xdr:blipFill>
      <xdr:spPr>
        <a:xfrm>
          <a:off x="998220" y="403320250"/>
          <a:ext cx="511810" cy="603250"/>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xdr:cNvPicPr>
          <a:picLocks noChangeAspect="1"/>
        </xdr:cNvPicPr>
      </xdr:nvPicPr>
      <xdr:blipFill>
        <a:blip r:embed="rId575" cstate="email"/>
        <a:stretch>
          <a:fillRect/>
        </a:stretch>
      </xdr:blipFill>
      <xdr:spPr>
        <a:xfrm>
          <a:off x="1019175" y="403944455"/>
          <a:ext cx="512445" cy="614045"/>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xdr:cNvPicPr>
          <a:picLocks noChangeAspect="1"/>
        </xdr:cNvPicPr>
      </xdr:nvPicPr>
      <xdr:blipFill>
        <a:blip r:embed="rId576" cstate="email"/>
        <a:stretch>
          <a:fillRect/>
        </a:stretch>
      </xdr:blipFill>
      <xdr:spPr>
        <a:xfrm>
          <a:off x="1072515" y="405214455"/>
          <a:ext cx="501650" cy="61404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xdr:cNvPicPr>
          <a:picLocks noChangeAspect="1"/>
        </xdr:cNvPicPr>
      </xdr:nvPicPr>
      <xdr:blipFill>
        <a:blip r:embed="rId576" cstate="email"/>
        <a:stretch>
          <a:fillRect/>
        </a:stretch>
      </xdr:blipFill>
      <xdr:spPr>
        <a:xfrm>
          <a:off x="1094105" y="405849455"/>
          <a:ext cx="501650" cy="61404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xdr:cNvPicPr>
          <a:picLocks noChangeAspect="1"/>
        </xdr:cNvPicPr>
      </xdr:nvPicPr>
      <xdr:blipFill>
        <a:blip r:embed="rId577" cstate="email"/>
        <a:stretch>
          <a:fillRect/>
        </a:stretch>
      </xdr:blipFill>
      <xdr:spPr>
        <a:xfrm>
          <a:off x="1094105" y="406516840"/>
          <a:ext cx="541655" cy="581660"/>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xdr:cNvPicPr>
          <a:picLocks noChangeAspect="1"/>
        </xdr:cNvPicPr>
      </xdr:nvPicPr>
      <xdr:blipFill>
        <a:blip r:embed="rId578" cstate="email"/>
        <a:stretch>
          <a:fillRect/>
        </a:stretch>
      </xdr:blipFill>
      <xdr:spPr>
        <a:xfrm>
          <a:off x="998220" y="409659455"/>
          <a:ext cx="597535" cy="614045"/>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xdr:cNvPicPr>
          <a:picLocks noChangeAspect="1"/>
        </xdr:cNvPicPr>
      </xdr:nvPicPr>
      <xdr:blipFill>
        <a:blip r:embed="rId579" cstate="email"/>
        <a:stretch>
          <a:fillRect/>
        </a:stretch>
      </xdr:blipFill>
      <xdr:spPr>
        <a:xfrm>
          <a:off x="998220" y="412178500"/>
          <a:ext cx="575945" cy="635000"/>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xdr:cNvPicPr>
          <a:picLocks noChangeAspect="1"/>
        </xdr:cNvPicPr>
      </xdr:nvPicPr>
      <xdr:blipFill>
        <a:blip r:embed="rId580" cstate="email"/>
        <a:stretch>
          <a:fillRect/>
        </a:stretch>
      </xdr:blipFill>
      <xdr:spPr>
        <a:xfrm>
          <a:off x="1029970" y="413458660"/>
          <a:ext cx="605790" cy="624840"/>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xdr:cNvPicPr>
          <a:picLocks noChangeAspect="1"/>
        </xdr:cNvPicPr>
      </xdr:nvPicPr>
      <xdr:blipFill>
        <a:blip r:embed="rId581" cstate="email"/>
        <a:stretch>
          <a:fillRect/>
        </a:stretch>
      </xdr:blipFill>
      <xdr:spPr>
        <a:xfrm>
          <a:off x="1147445" y="416020250"/>
          <a:ext cx="488315" cy="603250"/>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xdr:cNvPicPr>
          <a:picLocks noChangeAspect="1"/>
        </xdr:cNvPicPr>
      </xdr:nvPicPr>
      <xdr:blipFill>
        <a:blip r:embed="rId582" cstate="email"/>
        <a:stretch>
          <a:fillRect/>
        </a:stretch>
      </xdr:blipFill>
      <xdr:spPr>
        <a:xfrm>
          <a:off x="1061720" y="416676840"/>
          <a:ext cx="534035" cy="581660"/>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xdr:cNvPicPr>
          <a:picLocks noChangeAspect="1"/>
        </xdr:cNvPicPr>
      </xdr:nvPicPr>
      <xdr:blipFill>
        <a:blip r:embed="rId583" cstate="email"/>
        <a:stretch>
          <a:fillRect/>
        </a:stretch>
      </xdr:blipFill>
      <xdr:spPr>
        <a:xfrm>
          <a:off x="998220" y="417279455"/>
          <a:ext cx="565150" cy="624205"/>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xdr:cNvPicPr>
          <a:picLocks noChangeAspect="1"/>
        </xdr:cNvPicPr>
      </xdr:nvPicPr>
      <xdr:blipFill>
        <a:blip r:embed="rId584" cstate="email"/>
        <a:stretch>
          <a:fillRect/>
        </a:stretch>
      </xdr:blipFill>
      <xdr:spPr>
        <a:xfrm>
          <a:off x="1019175" y="426806360"/>
          <a:ext cx="565785" cy="612140"/>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xdr:cNvPicPr>
          <a:picLocks noChangeAspect="1"/>
        </xdr:cNvPicPr>
      </xdr:nvPicPr>
      <xdr:blipFill>
        <a:blip r:embed="rId585" cstate="email"/>
        <a:stretch>
          <a:fillRect/>
        </a:stretch>
      </xdr:blipFill>
      <xdr:spPr>
        <a:xfrm>
          <a:off x="1083310" y="428106840"/>
          <a:ext cx="552450" cy="58166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xdr:cNvPicPr>
          <a:picLocks noChangeAspect="1"/>
        </xdr:cNvPicPr>
      </xdr:nvPicPr>
      <xdr:blipFill>
        <a:blip r:embed="rId586" cstate="email"/>
        <a:stretch>
          <a:fillRect/>
        </a:stretch>
      </xdr:blipFill>
      <xdr:spPr>
        <a:xfrm>
          <a:off x="1061720" y="428741840"/>
          <a:ext cx="554990" cy="58166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xdr:cNvPicPr>
          <a:picLocks noChangeAspect="1"/>
        </xdr:cNvPicPr>
      </xdr:nvPicPr>
      <xdr:blipFill>
        <a:blip r:embed="rId587" cstate="email"/>
        <a:stretch>
          <a:fillRect/>
        </a:stretch>
      </xdr:blipFill>
      <xdr:spPr>
        <a:xfrm>
          <a:off x="1019175" y="429376840"/>
          <a:ext cx="608330" cy="581660"/>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xdr:cNvPicPr>
          <a:picLocks noChangeAspect="1"/>
        </xdr:cNvPicPr>
      </xdr:nvPicPr>
      <xdr:blipFill>
        <a:blip r:embed="rId588" cstate="email"/>
        <a:stretch>
          <a:fillRect/>
        </a:stretch>
      </xdr:blipFill>
      <xdr:spPr>
        <a:xfrm>
          <a:off x="1061720" y="430001045"/>
          <a:ext cx="574040" cy="59245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xdr:cNvPicPr>
          <a:picLocks noChangeAspect="1"/>
        </xdr:cNvPicPr>
      </xdr:nvPicPr>
      <xdr:blipFill>
        <a:blip r:embed="rId589" cstate="email"/>
        <a:stretch>
          <a:fillRect/>
        </a:stretch>
      </xdr:blipFill>
      <xdr:spPr>
        <a:xfrm>
          <a:off x="1083310" y="430646840"/>
          <a:ext cx="552450" cy="581660"/>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xdr:cNvPicPr>
          <a:picLocks noChangeAspect="1"/>
        </xdr:cNvPicPr>
      </xdr:nvPicPr>
      <xdr:blipFill>
        <a:blip r:embed="rId590" cstate="email"/>
        <a:stretch>
          <a:fillRect/>
        </a:stretch>
      </xdr:blipFill>
      <xdr:spPr>
        <a:xfrm>
          <a:off x="1094105" y="431271045"/>
          <a:ext cx="541655" cy="592455"/>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xdr:cNvPicPr>
          <a:picLocks noChangeAspect="1"/>
        </xdr:cNvPicPr>
      </xdr:nvPicPr>
      <xdr:blipFill>
        <a:blip r:embed="rId591" cstate="email"/>
        <a:stretch>
          <a:fillRect/>
        </a:stretch>
      </xdr:blipFill>
      <xdr:spPr>
        <a:xfrm>
          <a:off x="1104900" y="431895250"/>
          <a:ext cx="530860" cy="60325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xdr:cNvPicPr>
          <a:picLocks noChangeAspect="1"/>
        </xdr:cNvPicPr>
      </xdr:nvPicPr>
      <xdr:blipFill>
        <a:blip r:embed="rId592" cstate="email"/>
        <a:stretch>
          <a:fillRect/>
        </a:stretch>
      </xdr:blipFill>
      <xdr:spPr>
        <a:xfrm>
          <a:off x="1104900" y="432530250"/>
          <a:ext cx="530860" cy="60325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xdr:cNvPicPr>
          <a:picLocks noChangeAspect="1"/>
        </xdr:cNvPicPr>
      </xdr:nvPicPr>
      <xdr:blipFill>
        <a:blip r:embed="rId593" cstate="email"/>
        <a:stretch>
          <a:fillRect/>
        </a:stretch>
      </xdr:blipFill>
      <xdr:spPr>
        <a:xfrm>
          <a:off x="1158240" y="436340250"/>
          <a:ext cx="442595" cy="603250"/>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xdr:cNvPicPr>
          <a:picLocks noChangeAspect="1"/>
        </xdr:cNvPicPr>
      </xdr:nvPicPr>
      <xdr:blipFill>
        <a:blip r:embed="rId594" cstate="email"/>
        <a:stretch>
          <a:fillRect/>
        </a:stretch>
      </xdr:blipFill>
      <xdr:spPr>
        <a:xfrm>
          <a:off x="1072515" y="435694455"/>
          <a:ext cx="512445" cy="614045"/>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xdr:cNvPicPr>
          <a:picLocks noChangeAspect="1"/>
        </xdr:cNvPicPr>
      </xdr:nvPicPr>
      <xdr:blipFill>
        <a:blip r:embed="rId595" cstate="email"/>
        <a:stretch>
          <a:fillRect/>
        </a:stretch>
      </xdr:blipFill>
      <xdr:spPr>
        <a:xfrm>
          <a:off x="1072515" y="438869455"/>
          <a:ext cx="563245" cy="614045"/>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xdr:cNvPicPr>
          <a:picLocks noChangeAspect="1"/>
        </xdr:cNvPicPr>
      </xdr:nvPicPr>
      <xdr:blipFill>
        <a:blip r:embed="rId596" cstate="email"/>
        <a:stretch>
          <a:fillRect/>
        </a:stretch>
      </xdr:blipFill>
      <xdr:spPr>
        <a:xfrm>
          <a:off x="1136650" y="439493660"/>
          <a:ext cx="499110" cy="624840"/>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xdr:cNvPicPr>
          <a:picLocks noChangeAspect="1"/>
        </xdr:cNvPicPr>
      </xdr:nvPicPr>
      <xdr:blipFill>
        <a:blip r:embed="rId597" cstate="email"/>
        <a:stretch>
          <a:fillRect/>
        </a:stretch>
      </xdr:blipFill>
      <xdr:spPr>
        <a:xfrm>
          <a:off x="1150620" y="440142630"/>
          <a:ext cx="485140" cy="610870"/>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xdr:cNvPicPr>
          <a:picLocks noChangeAspect="1"/>
        </xdr:cNvPicPr>
      </xdr:nvPicPr>
      <xdr:blipFill>
        <a:blip r:embed="rId598" cstate="email"/>
        <a:stretch>
          <a:fillRect/>
        </a:stretch>
      </xdr:blipFill>
      <xdr:spPr>
        <a:xfrm>
          <a:off x="1168400" y="440789060"/>
          <a:ext cx="467360" cy="599440"/>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xdr:cNvPicPr>
          <a:picLocks noChangeAspect="1"/>
        </xdr:cNvPicPr>
      </xdr:nvPicPr>
      <xdr:blipFill>
        <a:blip r:embed="rId599" cstate="email"/>
        <a:stretch>
          <a:fillRect/>
        </a:stretch>
      </xdr:blipFill>
      <xdr:spPr>
        <a:xfrm>
          <a:off x="987425" y="442055250"/>
          <a:ext cx="629285" cy="603250"/>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xdr:cNvPicPr>
          <a:picLocks noChangeAspect="1"/>
        </xdr:cNvPicPr>
      </xdr:nvPicPr>
      <xdr:blipFill>
        <a:blip r:embed="rId600" cstate="email"/>
        <a:stretch>
          <a:fillRect/>
        </a:stretch>
      </xdr:blipFill>
      <xdr:spPr>
        <a:xfrm>
          <a:off x="1040765" y="442690250"/>
          <a:ext cx="594995" cy="603250"/>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xdr:cNvPicPr>
          <a:picLocks noChangeAspect="1"/>
        </xdr:cNvPicPr>
      </xdr:nvPicPr>
      <xdr:blipFill>
        <a:blip r:embed="rId601" cstate="email"/>
        <a:stretch>
          <a:fillRect/>
        </a:stretch>
      </xdr:blipFill>
      <xdr:spPr>
        <a:xfrm>
          <a:off x="1179195" y="443346840"/>
          <a:ext cx="456565" cy="581660"/>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xdr:cNvPicPr>
          <a:picLocks noChangeAspect="1"/>
        </xdr:cNvPicPr>
      </xdr:nvPicPr>
      <xdr:blipFill>
        <a:blip r:embed="rId602" cstate="email"/>
        <a:stretch>
          <a:fillRect/>
        </a:stretch>
      </xdr:blipFill>
      <xdr:spPr>
        <a:xfrm>
          <a:off x="1158240" y="443971045"/>
          <a:ext cx="459105" cy="592455"/>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xdr:cNvPicPr>
          <a:picLocks noChangeAspect="1"/>
        </xdr:cNvPicPr>
      </xdr:nvPicPr>
      <xdr:blipFill>
        <a:blip r:embed="rId603" cstate="email"/>
        <a:stretch>
          <a:fillRect/>
        </a:stretch>
      </xdr:blipFill>
      <xdr:spPr>
        <a:xfrm>
          <a:off x="1051560" y="444616840"/>
          <a:ext cx="469265" cy="589915"/>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xdr:cNvPicPr>
          <a:picLocks noChangeAspect="1"/>
        </xdr:cNvPicPr>
      </xdr:nvPicPr>
      <xdr:blipFill>
        <a:blip r:embed="rId603" cstate="email"/>
        <a:stretch>
          <a:fillRect/>
        </a:stretch>
      </xdr:blipFill>
      <xdr:spPr>
        <a:xfrm>
          <a:off x="1075690" y="445243585"/>
          <a:ext cx="469265" cy="590550"/>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xdr:cNvPicPr>
          <a:picLocks noChangeAspect="1"/>
        </xdr:cNvPicPr>
      </xdr:nvPicPr>
      <xdr:blipFill>
        <a:blip r:embed="rId604" cstate="email"/>
        <a:stretch>
          <a:fillRect/>
        </a:stretch>
      </xdr:blipFill>
      <xdr:spPr>
        <a:xfrm>
          <a:off x="1072515" y="447113660"/>
          <a:ext cx="523240" cy="624840"/>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xdr:cNvPicPr>
          <a:picLocks noChangeAspect="1"/>
        </xdr:cNvPicPr>
      </xdr:nvPicPr>
      <xdr:blipFill>
        <a:blip r:embed="rId605" cstate="email"/>
        <a:stretch>
          <a:fillRect/>
        </a:stretch>
      </xdr:blipFill>
      <xdr:spPr>
        <a:xfrm>
          <a:off x="1040765" y="448394455"/>
          <a:ext cx="533400" cy="614045"/>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xdr:cNvPicPr>
          <a:picLocks noChangeAspect="1"/>
        </xdr:cNvPicPr>
      </xdr:nvPicPr>
      <xdr:blipFill>
        <a:blip r:embed="rId605" cstate="email"/>
        <a:stretch>
          <a:fillRect/>
        </a:stretch>
      </xdr:blipFill>
      <xdr:spPr>
        <a:xfrm>
          <a:off x="1061720" y="449029455"/>
          <a:ext cx="534035" cy="614045"/>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xdr:cNvPicPr>
          <a:picLocks noChangeAspect="1"/>
        </xdr:cNvPicPr>
      </xdr:nvPicPr>
      <xdr:blipFill>
        <a:blip r:embed="rId606" cstate="email"/>
        <a:stretch>
          <a:fillRect/>
        </a:stretch>
      </xdr:blipFill>
      <xdr:spPr>
        <a:xfrm>
          <a:off x="1094105" y="449664455"/>
          <a:ext cx="490855" cy="614045"/>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xdr:cNvPicPr>
          <a:picLocks noChangeAspect="1"/>
        </xdr:cNvPicPr>
      </xdr:nvPicPr>
      <xdr:blipFill>
        <a:blip r:embed="rId607" cstate="email"/>
        <a:stretch>
          <a:fillRect/>
        </a:stretch>
      </xdr:blipFill>
      <xdr:spPr>
        <a:xfrm>
          <a:off x="1136650" y="450331840"/>
          <a:ext cx="490855" cy="581660"/>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xdr:cNvPicPr>
          <a:picLocks noChangeAspect="1"/>
        </xdr:cNvPicPr>
      </xdr:nvPicPr>
      <xdr:blipFill>
        <a:blip r:embed="rId608" cstate="email"/>
        <a:stretch>
          <a:fillRect/>
        </a:stretch>
      </xdr:blipFill>
      <xdr:spPr>
        <a:xfrm>
          <a:off x="1136650" y="452193660"/>
          <a:ext cx="482600" cy="62484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xdr:cNvPicPr>
          <a:picLocks noChangeAspect="1"/>
        </xdr:cNvPicPr>
      </xdr:nvPicPr>
      <xdr:blipFill>
        <a:blip r:embed="rId609" cstate="email"/>
        <a:stretch>
          <a:fillRect/>
        </a:stretch>
      </xdr:blipFill>
      <xdr:spPr>
        <a:xfrm>
          <a:off x="1125855" y="452839455"/>
          <a:ext cx="482600" cy="614680"/>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xdr:cNvPicPr>
          <a:picLocks noChangeAspect="1"/>
        </xdr:cNvPicPr>
      </xdr:nvPicPr>
      <xdr:blipFill>
        <a:blip r:embed="rId610" cstate="email"/>
        <a:stretch>
          <a:fillRect/>
        </a:stretch>
      </xdr:blipFill>
      <xdr:spPr>
        <a:xfrm>
          <a:off x="1136650" y="453476360"/>
          <a:ext cx="482600" cy="61214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xdr:cNvPicPr>
          <a:picLocks noChangeAspect="1"/>
        </xdr:cNvPicPr>
      </xdr:nvPicPr>
      <xdr:blipFill>
        <a:blip r:embed="rId611" cstate="email"/>
        <a:stretch>
          <a:fillRect/>
        </a:stretch>
      </xdr:blipFill>
      <xdr:spPr>
        <a:xfrm>
          <a:off x="1115060" y="454109455"/>
          <a:ext cx="505460" cy="614045"/>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xdr:cNvPicPr>
          <a:picLocks noChangeAspect="1"/>
        </xdr:cNvPicPr>
      </xdr:nvPicPr>
      <xdr:blipFill>
        <a:blip r:embed="rId612" cstate="email"/>
        <a:stretch>
          <a:fillRect/>
        </a:stretch>
      </xdr:blipFill>
      <xdr:spPr>
        <a:xfrm>
          <a:off x="1118235" y="454760330"/>
          <a:ext cx="505460" cy="59817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xdr:cNvPicPr>
          <a:picLocks noChangeAspect="1"/>
        </xdr:cNvPicPr>
      </xdr:nvPicPr>
      <xdr:blipFill>
        <a:blip r:embed="rId613" cstate="email"/>
        <a:stretch>
          <a:fillRect/>
        </a:stretch>
      </xdr:blipFill>
      <xdr:spPr>
        <a:xfrm>
          <a:off x="1142365" y="455395965"/>
          <a:ext cx="493395" cy="603250"/>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xdr:cNvPicPr>
          <a:picLocks noChangeAspect="1"/>
        </xdr:cNvPicPr>
      </xdr:nvPicPr>
      <xdr:blipFill>
        <a:blip r:embed="rId614" cstate="email"/>
        <a:stretch>
          <a:fillRect/>
        </a:stretch>
      </xdr:blipFill>
      <xdr:spPr>
        <a:xfrm>
          <a:off x="1158240" y="500496840"/>
          <a:ext cx="394335" cy="581025"/>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xdr:cNvPicPr>
          <a:picLocks noChangeAspect="1"/>
        </xdr:cNvPicPr>
      </xdr:nvPicPr>
      <xdr:blipFill>
        <a:blip r:embed="rId614" cstate="email"/>
        <a:stretch>
          <a:fillRect/>
        </a:stretch>
      </xdr:blipFill>
      <xdr:spPr>
        <a:xfrm>
          <a:off x="1136650" y="501121045"/>
          <a:ext cx="394970" cy="581025"/>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xdr:cNvPicPr>
          <a:picLocks noChangeAspect="1"/>
        </xdr:cNvPicPr>
      </xdr:nvPicPr>
      <xdr:blipFill>
        <a:blip r:embed="rId615" cstate="email"/>
        <a:stretch>
          <a:fillRect/>
        </a:stretch>
      </xdr:blipFill>
      <xdr:spPr>
        <a:xfrm>
          <a:off x="1083310" y="501745250"/>
          <a:ext cx="512445" cy="603250"/>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xdr:cNvPicPr>
          <a:picLocks noChangeAspect="1"/>
        </xdr:cNvPicPr>
      </xdr:nvPicPr>
      <xdr:blipFill>
        <a:blip r:embed="rId616" cstate="email"/>
        <a:stretch>
          <a:fillRect/>
        </a:stretch>
      </xdr:blipFill>
      <xdr:spPr>
        <a:xfrm>
          <a:off x="1083310" y="502401840"/>
          <a:ext cx="474980" cy="581660"/>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xdr:cNvPicPr>
          <a:picLocks noChangeAspect="1"/>
        </xdr:cNvPicPr>
      </xdr:nvPicPr>
      <xdr:blipFill>
        <a:blip r:embed="rId617" cstate="email"/>
        <a:stretch>
          <a:fillRect/>
        </a:stretch>
      </xdr:blipFill>
      <xdr:spPr>
        <a:xfrm>
          <a:off x="1104900" y="503015250"/>
          <a:ext cx="530860" cy="603250"/>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xdr:cNvPicPr>
          <a:picLocks noChangeAspect="1"/>
        </xdr:cNvPicPr>
      </xdr:nvPicPr>
      <xdr:blipFill>
        <a:blip r:embed="rId618" cstate="email"/>
        <a:stretch>
          <a:fillRect/>
        </a:stretch>
      </xdr:blipFill>
      <xdr:spPr>
        <a:xfrm>
          <a:off x="1125855" y="503639455"/>
          <a:ext cx="509905" cy="614045"/>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xdr:cNvPicPr>
          <a:picLocks noChangeAspect="1"/>
        </xdr:cNvPicPr>
      </xdr:nvPicPr>
      <xdr:blipFill>
        <a:blip r:embed="rId619" cstate="email"/>
        <a:stretch>
          <a:fillRect/>
        </a:stretch>
      </xdr:blipFill>
      <xdr:spPr>
        <a:xfrm>
          <a:off x="1158240" y="504296045"/>
          <a:ext cx="477520" cy="592455"/>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xdr:cNvPicPr>
          <a:picLocks noChangeAspect="1"/>
        </xdr:cNvPicPr>
      </xdr:nvPicPr>
      <xdr:blipFill>
        <a:blip r:embed="rId620" cstate="email"/>
        <a:stretch>
          <a:fillRect/>
        </a:stretch>
      </xdr:blipFill>
      <xdr:spPr>
        <a:xfrm>
          <a:off x="1115060" y="504941840"/>
          <a:ext cx="520700" cy="58166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xdr:cNvPicPr>
          <a:picLocks noChangeAspect="1"/>
        </xdr:cNvPicPr>
      </xdr:nvPicPr>
      <xdr:blipFill>
        <a:blip r:embed="rId621" cstate="email"/>
        <a:stretch>
          <a:fillRect/>
        </a:stretch>
      </xdr:blipFill>
      <xdr:spPr>
        <a:xfrm>
          <a:off x="1136650" y="505576840"/>
          <a:ext cx="499110" cy="586105"/>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xdr:cNvPicPr>
          <a:picLocks noChangeAspect="1"/>
        </xdr:cNvPicPr>
      </xdr:nvPicPr>
      <xdr:blipFill>
        <a:blip r:embed="rId622" cstate="email"/>
        <a:stretch>
          <a:fillRect/>
        </a:stretch>
      </xdr:blipFill>
      <xdr:spPr>
        <a:xfrm>
          <a:off x="1092200" y="506812550"/>
          <a:ext cx="502285" cy="615950"/>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xdr:cNvPicPr>
          <a:picLocks noChangeAspect="1"/>
        </xdr:cNvPicPr>
      </xdr:nvPicPr>
      <xdr:blipFill>
        <a:blip r:embed="rId623" cstate="email"/>
        <a:stretch>
          <a:fillRect/>
        </a:stretch>
      </xdr:blipFill>
      <xdr:spPr>
        <a:xfrm>
          <a:off x="1109345" y="526532475"/>
          <a:ext cx="526415" cy="581025"/>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xdr:cNvPicPr>
          <a:picLocks noChangeAspect="1"/>
        </xdr:cNvPicPr>
      </xdr:nvPicPr>
      <xdr:blipFill>
        <a:blip r:embed="rId624" cstate="email"/>
        <a:stretch>
          <a:fillRect/>
        </a:stretch>
      </xdr:blipFill>
      <xdr:spPr>
        <a:xfrm>
          <a:off x="1167765" y="529082000"/>
          <a:ext cx="446405" cy="570230"/>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xdr:cNvPicPr>
          <a:picLocks noChangeAspect="1"/>
        </xdr:cNvPicPr>
      </xdr:nvPicPr>
      <xdr:blipFill>
        <a:blip r:embed="rId625" cstate="email"/>
        <a:stretch>
          <a:fillRect/>
        </a:stretch>
      </xdr:blipFill>
      <xdr:spPr>
        <a:xfrm>
          <a:off x="1137920" y="538587315"/>
          <a:ext cx="490855" cy="591185"/>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xdr:cNvPicPr>
          <a:picLocks noChangeAspect="1"/>
        </xdr:cNvPicPr>
      </xdr:nvPicPr>
      <xdr:blipFill>
        <a:blip r:embed="rId626" cstate="email"/>
        <a:stretch>
          <a:fillRect/>
        </a:stretch>
      </xdr:blipFill>
      <xdr:spPr>
        <a:xfrm>
          <a:off x="1104900" y="539199455"/>
          <a:ext cx="490855" cy="614045"/>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xdr:cNvPicPr>
          <a:picLocks noChangeAspect="1"/>
        </xdr:cNvPicPr>
      </xdr:nvPicPr>
      <xdr:blipFill>
        <a:blip r:embed="rId627" cstate="email"/>
        <a:stretch>
          <a:fillRect/>
        </a:stretch>
      </xdr:blipFill>
      <xdr:spPr>
        <a:xfrm>
          <a:off x="1079500" y="539856045"/>
          <a:ext cx="459105" cy="592455"/>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xdr:cNvPicPr>
          <a:picLocks noChangeAspect="1"/>
        </xdr:cNvPicPr>
      </xdr:nvPicPr>
      <xdr:blipFill>
        <a:blip r:embed="rId628" cstate="email"/>
        <a:stretch>
          <a:fillRect/>
        </a:stretch>
      </xdr:blipFill>
      <xdr:spPr>
        <a:xfrm>
          <a:off x="1040765" y="540491045"/>
          <a:ext cx="594995" cy="592455"/>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xdr:cNvPicPr>
          <a:picLocks noChangeAspect="1"/>
        </xdr:cNvPicPr>
      </xdr:nvPicPr>
      <xdr:blipFill>
        <a:blip r:embed="rId629" cstate="email"/>
        <a:stretch>
          <a:fillRect/>
        </a:stretch>
      </xdr:blipFill>
      <xdr:spPr>
        <a:xfrm>
          <a:off x="1047115" y="541728660"/>
          <a:ext cx="414020" cy="622300"/>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xdr:cNvPicPr>
          <a:picLocks noChangeAspect="1"/>
        </xdr:cNvPicPr>
      </xdr:nvPicPr>
      <xdr:blipFill>
        <a:blip r:embed="rId630" cstate="email"/>
        <a:stretch>
          <a:fillRect/>
        </a:stretch>
      </xdr:blipFill>
      <xdr:spPr>
        <a:xfrm>
          <a:off x="938530" y="542417000"/>
          <a:ext cx="697230" cy="571500"/>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xdr:cNvPicPr>
          <a:picLocks noChangeAspect="1"/>
        </xdr:cNvPicPr>
      </xdr:nvPicPr>
      <xdr:blipFill>
        <a:blip r:embed="rId631" cstate="email"/>
        <a:stretch>
          <a:fillRect/>
        </a:stretch>
      </xdr:blipFill>
      <xdr:spPr>
        <a:xfrm>
          <a:off x="1024255" y="543630485"/>
          <a:ext cx="505460" cy="628015"/>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xdr:cNvPicPr>
          <a:picLocks noChangeAspect="1"/>
        </xdr:cNvPicPr>
      </xdr:nvPicPr>
      <xdr:blipFill>
        <a:blip r:embed="rId632" cstate="email"/>
        <a:stretch>
          <a:fillRect/>
        </a:stretch>
      </xdr:blipFill>
      <xdr:spPr>
        <a:xfrm>
          <a:off x="1083310" y="407765250"/>
          <a:ext cx="512445" cy="603250"/>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xdr:cNvPicPr>
          <a:picLocks noChangeAspect="1"/>
        </xdr:cNvPicPr>
      </xdr:nvPicPr>
      <xdr:blipFill>
        <a:blip r:embed="rId633" cstate="email"/>
        <a:stretch>
          <a:fillRect/>
        </a:stretch>
      </xdr:blipFill>
      <xdr:spPr>
        <a:xfrm>
          <a:off x="1029970" y="464285330"/>
          <a:ext cx="605790" cy="598170"/>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xdr:cNvPicPr>
          <a:picLocks noChangeAspect="1"/>
        </xdr:cNvPicPr>
      </xdr:nvPicPr>
      <xdr:blipFill>
        <a:blip r:embed="rId634" cstate="email"/>
        <a:stretch>
          <a:fillRect/>
        </a:stretch>
      </xdr:blipFill>
      <xdr:spPr>
        <a:xfrm>
          <a:off x="1158240" y="463645250"/>
          <a:ext cx="477520" cy="603250"/>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xdr:cNvPicPr>
          <a:picLocks noChangeAspect="1"/>
        </xdr:cNvPicPr>
      </xdr:nvPicPr>
      <xdr:blipFill>
        <a:blip r:embed="rId635" cstate="email"/>
        <a:stretch>
          <a:fillRect/>
        </a:stretch>
      </xdr:blipFill>
      <xdr:spPr>
        <a:xfrm>
          <a:off x="1147445" y="462978500"/>
          <a:ext cx="488315" cy="63500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xdr:cNvPicPr>
          <a:picLocks noChangeAspect="1"/>
        </xdr:cNvPicPr>
      </xdr:nvPicPr>
      <xdr:blipFill>
        <a:blip r:embed="rId636" cstate="email"/>
        <a:stretch>
          <a:fillRect/>
        </a:stretch>
      </xdr:blipFill>
      <xdr:spPr>
        <a:xfrm>
          <a:off x="1115060" y="462375250"/>
          <a:ext cx="520700" cy="603250"/>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xdr:cNvPicPr>
          <a:picLocks noChangeAspect="1"/>
        </xdr:cNvPicPr>
      </xdr:nvPicPr>
      <xdr:blipFill>
        <a:blip r:embed="rId637" cstate="email"/>
        <a:stretch>
          <a:fillRect/>
        </a:stretch>
      </xdr:blipFill>
      <xdr:spPr>
        <a:xfrm>
          <a:off x="1104900" y="461740250"/>
          <a:ext cx="522605" cy="603250"/>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xdr:cNvPicPr>
          <a:picLocks noChangeAspect="1"/>
        </xdr:cNvPicPr>
      </xdr:nvPicPr>
      <xdr:blipFill>
        <a:blip r:embed="rId638" cstate="email"/>
        <a:stretch>
          <a:fillRect/>
        </a:stretch>
      </xdr:blipFill>
      <xdr:spPr>
        <a:xfrm>
          <a:off x="1179195" y="461105250"/>
          <a:ext cx="456565" cy="603250"/>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xdr:cNvPicPr>
          <a:picLocks noChangeAspect="1"/>
        </xdr:cNvPicPr>
      </xdr:nvPicPr>
      <xdr:blipFill>
        <a:blip r:embed="rId639" cstate="email"/>
        <a:stretch>
          <a:fillRect/>
        </a:stretch>
      </xdr:blipFill>
      <xdr:spPr>
        <a:xfrm>
          <a:off x="1193165" y="460494380"/>
          <a:ext cx="442595" cy="579120"/>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xdr:cNvPicPr>
          <a:picLocks noChangeAspect="1"/>
        </xdr:cNvPicPr>
      </xdr:nvPicPr>
      <xdr:blipFill>
        <a:blip r:embed="rId638" cstate="email"/>
        <a:stretch>
          <a:fillRect/>
        </a:stretch>
      </xdr:blipFill>
      <xdr:spPr>
        <a:xfrm>
          <a:off x="1174750" y="459830805"/>
          <a:ext cx="461010" cy="607695"/>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xdr:cNvPicPr>
          <a:picLocks noChangeAspect="1"/>
        </xdr:cNvPicPr>
      </xdr:nvPicPr>
      <xdr:blipFill>
        <a:blip r:embed="rId640" cstate="email"/>
        <a:stretch>
          <a:fillRect/>
        </a:stretch>
      </xdr:blipFill>
      <xdr:spPr>
        <a:xfrm>
          <a:off x="1158240" y="552534455"/>
          <a:ext cx="477520" cy="614045"/>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xdr:cNvPicPr>
          <a:picLocks noChangeAspect="1"/>
        </xdr:cNvPicPr>
      </xdr:nvPicPr>
      <xdr:blipFill>
        <a:blip r:embed="rId641" cstate="email"/>
        <a:stretch>
          <a:fillRect/>
        </a:stretch>
      </xdr:blipFill>
      <xdr:spPr>
        <a:xfrm>
          <a:off x="1129030" y="553183425"/>
          <a:ext cx="490855" cy="600075"/>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xdr:cNvPicPr>
          <a:picLocks noChangeAspect="1"/>
        </xdr:cNvPicPr>
      </xdr:nvPicPr>
      <xdr:blipFill>
        <a:blip r:embed="rId642" cstate="email"/>
        <a:stretch>
          <a:fillRect/>
        </a:stretch>
      </xdr:blipFill>
      <xdr:spPr>
        <a:xfrm>
          <a:off x="1168400" y="556366045"/>
          <a:ext cx="450850" cy="592455"/>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xdr:cNvPicPr>
          <a:picLocks noChangeAspect="1"/>
        </xdr:cNvPicPr>
      </xdr:nvPicPr>
      <xdr:blipFill>
        <a:blip r:embed="rId642" cstate="email"/>
        <a:stretch>
          <a:fillRect/>
        </a:stretch>
      </xdr:blipFill>
      <xdr:spPr>
        <a:xfrm>
          <a:off x="1158240" y="556990250"/>
          <a:ext cx="450215" cy="603250"/>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xdr:cNvPicPr>
          <a:picLocks noChangeAspect="1"/>
        </xdr:cNvPicPr>
      </xdr:nvPicPr>
      <xdr:blipFill>
        <a:blip r:embed="rId643" cstate="email"/>
        <a:stretch>
          <a:fillRect/>
        </a:stretch>
      </xdr:blipFill>
      <xdr:spPr>
        <a:xfrm>
          <a:off x="1069340" y="544283265"/>
          <a:ext cx="506095" cy="610235"/>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xdr:cNvPicPr>
          <a:picLocks noChangeAspect="1"/>
        </xdr:cNvPicPr>
      </xdr:nvPicPr>
      <xdr:blipFill>
        <a:blip r:embed="rId644" cstate="email"/>
        <a:stretch>
          <a:fillRect/>
        </a:stretch>
      </xdr:blipFill>
      <xdr:spPr>
        <a:xfrm>
          <a:off x="1136015" y="558886995"/>
          <a:ext cx="3175" cy="6775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xdr:cNvPicPr>
          <a:picLocks noChangeAspect="1"/>
        </xdr:cNvPicPr>
      </xdr:nvPicPr>
      <xdr:blipFill>
        <a:blip r:embed="rId645" cstate="email"/>
        <a:stretch>
          <a:fillRect/>
        </a:stretch>
      </xdr:blipFill>
      <xdr:spPr>
        <a:xfrm>
          <a:off x="1172210" y="537944060"/>
          <a:ext cx="407670" cy="586740"/>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xdr:cNvPicPr>
          <a:picLocks noChangeAspect="1"/>
        </xdr:cNvPicPr>
      </xdr:nvPicPr>
      <xdr:blipFill>
        <a:blip r:embed="rId646" cstate="email"/>
        <a:stretch>
          <a:fillRect/>
        </a:stretch>
      </xdr:blipFill>
      <xdr:spPr>
        <a:xfrm>
          <a:off x="1184275" y="537284930"/>
          <a:ext cx="451485" cy="623570"/>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xdr:cNvPicPr>
          <a:picLocks noChangeAspect="1"/>
        </xdr:cNvPicPr>
      </xdr:nvPicPr>
      <xdr:blipFill>
        <a:blip r:embed="rId647" cstate="email"/>
        <a:stretch>
          <a:fillRect/>
        </a:stretch>
      </xdr:blipFill>
      <xdr:spPr>
        <a:xfrm>
          <a:off x="1169035" y="560201445"/>
          <a:ext cx="431165" cy="56705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xdr:cNvPicPr>
          <a:picLocks noChangeAspect="1"/>
        </xdr:cNvPicPr>
      </xdr:nvPicPr>
      <xdr:blipFill>
        <a:blip r:embed="rId647" cstate="email"/>
        <a:stretch>
          <a:fillRect/>
        </a:stretch>
      </xdr:blipFill>
      <xdr:spPr>
        <a:xfrm>
          <a:off x="1177290" y="560821205"/>
          <a:ext cx="431800" cy="5822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xdr:cNvPicPr>
          <a:picLocks noChangeAspect="1"/>
        </xdr:cNvPicPr>
      </xdr:nvPicPr>
      <xdr:blipFill>
        <a:blip r:embed="rId648" cstate="email"/>
        <a:stretch>
          <a:fillRect/>
        </a:stretch>
      </xdr:blipFill>
      <xdr:spPr>
        <a:xfrm>
          <a:off x="1210310" y="561465095"/>
          <a:ext cx="425450" cy="57340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xdr:cNvPicPr>
          <a:picLocks noChangeAspect="1"/>
        </xdr:cNvPicPr>
      </xdr:nvPicPr>
      <xdr:blipFill>
        <a:blip r:embed="rId649" cstate="email"/>
        <a:stretch>
          <a:fillRect/>
        </a:stretch>
      </xdr:blipFill>
      <xdr:spPr>
        <a:xfrm>
          <a:off x="1206500" y="562072790"/>
          <a:ext cx="429260" cy="586740"/>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xdr:cNvPicPr>
          <a:picLocks noChangeAspect="1"/>
        </xdr:cNvPicPr>
      </xdr:nvPicPr>
      <xdr:blipFill>
        <a:blip r:embed="rId650" cstate="email"/>
        <a:stretch>
          <a:fillRect/>
        </a:stretch>
      </xdr:blipFill>
      <xdr:spPr>
        <a:xfrm>
          <a:off x="1148080" y="562716680"/>
          <a:ext cx="480695" cy="591820"/>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xdr:cNvPicPr>
          <a:picLocks noChangeAspect="1"/>
        </xdr:cNvPicPr>
      </xdr:nvPicPr>
      <xdr:blipFill>
        <a:blip r:embed="rId651" cstate="email"/>
        <a:stretch>
          <a:fillRect/>
        </a:stretch>
      </xdr:blipFill>
      <xdr:spPr>
        <a:xfrm>
          <a:off x="1156970" y="563336440"/>
          <a:ext cx="478790" cy="607060"/>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xdr:cNvPicPr>
          <a:picLocks noChangeAspect="1"/>
        </xdr:cNvPicPr>
      </xdr:nvPicPr>
      <xdr:blipFill>
        <a:blip r:embed="rId652" cstate="email"/>
        <a:stretch>
          <a:fillRect/>
        </a:stretch>
      </xdr:blipFill>
      <xdr:spPr>
        <a:xfrm>
          <a:off x="1100455" y="563966995"/>
          <a:ext cx="527050" cy="611505"/>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xdr:cNvPicPr>
          <a:picLocks noChangeAspect="1"/>
        </xdr:cNvPicPr>
      </xdr:nvPicPr>
      <xdr:blipFill>
        <a:blip r:embed="rId642" cstate="email"/>
        <a:stretch>
          <a:fillRect/>
        </a:stretch>
      </xdr:blipFill>
      <xdr:spPr>
        <a:xfrm>
          <a:off x="1184275" y="564601995"/>
          <a:ext cx="450215" cy="608330"/>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xdr:cNvPicPr>
          <a:picLocks noChangeAspect="1"/>
        </xdr:cNvPicPr>
      </xdr:nvPicPr>
      <xdr:blipFill>
        <a:blip r:embed="rId653" cstate="email"/>
        <a:stretch>
          <a:fillRect/>
        </a:stretch>
      </xdr:blipFill>
      <xdr:spPr>
        <a:xfrm>
          <a:off x="1064260" y="565236995"/>
          <a:ext cx="571500" cy="611505"/>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xdr:cNvPicPr>
          <a:picLocks noChangeAspect="1"/>
        </xdr:cNvPicPr>
      </xdr:nvPicPr>
      <xdr:blipFill>
        <a:blip r:embed="rId654" cstate="email"/>
        <a:stretch>
          <a:fillRect/>
        </a:stretch>
      </xdr:blipFill>
      <xdr:spPr>
        <a:xfrm>
          <a:off x="1036955" y="565880885"/>
          <a:ext cx="598805" cy="602615"/>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xdr:cNvPicPr>
          <a:picLocks noChangeAspect="1"/>
        </xdr:cNvPicPr>
      </xdr:nvPicPr>
      <xdr:blipFill>
        <a:blip r:embed="rId655" cstate="email"/>
        <a:stretch>
          <a:fillRect/>
        </a:stretch>
      </xdr:blipFill>
      <xdr:spPr>
        <a:xfrm>
          <a:off x="1033780" y="566500645"/>
          <a:ext cx="601980" cy="617855"/>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xdr:cNvPicPr>
          <a:picLocks noChangeAspect="1"/>
        </xdr:cNvPicPr>
      </xdr:nvPicPr>
      <xdr:blipFill>
        <a:blip r:embed="rId656" cstate="email"/>
        <a:stretch>
          <a:fillRect/>
        </a:stretch>
      </xdr:blipFill>
      <xdr:spPr>
        <a:xfrm>
          <a:off x="1052195" y="567141995"/>
          <a:ext cx="583565" cy="611505"/>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xdr:cNvPicPr>
          <a:picLocks noChangeAspect="1"/>
        </xdr:cNvPicPr>
      </xdr:nvPicPr>
      <xdr:blipFill>
        <a:blip r:embed="rId657" cstate="email"/>
        <a:stretch>
          <a:fillRect/>
        </a:stretch>
      </xdr:blipFill>
      <xdr:spPr>
        <a:xfrm>
          <a:off x="1100455" y="567776995"/>
          <a:ext cx="535305" cy="613410"/>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xdr:cNvPicPr>
          <a:picLocks noChangeAspect="1"/>
        </xdr:cNvPicPr>
      </xdr:nvPicPr>
      <xdr:blipFill>
        <a:blip r:embed="rId658" cstate="email"/>
        <a:stretch>
          <a:fillRect/>
        </a:stretch>
      </xdr:blipFill>
      <xdr:spPr>
        <a:xfrm>
          <a:off x="1076325" y="568411995"/>
          <a:ext cx="559435" cy="611505"/>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xdr:cNvPicPr>
          <a:picLocks noChangeAspect="1"/>
        </xdr:cNvPicPr>
      </xdr:nvPicPr>
      <xdr:blipFill>
        <a:blip r:embed="rId659" cstate="email"/>
        <a:stretch>
          <a:fillRect/>
        </a:stretch>
      </xdr:blipFill>
      <xdr:spPr>
        <a:xfrm>
          <a:off x="1148080" y="557616995"/>
          <a:ext cx="487680" cy="611505"/>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xdr:cNvPicPr>
          <a:picLocks noChangeAspect="1"/>
        </xdr:cNvPicPr>
      </xdr:nvPicPr>
      <xdr:blipFill>
        <a:blip r:embed="rId660" cstate="email"/>
        <a:stretch>
          <a:fillRect/>
        </a:stretch>
      </xdr:blipFill>
      <xdr:spPr>
        <a:xfrm>
          <a:off x="1064260" y="569681995"/>
          <a:ext cx="527685" cy="611505"/>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xdr:cNvPicPr>
          <a:picLocks noChangeAspect="1"/>
        </xdr:cNvPicPr>
      </xdr:nvPicPr>
      <xdr:blipFill>
        <a:blip r:embed="rId660" cstate="email"/>
        <a:stretch>
          <a:fillRect/>
        </a:stretch>
      </xdr:blipFill>
      <xdr:spPr>
        <a:xfrm>
          <a:off x="1064260" y="570316995"/>
          <a:ext cx="527685" cy="611505"/>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xdr:cNvPicPr>
          <a:picLocks noChangeAspect="1"/>
        </xdr:cNvPicPr>
      </xdr:nvPicPr>
      <xdr:blipFill>
        <a:blip r:embed="rId661" cstate="email"/>
        <a:stretch>
          <a:fillRect/>
        </a:stretch>
      </xdr:blipFill>
      <xdr:spPr>
        <a:xfrm>
          <a:off x="1088390" y="570928500"/>
          <a:ext cx="515620" cy="635000"/>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xdr:cNvPicPr>
          <a:picLocks noChangeAspect="1"/>
        </xdr:cNvPicPr>
      </xdr:nvPicPr>
      <xdr:blipFill>
        <a:blip r:embed="rId662" cstate="email"/>
        <a:stretch>
          <a:fillRect/>
        </a:stretch>
      </xdr:blipFill>
      <xdr:spPr>
        <a:xfrm flipH="1">
          <a:off x="1087755" y="577295645"/>
          <a:ext cx="540385" cy="591185"/>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xdr:cNvPicPr>
          <a:picLocks noChangeAspect="1"/>
        </xdr:cNvPicPr>
      </xdr:nvPicPr>
      <xdr:blipFill>
        <a:blip r:embed="rId663" cstate="email"/>
        <a:stretch>
          <a:fillRect/>
        </a:stretch>
      </xdr:blipFill>
      <xdr:spPr>
        <a:xfrm>
          <a:off x="1064260" y="569046995"/>
          <a:ext cx="571500" cy="611505"/>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xdr:cNvPicPr>
          <a:picLocks noChangeAspect="1"/>
        </xdr:cNvPicPr>
      </xdr:nvPicPr>
      <xdr:blipFill>
        <a:blip r:embed="rId664" cstate="email"/>
        <a:stretch>
          <a:fillRect/>
        </a:stretch>
      </xdr:blipFill>
      <xdr:spPr>
        <a:xfrm>
          <a:off x="1064260" y="572234060"/>
          <a:ext cx="443230" cy="599440"/>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xdr:cNvPicPr>
          <a:picLocks noChangeAspect="1"/>
        </xdr:cNvPicPr>
      </xdr:nvPicPr>
      <xdr:blipFill>
        <a:blip r:embed="rId664" cstate="email"/>
        <a:stretch>
          <a:fillRect/>
        </a:stretch>
      </xdr:blipFill>
      <xdr:spPr>
        <a:xfrm>
          <a:off x="1088390" y="572856995"/>
          <a:ext cx="443230" cy="611505"/>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xdr:cNvPicPr>
          <a:picLocks noChangeAspect="1"/>
        </xdr:cNvPicPr>
      </xdr:nvPicPr>
      <xdr:blipFill>
        <a:blip r:embed="rId664" cstate="email"/>
        <a:stretch>
          <a:fillRect/>
        </a:stretch>
      </xdr:blipFill>
      <xdr:spPr>
        <a:xfrm>
          <a:off x="1100455" y="573516125"/>
          <a:ext cx="443230" cy="587375"/>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xdr:cNvPicPr>
          <a:picLocks noChangeAspect="1"/>
        </xdr:cNvPicPr>
      </xdr:nvPicPr>
      <xdr:blipFill>
        <a:blip r:embed="rId665" cstate="email"/>
        <a:stretch>
          <a:fillRect/>
        </a:stretch>
      </xdr:blipFill>
      <xdr:spPr>
        <a:xfrm>
          <a:off x="1040130" y="574103500"/>
          <a:ext cx="527685" cy="642620"/>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xdr:cNvPicPr>
          <a:picLocks noChangeAspect="1"/>
        </xdr:cNvPicPr>
      </xdr:nvPicPr>
      <xdr:blipFill>
        <a:blip r:embed="rId666" cstate="email"/>
        <a:stretch>
          <a:fillRect/>
        </a:stretch>
      </xdr:blipFill>
      <xdr:spPr>
        <a:xfrm>
          <a:off x="1076325" y="574761995"/>
          <a:ext cx="503555" cy="611505"/>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xdr:cNvPicPr>
          <a:picLocks noChangeAspect="1"/>
        </xdr:cNvPicPr>
      </xdr:nvPicPr>
      <xdr:blipFill>
        <a:blip r:embed="rId667" cstate="email"/>
        <a:stretch>
          <a:fillRect/>
        </a:stretch>
      </xdr:blipFill>
      <xdr:spPr>
        <a:xfrm>
          <a:off x="1064260" y="575396995"/>
          <a:ext cx="474345" cy="611505"/>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xdr:cNvPicPr>
          <a:picLocks noChangeAspect="1"/>
        </xdr:cNvPicPr>
      </xdr:nvPicPr>
      <xdr:blipFill>
        <a:blip r:embed="rId668" cstate="email"/>
        <a:stretch>
          <a:fillRect/>
        </a:stretch>
      </xdr:blipFill>
      <xdr:spPr>
        <a:xfrm>
          <a:off x="1076325" y="576031995"/>
          <a:ext cx="503555" cy="611505"/>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xdr:cNvPicPr>
          <a:picLocks noChangeAspect="1"/>
        </xdr:cNvPicPr>
      </xdr:nvPicPr>
      <xdr:blipFill>
        <a:blip r:embed="rId669" cstate="email"/>
        <a:stretch>
          <a:fillRect/>
        </a:stretch>
      </xdr:blipFill>
      <xdr:spPr>
        <a:xfrm>
          <a:off x="1052195" y="576666995"/>
          <a:ext cx="527685" cy="611505"/>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xdr:cNvPicPr>
          <a:picLocks noChangeAspect="1"/>
        </xdr:cNvPicPr>
      </xdr:nvPicPr>
      <xdr:blipFill>
        <a:blip r:embed="rId670" cstate="email"/>
        <a:stretch>
          <a:fillRect/>
        </a:stretch>
      </xdr:blipFill>
      <xdr:spPr>
        <a:xfrm>
          <a:off x="1112520" y="553783500"/>
          <a:ext cx="523240" cy="63500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xdr:cNvPicPr>
          <a:picLocks noChangeAspect="1"/>
        </xdr:cNvPicPr>
      </xdr:nvPicPr>
      <xdr:blipFill>
        <a:blip r:embed="rId671" cstate="email"/>
        <a:stretch>
          <a:fillRect/>
        </a:stretch>
      </xdr:blipFill>
      <xdr:spPr>
        <a:xfrm>
          <a:off x="1100455" y="555076995"/>
          <a:ext cx="443230" cy="611505"/>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xdr:cNvPicPr>
          <a:picLocks noChangeAspect="1"/>
        </xdr:cNvPicPr>
      </xdr:nvPicPr>
      <xdr:blipFill>
        <a:blip r:embed="rId671" cstate="email"/>
        <a:stretch>
          <a:fillRect/>
        </a:stretch>
      </xdr:blipFill>
      <xdr:spPr>
        <a:xfrm>
          <a:off x="1076325" y="555724060"/>
          <a:ext cx="443230" cy="599440"/>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xdr:cNvPicPr>
          <a:picLocks noChangeAspect="1"/>
        </xdr:cNvPicPr>
      </xdr:nvPicPr>
      <xdr:blipFill>
        <a:blip r:embed="rId672" cstate="email"/>
        <a:stretch>
          <a:fillRect/>
        </a:stretch>
      </xdr:blipFill>
      <xdr:spPr>
        <a:xfrm>
          <a:off x="1100455" y="554429930"/>
          <a:ext cx="527050" cy="6235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xdr:cNvPicPr>
          <a:picLocks noChangeAspect="1"/>
        </xdr:cNvPicPr>
      </xdr:nvPicPr>
      <xdr:blipFill>
        <a:blip r:embed="rId673" cstate="email"/>
        <a:stretch>
          <a:fillRect/>
        </a:stretch>
      </xdr:blipFill>
      <xdr:spPr>
        <a:xfrm>
          <a:off x="1124585" y="558239930"/>
          <a:ext cx="511175" cy="623570"/>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xdr:cNvPicPr>
          <a:picLocks noChangeAspect="1"/>
        </xdr:cNvPicPr>
      </xdr:nvPicPr>
      <xdr:blipFill>
        <a:blip r:embed="rId674" cstate="email"/>
        <a:stretch>
          <a:fillRect/>
        </a:stretch>
      </xdr:blipFill>
      <xdr:spPr>
        <a:xfrm>
          <a:off x="1016635" y="447763900"/>
          <a:ext cx="455295" cy="6096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xdr:cNvPicPr>
          <a:picLocks noChangeAspect="1"/>
        </xdr:cNvPicPr>
      </xdr:nvPicPr>
      <xdr:blipFill>
        <a:blip r:embed="rId675" cstate="email"/>
        <a:stretch>
          <a:fillRect/>
        </a:stretch>
      </xdr:blipFill>
      <xdr:spPr>
        <a:xfrm>
          <a:off x="1101090" y="417929060"/>
          <a:ext cx="467360" cy="599440"/>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xdr:cNvPicPr>
          <a:picLocks noChangeAspect="1"/>
        </xdr:cNvPicPr>
      </xdr:nvPicPr>
      <xdr:blipFill>
        <a:blip r:embed="rId676" cstate="email"/>
        <a:stretch>
          <a:fillRect/>
        </a:stretch>
      </xdr:blipFill>
      <xdr:spPr>
        <a:xfrm>
          <a:off x="1109980" y="577951600"/>
          <a:ext cx="525780" cy="5969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xdr:cNvPicPr>
          <a:picLocks noChangeAspect="1"/>
        </xdr:cNvPicPr>
      </xdr:nvPicPr>
      <xdr:blipFill>
        <a:blip r:embed="rId677" cstate="email"/>
        <a:stretch>
          <a:fillRect/>
        </a:stretch>
      </xdr:blipFill>
      <xdr:spPr>
        <a:xfrm>
          <a:off x="1109980" y="578573900"/>
          <a:ext cx="525780" cy="6096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xdr:cNvPicPr>
          <a:picLocks noChangeAspect="1"/>
        </xdr:cNvPicPr>
      </xdr:nvPicPr>
      <xdr:blipFill>
        <a:blip r:embed="rId678" cstate="email"/>
        <a:stretch>
          <a:fillRect/>
        </a:stretch>
      </xdr:blipFill>
      <xdr:spPr>
        <a:xfrm>
          <a:off x="1071880" y="579208900"/>
          <a:ext cx="533400" cy="6096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xdr:cNvPicPr>
          <a:picLocks noChangeAspect="1"/>
        </xdr:cNvPicPr>
      </xdr:nvPicPr>
      <xdr:blipFill>
        <a:blip r:embed="rId679" cstate="email"/>
        <a:stretch>
          <a:fillRect/>
        </a:stretch>
      </xdr:blipFill>
      <xdr:spPr>
        <a:xfrm>
          <a:off x="1090295" y="396978505"/>
          <a:ext cx="420370" cy="594995"/>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xdr:cNvPicPr>
          <a:picLocks noChangeAspect="1"/>
        </xdr:cNvPicPr>
      </xdr:nvPicPr>
      <xdr:blipFill>
        <a:blip r:embed="rId680" cstate="email"/>
        <a:stretch>
          <a:fillRect/>
        </a:stretch>
      </xdr:blipFill>
      <xdr:spPr>
        <a:xfrm>
          <a:off x="1082040" y="497951760"/>
          <a:ext cx="508635" cy="586740"/>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xdr:cNvPicPr>
          <a:picLocks noChangeAspect="1"/>
        </xdr:cNvPicPr>
      </xdr:nvPicPr>
      <xdr:blipFill>
        <a:blip r:embed="rId681" cstate="email"/>
        <a:stretch>
          <a:fillRect/>
        </a:stretch>
      </xdr:blipFill>
      <xdr:spPr>
        <a:xfrm>
          <a:off x="1098550" y="506182630"/>
          <a:ext cx="505460" cy="610870"/>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xdr:cNvPicPr>
          <a:picLocks noChangeAspect="1"/>
        </xdr:cNvPicPr>
      </xdr:nvPicPr>
      <xdr:blipFill>
        <a:blip r:embed="rId682" cstate="email"/>
        <a:stretch>
          <a:fillRect/>
        </a:stretch>
      </xdr:blipFill>
      <xdr:spPr>
        <a:xfrm>
          <a:off x="1106170" y="543028505"/>
          <a:ext cx="506095" cy="594995"/>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xdr:cNvPicPr>
          <a:picLocks noChangeAspect="1"/>
        </xdr:cNvPicPr>
      </xdr:nvPicPr>
      <xdr:blipFill>
        <a:blip r:embed="rId683" cstate="email"/>
        <a:stretch>
          <a:fillRect/>
        </a:stretch>
      </xdr:blipFill>
      <xdr:spPr>
        <a:xfrm>
          <a:off x="1082040" y="544932235"/>
          <a:ext cx="468630" cy="596265"/>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xdr:cNvPicPr>
          <a:picLocks noChangeAspect="1"/>
        </xdr:cNvPicPr>
      </xdr:nvPicPr>
      <xdr:blipFill>
        <a:blip r:embed="rId683" cstate="email"/>
        <a:stretch>
          <a:fillRect/>
        </a:stretch>
      </xdr:blipFill>
      <xdr:spPr>
        <a:xfrm>
          <a:off x="1070610" y="545574220"/>
          <a:ext cx="468630" cy="589280"/>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xdr:cNvPicPr>
          <a:picLocks noChangeAspect="1"/>
        </xdr:cNvPicPr>
      </xdr:nvPicPr>
      <xdr:blipFill>
        <a:blip r:embed="rId684" cstate="email"/>
        <a:stretch>
          <a:fillRect/>
        </a:stretch>
      </xdr:blipFill>
      <xdr:spPr>
        <a:xfrm>
          <a:off x="1050290" y="546213030"/>
          <a:ext cx="514350" cy="607695"/>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xdr:cNvPicPr>
          <a:picLocks noChangeAspect="1"/>
        </xdr:cNvPicPr>
      </xdr:nvPicPr>
      <xdr:blipFill>
        <a:blip r:embed="rId685" cstate="email"/>
        <a:stretch>
          <a:fillRect/>
        </a:stretch>
      </xdr:blipFill>
      <xdr:spPr>
        <a:xfrm>
          <a:off x="989965" y="548095170"/>
          <a:ext cx="423545" cy="608330"/>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xdr:cNvPicPr>
          <a:picLocks noChangeAspect="1"/>
        </xdr:cNvPicPr>
      </xdr:nvPicPr>
      <xdr:blipFill>
        <a:blip r:embed="rId686" cstate="email"/>
        <a:stretch>
          <a:fillRect/>
        </a:stretch>
      </xdr:blipFill>
      <xdr:spPr>
        <a:xfrm>
          <a:off x="1005205" y="548733345"/>
          <a:ext cx="438150" cy="605155"/>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xdr:cNvPicPr>
          <a:picLocks noChangeAspect="1"/>
        </xdr:cNvPicPr>
      </xdr:nvPicPr>
      <xdr:blipFill>
        <a:blip r:embed="rId687" cstate="email"/>
        <a:stretch>
          <a:fillRect/>
        </a:stretch>
      </xdr:blipFill>
      <xdr:spPr>
        <a:xfrm>
          <a:off x="1005205" y="546862000"/>
          <a:ext cx="483870" cy="574675"/>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xdr:cNvPicPr>
          <a:picLocks noChangeAspect="1"/>
        </xdr:cNvPicPr>
      </xdr:nvPicPr>
      <xdr:blipFill>
        <a:blip r:embed="rId688" cstate="email"/>
        <a:stretch>
          <a:fillRect/>
        </a:stretch>
      </xdr:blipFill>
      <xdr:spPr>
        <a:xfrm>
          <a:off x="1021080" y="547467790"/>
          <a:ext cx="483870" cy="600710"/>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xdr:cNvPicPr>
          <a:picLocks noChangeAspect="1"/>
        </xdr:cNvPicPr>
      </xdr:nvPicPr>
      <xdr:blipFill>
        <a:blip r:embed="rId689" cstate="email"/>
        <a:stretch>
          <a:fillRect/>
        </a:stretch>
      </xdr:blipFill>
      <xdr:spPr>
        <a:xfrm>
          <a:off x="1020445" y="549375965"/>
          <a:ext cx="407670" cy="597535"/>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xdr:cNvPicPr>
          <a:picLocks noChangeAspect="1"/>
        </xdr:cNvPicPr>
      </xdr:nvPicPr>
      <xdr:blipFill>
        <a:blip r:embed="rId690" cstate="email"/>
        <a:stretch>
          <a:fillRect/>
        </a:stretch>
      </xdr:blipFill>
      <xdr:spPr>
        <a:xfrm>
          <a:off x="1020445" y="550003345"/>
          <a:ext cx="503555" cy="605155"/>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xdr:cNvPicPr>
          <a:picLocks noChangeAspect="1"/>
        </xdr:cNvPicPr>
      </xdr:nvPicPr>
      <xdr:blipFill>
        <a:blip r:embed="rId691" cstate="email"/>
        <a:stretch>
          <a:fillRect/>
        </a:stretch>
      </xdr:blipFill>
      <xdr:spPr>
        <a:xfrm>
          <a:off x="1065530" y="551273345"/>
          <a:ext cx="514350" cy="605155"/>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xdr:cNvPicPr>
          <a:picLocks noChangeAspect="1"/>
        </xdr:cNvPicPr>
      </xdr:nvPicPr>
      <xdr:blipFill>
        <a:blip r:embed="rId692" cstate="email"/>
        <a:stretch>
          <a:fillRect/>
        </a:stretch>
      </xdr:blipFill>
      <xdr:spPr>
        <a:xfrm>
          <a:off x="1124585" y="388099300"/>
          <a:ext cx="474980" cy="589280"/>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xdr:cNvPicPr>
          <a:picLocks noChangeAspect="1"/>
        </xdr:cNvPicPr>
      </xdr:nvPicPr>
      <xdr:blipFill>
        <a:blip r:embed="rId693" cstate="email"/>
        <a:stretch>
          <a:fillRect/>
        </a:stretch>
      </xdr:blipFill>
      <xdr:spPr>
        <a:xfrm>
          <a:off x="1029335" y="389347075"/>
          <a:ext cx="508000" cy="606425"/>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xdr:cNvPicPr>
          <a:picLocks noChangeAspect="1"/>
        </xdr:cNvPicPr>
      </xdr:nvPicPr>
      <xdr:blipFill>
        <a:blip r:embed="rId694" cstate="email"/>
        <a:stretch>
          <a:fillRect/>
        </a:stretch>
      </xdr:blipFill>
      <xdr:spPr>
        <a:xfrm>
          <a:off x="1113790" y="419815010"/>
          <a:ext cx="467360" cy="618490"/>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xdr:cNvPicPr>
          <a:picLocks noChangeAspect="1"/>
        </xdr:cNvPicPr>
      </xdr:nvPicPr>
      <xdr:blipFill>
        <a:blip r:embed="rId695" cstate="email"/>
        <a:stretch>
          <a:fillRect/>
        </a:stretch>
      </xdr:blipFill>
      <xdr:spPr>
        <a:xfrm>
          <a:off x="1080135" y="434465730"/>
          <a:ext cx="440055" cy="572770"/>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xdr:cNvPicPr>
          <a:picLocks noChangeAspect="1"/>
        </xdr:cNvPicPr>
      </xdr:nvPicPr>
      <xdr:blipFill>
        <a:blip r:embed="rId696" cstate="email"/>
        <a:stretch>
          <a:fillRect/>
        </a:stretch>
      </xdr:blipFill>
      <xdr:spPr>
        <a:xfrm>
          <a:off x="1097280" y="464900010"/>
          <a:ext cx="521335" cy="618490"/>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xdr:cNvPicPr>
          <a:picLocks noChangeAspect="1"/>
        </xdr:cNvPicPr>
      </xdr:nvPicPr>
      <xdr:blipFill>
        <a:blip r:embed="rId697" cstate="email"/>
        <a:stretch>
          <a:fillRect/>
        </a:stretch>
      </xdr:blipFill>
      <xdr:spPr>
        <a:xfrm>
          <a:off x="1165860" y="579853425"/>
          <a:ext cx="419735" cy="600075"/>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xdr:cNvPicPr>
          <a:picLocks noChangeAspect="1"/>
        </xdr:cNvPicPr>
      </xdr:nvPicPr>
      <xdr:blipFill>
        <a:blip r:embed="rId698" cstate="email"/>
        <a:stretch>
          <a:fillRect/>
        </a:stretch>
      </xdr:blipFill>
      <xdr:spPr>
        <a:xfrm>
          <a:off x="1026160" y="580464930"/>
          <a:ext cx="582295" cy="623570"/>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xdr:cNvPicPr>
          <a:picLocks noChangeAspect="1"/>
        </xdr:cNvPicPr>
      </xdr:nvPicPr>
      <xdr:blipFill>
        <a:blip r:embed="rId699" cstate="email"/>
        <a:stretch>
          <a:fillRect/>
        </a:stretch>
      </xdr:blipFill>
      <xdr:spPr>
        <a:xfrm>
          <a:off x="1026160" y="581123425"/>
          <a:ext cx="483870" cy="600075"/>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xdr:cNvPicPr>
          <a:picLocks noChangeAspect="1"/>
        </xdr:cNvPicPr>
      </xdr:nvPicPr>
      <xdr:blipFill>
        <a:blip r:embed="rId699" cstate="email"/>
        <a:stretch>
          <a:fillRect/>
        </a:stretch>
      </xdr:blipFill>
      <xdr:spPr>
        <a:xfrm>
          <a:off x="1049655" y="581758425"/>
          <a:ext cx="483870" cy="600075"/>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xdr:cNvPicPr>
          <a:picLocks noChangeAspect="1"/>
        </xdr:cNvPicPr>
      </xdr:nvPicPr>
      <xdr:blipFill>
        <a:blip r:embed="rId700" cstate="email"/>
        <a:stretch>
          <a:fillRect/>
        </a:stretch>
      </xdr:blipFill>
      <xdr:spPr>
        <a:xfrm>
          <a:off x="1049655" y="582381360"/>
          <a:ext cx="535305" cy="612140"/>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xdr:cNvPicPr>
          <a:picLocks noChangeAspect="1"/>
        </xdr:cNvPicPr>
      </xdr:nvPicPr>
      <xdr:blipFill>
        <a:blip r:embed="rId701" cstate="email"/>
        <a:stretch>
          <a:fillRect/>
        </a:stretch>
      </xdr:blipFill>
      <xdr:spPr>
        <a:xfrm>
          <a:off x="967740" y="583016360"/>
          <a:ext cx="477520" cy="612140"/>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xdr:cNvPicPr>
          <a:picLocks noChangeAspect="1"/>
        </xdr:cNvPicPr>
      </xdr:nvPicPr>
      <xdr:blipFill>
        <a:blip r:embed="rId702" cstate="email"/>
        <a:stretch>
          <a:fillRect/>
        </a:stretch>
      </xdr:blipFill>
      <xdr:spPr>
        <a:xfrm>
          <a:off x="944880" y="583628500"/>
          <a:ext cx="477520" cy="635000"/>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xdr:cNvPicPr>
          <a:picLocks noChangeAspect="1"/>
        </xdr:cNvPicPr>
      </xdr:nvPicPr>
      <xdr:blipFill>
        <a:blip r:embed="rId703" cstate="email"/>
        <a:stretch>
          <a:fillRect/>
        </a:stretch>
      </xdr:blipFill>
      <xdr:spPr>
        <a:xfrm>
          <a:off x="958215" y="584963270"/>
          <a:ext cx="677545" cy="535305"/>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xdr:cNvPicPr>
          <a:picLocks noChangeAspect="1"/>
        </xdr:cNvPicPr>
      </xdr:nvPicPr>
      <xdr:blipFill>
        <a:blip r:embed="rId702" cstate="email"/>
        <a:stretch>
          <a:fillRect/>
        </a:stretch>
      </xdr:blipFill>
      <xdr:spPr>
        <a:xfrm>
          <a:off x="944880" y="584263500"/>
          <a:ext cx="477520" cy="635000"/>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xdr:cNvPicPr>
          <a:picLocks noChangeAspect="1"/>
        </xdr:cNvPicPr>
      </xdr:nvPicPr>
      <xdr:blipFill>
        <a:blip r:embed="rId704" cstate="email"/>
        <a:stretch>
          <a:fillRect/>
        </a:stretch>
      </xdr:blipFill>
      <xdr:spPr>
        <a:xfrm>
          <a:off x="991235" y="547433500"/>
          <a:ext cx="72390"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xdr:cNvPicPr>
          <a:picLocks noChangeAspect="1"/>
        </xdr:cNvPicPr>
      </xdr:nvPicPr>
      <xdr:blipFill>
        <a:blip r:embed="rId705" cstate="email"/>
        <a:stretch>
          <a:fillRect/>
        </a:stretch>
      </xdr:blipFill>
      <xdr:spPr>
        <a:xfrm>
          <a:off x="1030605" y="586206600"/>
          <a:ext cx="507365" cy="567690"/>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xdr:cNvPicPr>
          <a:picLocks noChangeAspect="1"/>
        </xdr:cNvPicPr>
      </xdr:nvPicPr>
      <xdr:blipFill>
        <a:blip r:embed="rId706" cstate="email"/>
        <a:stretch>
          <a:fillRect/>
        </a:stretch>
      </xdr:blipFill>
      <xdr:spPr>
        <a:xfrm>
          <a:off x="979805" y="586838425"/>
          <a:ext cx="655955" cy="600075"/>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xdr:cNvPicPr>
          <a:picLocks noChangeAspect="1"/>
        </xdr:cNvPicPr>
      </xdr:nvPicPr>
      <xdr:blipFill>
        <a:blip r:embed="rId707" cstate="email"/>
        <a:stretch>
          <a:fillRect/>
        </a:stretch>
      </xdr:blipFill>
      <xdr:spPr>
        <a:xfrm>
          <a:off x="967740" y="587445485"/>
          <a:ext cx="629285" cy="605155"/>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xdr:cNvPicPr>
          <a:picLocks noChangeAspect="1"/>
        </xdr:cNvPicPr>
      </xdr:nvPicPr>
      <xdr:blipFill>
        <a:blip r:embed="rId708" cstate="email"/>
        <a:stretch>
          <a:fillRect/>
        </a:stretch>
      </xdr:blipFill>
      <xdr:spPr>
        <a:xfrm>
          <a:off x="979805" y="588108425"/>
          <a:ext cx="593725" cy="600075"/>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xdr:cNvPicPr>
          <a:picLocks noChangeAspect="1"/>
        </xdr:cNvPicPr>
      </xdr:nvPicPr>
      <xdr:blipFill>
        <a:blip r:embed="rId709" cstate="email"/>
        <a:stretch>
          <a:fillRect/>
        </a:stretch>
      </xdr:blipFill>
      <xdr:spPr>
        <a:xfrm>
          <a:off x="979805" y="588743425"/>
          <a:ext cx="630555" cy="600075"/>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xdr:cNvPicPr>
          <a:picLocks noChangeAspect="1"/>
        </xdr:cNvPicPr>
      </xdr:nvPicPr>
      <xdr:blipFill>
        <a:blip r:embed="rId710" cstate="email"/>
        <a:stretch>
          <a:fillRect/>
        </a:stretch>
      </xdr:blipFill>
      <xdr:spPr>
        <a:xfrm>
          <a:off x="979805" y="589378425"/>
          <a:ext cx="617220" cy="600075"/>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xdr:cNvPicPr>
          <a:picLocks noChangeAspect="1"/>
        </xdr:cNvPicPr>
      </xdr:nvPicPr>
      <xdr:blipFill>
        <a:blip r:embed="rId711" cstate="email"/>
        <a:stretch>
          <a:fillRect/>
        </a:stretch>
      </xdr:blipFill>
      <xdr:spPr>
        <a:xfrm>
          <a:off x="979805" y="590013425"/>
          <a:ext cx="593725" cy="600075"/>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xdr:cNvPicPr>
          <a:picLocks noChangeAspect="1"/>
        </xdr:cNvPicPr>
      </xdr:nvPicPr>
      <xdr:blipFill>
        <a:blip r:embed="rId712" cstate="email"/>
        <a:stretch>
          <a:fillRect/>
        </a:stretch>
      </xdr:blipFill>
      <xdr:spPr>
        <a:xfrm>
          <a:off x="979805" y="592553425"/>
          <a:ext cx="617220" cy="600075"/>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xdr:cNvPicPr>
          <a:picLocks noChangeAspect="1"/>
        </xdr:cNvPicPr>
      </xdr:nvPicPr>
      <xdr:blipFill>
        <a:blip r:embed="rId713" cstate="email"/>
        <a:stretch>
          <a:fillRect/>
        </a:stretch>
      </xdr:blipFill>
      <xdr:spPr>
        <a:xfrm>
          <a:off x="944880" y="593153500"/>
          <a:ext cx="617220" cy="635000"/>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xdr:cNvPicPr>
          <a:picLocks noChangeAspect="1"/>
        </xdr:cNvPicPr>
      </xdr:nvPicPr>
      <xdr:blipFill>
        <a:blip r:embed="rId714" cstate="email"/>
        <a:stretch>
          <a:fillRect/>
        </a:stretch>
      </xdr:blipFill>
      <xdr:spPr>
        <a:xfrm>
          <a:off x="1014730" y="591283425"/>
          <a:ext cx="593725" cy="600075"/>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xdr:cNvPicPr>
          <a:picLocks noChangeAspect="1"/>
        </xdr:cNvPicPr>
      </xdr:nvPicPr>
      <xdr:blipFill>
        <a:blip r:embed="rId714" cstate="email"/>
        <a:stretch>
          <a:fillRect/>
        </a:stretch>
      </xdr:blipFill>
      <xdr:spPr>
        <a:xfrm>
          <a:off x="944880" y="591883500"/>
          <a:ext cx="593725" cy="63500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xdr:cNvPicPr>
          <a:picLocks noChangeAspect="1"/>
        </xdr:cNvPicPr>
      </xdr:nvPicPr>
      <xdr:blipFill>
        <a:blip r:embed="rId715" cstate="email"/>
        <a:stretch>
          <a:fillRect/>
        </a:stretch>
      </xdr:blipFill>
      <xdr:spPr>
        <a:xfrm>
          <a:off x="956310" y="593788500"/>
          <a:ext cx="640715" cy="635000"/>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xdr:cNvPicPr>
          <a:picLocks noChangeAspect="1"/>
        </xdr:cNvPicPr>
      </xdr:nvPicPr>
      <xdr:blipFill>
        <a:blip r:embed="rId716" cstate="email"/>
        <a:stretch>
          <a:fillRect/>
        </a:stretch>
      </xdr:blipFill>
      <xdr:spPr>
        <a:xfrm>
          <a:off x="969010" y="594459060"/>
          <a:ext cx="640715" cy="600710"/>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xdr:cNvPicPr>
          <a:picLocks noChangeAspect="1"/>
        </xdr:cNvPicPr>
      </xdr:nvPicPr>
      <xdr:blipFill>
        <a:blip r:embed="rId716" cstate="email"/>
        <a:stretch>
          <a:fillRect/>
        </a:stretch>
      </xdr:blipFill>
      <xdr:spPr>
        <a:xfrm>
          <a:off x="981075" y="595106760"/>
          <a:ext cx="641350" cy="600710"/>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xdr:cNvPicPr>
          <a:picLocks noChangeAspect="1"/>
        </xdr:cNvPicPr>
      </xdr:nvPicPr>
      <xdr:blipFill>
        <a:blip r:embed="rId717" cstate="email"/>
        <a:stretch>
          <a:fillRect/>
        </a:stretch>
      </xdr:blipFill>
      <xdr:spPr>
        <a:xfrm>
          <a:off x="991235" y="595739855"/>
          <a:ext cx="640715" cy="588645"/>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xdr:cNvPicPr>
          <a:picLocks noChangeAspect="1"/>
        </xdr:cNvPicPr>
      </xdr:nvPicPr>
      <xdr:blipFill>
        <a:blip r:embed="rId718" cstate="email"/>
        <a:stretch>
          <a:fillRect/>
        </a:stretch>
      </xdr:blipFill>
      <xdr:spPr>
        <a:xfrm>
          <a:off x="1002665" y="598268425"/>
          <a:ext cx="518160" cy="600075"/>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xdr:cNvPicPr>
          <a:picLocks noChangeAspect="1"/>
        </xdr:cNvPicPr>
      </xdr:nvPicPr>
      <xdr:blipFill>
        <a:blip r:embed="rId719" cstate="email"/>
        <a:stretch>
          <a:fillRect/>
        </a:stretch>
      </xdr:blipFill>
      <xdr:spPr>
        <a:xfrm>
          <a:off x="979805" y="598879930"/>
          <a:ext cx="622935" cy="623570"/>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xdr:cNvPicPr>
          <a:picLocks noChangeAspect="1"/>
        </xdr:cNvPicPr>
      </xdr:nvPicPr>
      <xdr:blipFill>
        <a:blip r:embed="rId720" cstate="email"/>
        <a:stretch>
          <a:fillRect/>
        </a:stretch>
      </xdr:blipFill>
      <xdr:spPr>
        <a:xfrm>
          <a:off x="991235" y="599538425"/>
          <a:ext cx="606425" cy="600075"/>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xdr:cNvPicPr>
          <a:picLocks noChangeAspect="1"/>
        </xdr:cNvPicPr>
      </xdr:nvPicPr>
      <xdr:blipFill>
        <a:blip r:embed="rId721" cstate="email"/>
        <a:stretch>
          <a:fillRect/>
        </a:stretch>
      </xdr:blipFill>
      <xdr:spPr>
        <a:xfrm>
          <a:off x="979805" y="600184855"/>
          <a:ext cx="655955" cy="60579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xdr:cNvPicPr>
          <a:picLocks noChangeAspect="1"/>
        </xdr:cNvPicPr>
      </xdr:nvPicPr>
      <xdr:blipFill>
        <a:blip r:embed="rId722" cstate="email"/>
        <a:stretch>
          <a:fillRect/>
        </a:stretch>
      </xdr:blipFill>
      <xdr:spPr>
        <a:xfrm>
          <a:off x="1002665" y="600831285"/>
          <a:ext cx="594360" cy="577215"/>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xdr:cNvPicPr>
          <a:picLocks noChangeAspect="1"/>
        </xdr:cNvPicPr>
      </xdr:nvPicPr>
      <xdr:blipFill>
        <a:blip r:embed="rId723" cstate="email"/>
        <a:stretch>
          <a:fillRect/>
        </a:stretch>
      </xdr:blipFill>
      <xdr:spPr>
        <a:xfrm>
          <a:off x="967740" y="601443425"/>
          <a:ext cx="668020" cy="600075"/>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xdr:cNvPicPr>
          <a:picLocks noChangeAspect="1"/>
        </xdr:cNvPicPr>
      </xdr:nvPicPr>
      <xdr:blipFill>
        <a:blip r:embed="rId724" cstate="email"/>
        <a:stretch>
          <a:fillRect/>
        </a:stretch>
      </xdr:blipFill>
      <xdr:spPr>
        <a:xfrm>
          <a:off x="956310" y="602043500"/>
          <a:ext cx="679450" cy="632460"/>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xdr:cNvPicPr>
          <a:picLocks noChangeAspect="1"/>
        </xdr:cNvPicPr>
      </xdr:nvPicPr>
      <xdr:blipFill>
        <a:blip r:embed="rId725" cstate="email"/>
        <a:stretch>
          <a:fillRect/>
        </a:stretch>
      </xdr:blipFill>
      <xdr:spPr>
        <a:xfrm>
          <a:off x="979805" y="602713425"/>
          <a:ext cx="655955" cy="600075"/>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xdr:cNvPicPr>
          <a:picLocks noChangeAspect="1"/>
        </xdr:cNvPicPr>
      </xdr:nvPicPr>
      <xdr:blipFill>
        <a:blip r:embed="rId726" cstate="email"/>
        <a:stretch>
          <a:fillRect/>
        </a:stretch>
      </xdr:blipFill>
      <xdr:spPr>
        <a:xfrm>
          <a:off x="991235" y="603359855"/>
          <a:ext cx="644525" cy="588645"/>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xdr:cNvPicPr>
          <a:picLocks noChangeAspect="1"/>
        </xdr:cNvPicPr>
      </xdr:nvPicPr>
      <xdr:blipFill>
        <a:blip r:embed="rId727" cstate="email"/>
        <a:stretch>
          <a:fillRect/>
        </a:stretch>
      </xdr:blipFill>
      <xdr:spPr>
        <a:xfrm>
          <a:off x="979805" y="603971360"/>
          <a:ext cx="655955" cy="612140"/>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xdr:cNvPicPr>
          <a:picLocks noChangeAspect="1"/>
        </xdr:cNvPicPr>
      </xdr:nvPicPr>
      <xdr:blipFill>
        <a:blip r:embed="rId728" cstate="email"/>
        <a:stretch>
          <a:fillRect/>
        </a:stretch>
      </xdr:blipFill>
      <xdr:spPr>
        <a:xfrm>
          <a:off x="979805" y="604618425"/>
          <a:ext cx="655955" cy="600075"/>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xdr:cNvPicPr>
          <a:picLocks noChangeAspect="1"/>
        </xdr:cNvPicPr>
      </xdr:nvPicPr>
      <xdr:blipFill>
        <a:blip r:embed="rId729" cstate="email"/>
        <a:stretch>
          <a:fillRect/>
        </a:stretch>
      </xdr:blipFill>
      <xdr:spPr>
        <a:xfrm>
          <a:off x="979805" y="605253425"/>
          <a:ext cx="655955" cy="600075"/>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xdr:cNvPicPr>
          <a:picLocks noChangeAspect="1"/>
        </xdr:cNvPicPr>
      </xdr:nvPicPr>
      <xdr:blipFill>
        <a:blip r:embed="rId730" cstate="email"/>
        <a:stretch>
          <a:fillRect/>
        </a:stretch>
      </xdr:blipFill>
      <xdr:spPr>
        <a:xfrm>
          <a:off x="991235" y="605888425"/>
          <a:ext cx="477520" cy="600075"/>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xdr:cNvPicPr>
          <a:picLocks noChangeAspect="1"/>
        </xdr:cNvPicPr>
      </xdr:nvPicPr>
      <xdr:blipFill>
        <a:blip r:embed="rId731" cstate="email"/>
        <a:stretch>
          <a:fillRect/>
        </a:stretch>
      </xdr:blipFill>
      <xdr:spPr>
        <a:xfrm>
          <a:off x="991235" y="606534855"/>
          <a:ext cx="477520" cy="588645"/>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xdr:cNvPicPr>
          <a:picLocks noChangeAspect="1"/>
        </xdr:cNvPicPr>
      </xdr:nvPicPr>
      <xdr:blipFill>
        <a:blip r:embed="rId732" cstate="email"/>
        <a:stretch>
          <a:fillRect/>
        </a:stretch>
      </xdr:blipFill>
      <xdr:spPr>
        <a:xfrm>
          <a:off x="1049655" y="610333425"/>
          <a:ext cx="454025" cy="600075"/>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xdr:cNvPicPr>
          <a:picLocks noChangeAspect="1"/>
        </xdr:cNvPicPr>
      </xdr:nvPicPr>
      <xdr:blipFill>
        <a:blip r:embed="rId733" cstate="email"/>
        <a:stretch>
          <a:fillRect/>
        </a:stretch>
      </xdr:blipFill>
      <xdr:spPr>
        <a:xfrm>
          <a:off x="1084580" y="610968425"/>
          <a:ext cx="431800" cy="600075"/>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xdr:cNvPicPr>
          <a:picLocks noChangeAspect="1"/>
        </xdr:cNvPicPr>
      </xdr:nvPicPr>
      <xdr:blipFill>
        <a:blip r:embed="rId733" cstate="email"/>
        <a:stretch>
          <a:fillRect/>
        </a:stretch>
      </xdr:blipFill>
      <xdr:spPr>
        <a:xfrm>
          <a:off x="1084580" y="611614855"/>
          <a:ext cx="431800" cy="588645"/>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xdr:cNvPicPr>
          <a:picLocks noChangeAspect="1"/>
        </xdr:cNvPicPr>
      </xdr:nvPicPr>
      <xdr:blipFill>
        <a:blip r:embed="rId734" cstate="email"/>
        <a:stretch>
          <a:fillRect/>
        </a:stretch>
      </xdr:blipFill>
      <xdr:spPr>
        <a:xfrm>
          <a:off x="1072515" y="612238425"/>
          <a:ext cx="457200" cy="600075"/>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xdr:cNvPicPr>
          <a:picLocks noChangeAspect="1"/>
        </xdr:cNvPicPr>
      </xdr:nvPicPr>
      <xdr:blipFill>
        <a:blip r:embed="rId735" cstate="email"/>
        <a:stretch>
          <a:fillRect/>
        </a:stretch>
      </xdr:blipFill>
      <xdr:spPr>
        <a:xfrm>
          <a:off x="1002665" y="607769930"/>
          <a:ext cx="444500" cy="623570"/>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xdr:cNvPicPr>
          <a:picLocks noChangeAspect="1"/>
        </xdr:cNvPicPr>
      </xdr:nvPicPr>
      <xdr:blipFill>
        <a:blip r:embed="rId736" cstate="email"/>
        <a:stretch>
          <a:fillRect/>
        </a:stretch>
      </xdr:blipFill>
      <xdr:spPr>
        <a:xfrm>
          <a:off x="1037590" y="608416360"/>
          <a:ext cx="444500" cy="612140"/>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xdr:cNvPicPr>
          <a:picLocks noChangeAspect="1"/>
        </xdr:cNvPicPr>
      </xdr:nvPicPr>
      <xdr:blipFill>
        <a:blip r:embed="rId735" cstate="email"/>
        <a:stretch>
          <a:fillRect/>
        </a:stretch>
      </xdr:blipFill>
      <xdr:spPr>
        <a:xfrm>
          <a:off x="1049655" y="609039930"/>
          <a:ext cx="444500" cy="623570"/>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xdr:cNvPicPr>
          <a:picLocks noChangeAspect="1"/>
        </xdr:cNvPicPr>
      </xdr:nvPicPr>
      <xdr:blipFill>
        <a:blip r:embed="rId736" cstate="email"/>
        <a:stretch>
          <a:fillRect/>
        </a:stretch>
      </xdr:blipFill>
      <xdr:spPr>
        <a:xfrm>
          <a:off x="1038860" y="609687630"/>
          <a:ext cx="444500" cy="610870"/>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xdr:cNvPicPr>
          <a:picLocks noChangeAspect="1"/>
        </xdr:cNvPicPr>
      </xdr:nvPicPr>
      <xdr:blipFill>
        <a:blip r:embed="rId737" cstate="email"/>
        <a:stretch>
          <a:fillRect/>
        </a:stretch>
      </xdr:blipFill>
      <xdr:spPr>
        <a:xfrm>
          <a:off x="1014730" y="607169855"/>
          <a:ext cx="477520" cy="592455"/>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xdr:cNvPicPr>
          <a:picLocks noChangeAspect="1"/>
        </xdr:cNvPicPr>
      </xdr:nvPicPr>
      <xdr:blipFill>
        <a:blip r:embed="rId738" cstate="email"/>
        <a:stretch>
          <a:fillRect/>
        </a:stretch>
      </xdr:blipFill>
      <xdr:spPr>
        <a:xfrm>
          <a:off x="1035050" y="597610565"/>
          <a:ext cx="476250" cy="622935"/>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xdr:cNvPicPr>
          <a:picLocks noChangeAspect="1"/>
        </xdr:cNvPicPr>
      </xdr:nvPicPr>
      <xdr:blipFill>
        <a:blip r:embed="rId739" cstate="email"/>
        <a:stretch>
          <a:fillRect/>
        </a:stretch>
      </xdr:blipFill>
      <xdr:spPr>
        <a:xfrm>
          <a:off x="1080770" y="597008585"/>
          <a:ext cx="408305" cy="612140"/>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xdr:cNvPicPr>
          <a:picLocks noChangeAspect="1"/>
        </xdr:cNvPicPr>
      </xdr:nvPicPr>
      <xdr:blipFill>
        <a:blip r:embed="rId740" cstate="email"/>
        <a:stretch>
          <a:fillRect/>
        </a:stretch>
      </xdr:blipFill>
      <xdr:spPr>
        <a:xfrm>
          <a:off x="1012825" y="612872790"/>
          <a:ext cx="514350" cy="600710"/>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xdr:cNvPicPr>
          <a:picLocks noChangeAspect="1"/>
        </xdr:cNvPicPr>
      </xdr:nvPicPr>
      <xdr:blipFill>
        <a:blip r:embed="rId741" cstate="email"/>
        <a:stretch>
          <a:fillRect/>
        </a:stretch>
      </xdr:blipFill>
      <xdr:spPr>
        <a:xfrm>
          <a:off x="1090295" y="623644930"/>
          <a:ext cx="509905" cy="623570"/>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xdr:cNvPicPr>
          <a:picLocks noChangeAspect="1"/>
        </xdr:cNvPicPr>
      </xdr:nvPicPr>
      <xdr:blipFill>
        <a:blip r:embed="rId742" cstate="email"/>
        <a:stretch>
          <a:fillRect/>
        </a:stretch>
      </xdr:blipFill>
      <xdr:spPr>
        <a:xfrm>
          <a:off x="1109345" y="508110490"/>
          <a:ext cx="473710" cy="588010"/>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xdr:cNvPicPr>
          <a:picLocks noChangeAspect="1"/>
        </xdr:cNvPicPr>
      </xdr:nvPicPr>
      <xdr:blipFill>
        <a:blip r:embed="rId556" cstate="email"/>
        <a:stretch>
          <a:fillRect/>
        </a:stretch>
      </xdr:blipFill>
      <xdr:spPr>
        <a:xfrm>
          <a:off x="1195705" y="536680410"/>
          <a:ext cx="440055" cy="593090"/>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xdr:cNvPicPr>
          <a:picLocks noChangeAspect="1"/>
        </xdr:cNvPicPr>
      </xdr:nvPicPr>
      <xdr:blipFill>
        <a:blip r:embed="rId556" cstate="email"/>
        <a:stretch>
          <a:fillRect/>
        </a:stretch>
      </xdr:blipFill>
      <xdr:spPr>
        <a:xfrm>
          <a:off x="1195705" y="643995410"/>
          <a:ext cx="440055" cy="593090"/>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xdr:cNvPicPr>
          <a:picLocks noChangeAspect="1"/>
        </xdr:cNvPicPr>
      </xdr:nvPicPr>
      <xdr:blipFill>
        <a:blip r:embed="rId556" cstate="email"/>
        <a:stretch>
          <a:fillRect/>
        </a:stretch>
      </xdr:blipFill>
      <xdr:spPr>
        <a:xfrm>
          <a:off x="1195705" y="643995410"/>
          <a:ext cx="440055" cy="593090"/>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xdr:cNvPicPr>
          <a:picLocks noChangeAspect="1"/>
        </xdr:cNvPicPr>
      </xdr:nvPicPr>
      <xdr:blipFill>
        <a:blip r:embed="rId743" cstate="email"/>
        <a:stretch>
          <a:fillRect/>
        </a:stretch>
      </xdr:blipFill>
      <xdr:spPr>
        <a:xfrm>
          <a:off x="1101725" y="541134300"/>
          <a:ext cx="414020" cy="584200"/>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xdr:cNvPicPr>
          <a:picLocks noChangeAspect="1"/>
        </xdr:cNvPicPr>
      </xdr:nvPicPr>
      <xdr:blipFill>
        <a:blip r:embed="rId744" cstate="email"/>
        <a:stretch>
          <a:fillRect/>
        </a:stretch>
      </xdr:blipFill>
      <xdr:spPr>
        <a:xfrm>
          <a:off x="1051560" y="644634855"/>
          <a:ext cx="584200" cy="588645"/>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xdr:cNvPicPr>
          <a:picLocks noChangeAspect="1"/>
        </xdr:cNvPicPr>
      </xdr:nvPicPr>
      <xdr:blipFill>
        <a:blip r:embed="rId642" cstate="email"/>
        <a:stretch>
          <a:fillRect/>
        </a:stretch>
      </xdr:blipFill>
      <xdr:spPr>
        <a:xfrm>
          <a:off x="1158240" y="559530250"/>
          <a:ext cx="450215" cy="603250"/>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xdr:cNvPicPr>
          <a:picLocks noChangeAspect="1"/>
        </xdr:cNvPicPr>
      </xdr:nvPicPr>
      <xdr:blipFill>
        <a:blip r:embed="rId684" cstate="email"/>
        <a:stretch>
          <a:fillRect/>
        </a:stretch>
      </xdr:blipFill>
      <xdr:spPr>
        <a:xfrm>
          <a:off x="1050290" y="647813030"/>
          <a:ext cx="514350" cy="607695"/>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xdr:cNvPicPr>
          <a:picLocks noChangeAspect="1"/>
        </xdr:cNvPicPr>
      </xdr:nvPicPr>
      <xdr:blipFill>
        <a:blip r:embed="rId745" cstate="email"/>
        <a:stretch>
          <a:fillRect/>
        </a:stretch>
      </xdr:blipFill>
      <xdr:spPr>
        <a:xfrm>
          <a:off x="1036320" y="650999460"/>
          <a:ext cx="599440"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xdr:cNvPicPr>
          <a:picLocks noChangeAspect="1"/>
        </xdr:cNvPicPr>
      </xdr:nvPicPr>
      <xdr:blipFill>
        <a:blip r:embed="rId746" cstate="email"/>
        <a:stretch>
          <a:fillRect/>
        </a:stretch>
      </xdr:blipFill>
      <xdr:spPr>
        <a:xfrm>
          <a:off x="1097280" y="651624300"/>
          <a:ext cx="538480" cy="584200"/>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xdr:cNvPicPr>
          <a:picLocks noChangeAspect="1"/>
        </xdr:cNvPicPr>
      </xdr:nvPicPr>
      <xdr:blipFill>
        <a:blip r:embed="rId747" cstate="email"/>
        <a:stretch>
          <a:fillRect/>
        </a:stretch>
      </xdr:blipFill>
      <xdr:spPr>
        <a:xfrm>
          <a:off x="1084580" y="652246600"/>
          <a:ext cx="551180" cy="596900"/>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xdr:cNvPicPr>
          <a:picLocks noChangeAspect="1"/>
        </xdr:cNvPicPr>
      </xdr:nvPicPr>
      <xdr:blipFill>
        <a:blip r:embed="rId748" cstate="email"/>
        <a:stretch>
          <a:fillRect/>
        </a:stretch>
      </xdr:blipFill>
      <xdr:spPr>
        <a:xfrm>
          <a:off x="995680" y="652878425"/>
          <a:ext cx="640080" cy="600075"/>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xdr:cNvPicPr>
          <a:picLocks noChangeAspect="1"/>
        </xdr:cNvPicPr>
      </xdr:nvPicPr>
      <xdr:blipFill>
        <a:blip r:embed="rId749" cstate="email"/>
        <a:stretch>
          <a:fillRect/>
        </a:stretch>
      </xdr:blipFill>
      <xdr:spPr>
        <a:xfrm>
          <a:off x="1020445" y="653515965"/>
          <a:ext cx="615315" cy="597535"/>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xdr:cNvPicPr>
          <a:picLocks noChangeAspect="1"/>
        </xdr:cNvPicPr>
      </xdr:nvPicPr>
      <xdr:blipFill>
        <a:blip r:embed="rId750" cstate="email"/>
        <a:stretch>
          <a:fillRect/>
        </a:stretch>
      </xdr:blipFill>
      <xdr:spPr>
        <a:xfrm flipH="1">
          <a:off x="1092835" y="654156045"/>
          <a:ext cx="451485" cy="621030"/>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xdr:cNvPicPr>
          <a:picLocks noChangeAspect="1"/>
        </xdr:cNvPicPr>
      </xdr:nvPicPr>
      <xdr:blipFill>
        <a:blip r:embed="rId751" cstate="email"/>
        <a:stretch>
          <a:fillRect/>
        </a:stretch>
      </xdr:blipFill>
      <xdr:spPr>
        <a:xfrm flipH="1">
          <a:off x="1078865" y="654786600"/>
          <a:ext cx="556895" cy="620395"/>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xdr:cNvPicPr>
          <a:picLocks noChangeAspect="1"/>
        </xdr:cNvPicPr>
      </xdr:nvPicPr>
      <xdr:blipFill>
        <a:blip r:embed="rId752" cstate="email"/>
        <a:stretch>
          <a:fillRect/>
        </a:stretch>
      </xdr:blipFill>
      <xdr:spPr>
        <a:xfrm>
          <a:off x="1046480" y="655434300"/>
          <a:ext cx="589280" cy="58420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xdr:cNvPicPr>
          <a:picLocks noChangeAspect="1"/>
        </xdr:cNvPicPr>
      </xdr:nvPicPr>
      <xdr:blipFill>
        <a:blip r:embed="rId753" cstate="email"/>
        <a:stretch>
          <a:fillRect/>
        </a:stretch>
      </xdr:blipFill>
      <xdr:spPr>
        <a:xfrm>
          <a:off x="1059180" y="656082000"/>
          <a:ext cx="571500" cy="571500"/>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xdr:cNvPicPr>
          <a:picLocks noChangeAspect="1"/>
        </xdr:cNvPicPr>
      </xdr:nvPicPr>
      <xdr:blipFill>
        <a:blip r:embed="rId754" cstate="email"/>
        <a:stretch>
          <a:fillRect/>
        </a:stretch>
      </xdr:blipFill>
      <xdr:spPr>
        <a:xfrm>
          <a:off x="1059180" y="656688425"/>
          <a:ext cx="576580" cy="600075"/>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xdr:cNvPicPr>
          <a:picLocks noChangeAspect="1"/>
        </xdr:cNvPicPr>
      </xdr:nvPicPr>
      <xdr:blipFill>
        <a:blip r:embed="rId755" cstate="email"/>
        <a:stretch>
          <a:fillRect/>
        </a:stretch>
      </xdr:blipFill>
      <xdr:spPr>
        <a:xfrm>
          <a:off x="1046480" y="657326600"/>
          <a:ext cx="589280" cy="596900"/>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xdr:cNvPicPr>
          <a:picLocks noChangeAspect="1"/>
        </xdr:cNvPicPr>
      </xdr:nvPicPr>
      <xdr:blipFill>
        <a:blip r:embed="rId756" cstate="email"/>
        <a:stretch>
          <a:fillRect/>
        </a:stretch>
      </xdr:blipFill>
      <xdr:spPr>
        <a:xfrm>
          <a:off x="1021080" y="657948900"/>
          <a:ext cx="614680" cy="609600"/>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xdr:cNvPicPr>
          <a:picLocks noChangeAspect="1"/>
        </xdr:cNvPicPr>
      </xdr:nvPicPr>
      <xdr:blipFill>
        <a:blip r:embed="rId757" cstate="email"/>
        <a:stretch>
          <a:fillRect/>
        </a:stretch>
      </xdr:blipFill>
      <xdr:spPr>
        <a:xfrm>
          <a:off x="1000125" y="658625175"/>
          <a:ext cx="624205" cy="568325"/>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xdr:cNvPicPr>
          <a:picLocks noChangeAspect="1"/>
        </xdr:cNvPicPr>
      </xdr:nvPicPr>
      <xdr:blipFill>
        <a:blip r:embed="rId758" cstate="email"/>
        <a:stretch>
          <a:fillRect/>
        </a:stretch>
      </xdr:blipFill>
      <xdr:spPr>
        <a:xfrm>
          <a:off x="1056005" y="659260175"/>
          <a:ext cx="579755" cy="568325"/>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xdr:cNvPicPr>
          <a:picLocks noChangeAspect="1"/>
        </xdr:cNvPicPr>
      </xdr:nvPicPr>
      <xdr:blipFill>
        <a:blip r:embed="rId759" cstate="email"/>
        <a:stretch>
          <a:fillRect/>
        </a:stretch>
      </xdr:blipFill>
      <xdr:spPr>
        <a:xfrm>
          <a:off x="1066800" y="659872950"/>
          <a:ext cx="568960" cy="584835"/>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xdr:cNvPicPr>
          <a:picLocks noChangeAspect="1"/>
        </xdr:cNvPicPr>
      </xdr:nvPicPr>
      <xdr:blipFill>
        <a:blip r:embed="rId760" cstate="email"/>
        <a:stretch>
          <a:fillRect/>
        </a:stretch>
      </xdr:blipFill>
      <xdr:spPr>
        <a:xfrm>
          <a:off x="1056005" y="660495885"/>
          <a:ext cx="579755" cy="60261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xdr:cNvPicPr>
          <a:picLocks noChangeAspect="1"/>
        </xdr:cNvPicPr>
      </xdr:nvPicPr>
      <xdr:blipFill>
        <a:blip r:embed="rId761" cstate="email"/>
        <a:stretch>
          <a:fillRect/>
        </a:stretch>
      </xdr:blipFill>
      <xdr:spPr>
        <a:xfrm>
          <a:off x="989330" y="661131520"/>
          <a:ext cx="646430" cy="601980"/>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xdr:cNvPicPr>
          <a:picLocks noChangeAspect="1"/>
        </xdr:cNvPicPr>
      </xdr:nvPicPr>
      <xdr:blipFill>
        <a:blip r:embed="rId762" cstate="email"/>
        <a:stretch>
          <a:fillRect/>
        </a:stretch>
      </xdr:blipFill>
      <xdr:spPr>
        <a:xfrm>
          <a:off x="1011555" y="661788745"/>
          <a:ext cx="624205" cy="579755"/>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xdr:cNvPicPr>
          <a:picLocks noChangeAspect="1"/>
        </xdr:cNvPicPr>
      </xdr:nvPicPr>
      <xdr:blipFill>
        <a:blip r:embed="rId763" cstate="email"/>
        <a:stretch>
          <a:fillRect/>
        </a:stretch>
      </xdr:blipFill>
      <xdr:spPr>
        <a:xfrm>
          <a:off x="1000125" y="662415490"/>
          <a:ext cx="615315" cy="588010"/>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xdr:cNvPicPr>
          <a:picLocks noChangeAspect="1"/>
        </xdr:cNvPicPr>
      </xdr:nvPicPr>
      <xdr:blipFill>
        <a:blip r:embed="rId764" cstate="email"/>
        <a:stretch>
          <a:fillRect/>
        </a:stretch>
      </xdr:blipFill>
      <xdr:spPr>
        <a:xfrm>
          <a:off x="1022350" y="663036520"/>
          <a:ext cx="613410" cy="601980"/>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xdr:cNvPicPr>
          <a:picLocks noChangeAspect="1"/>
        </xdr:cNvPicPr>
      </xdr:nvPicPr>
      <xdr:blipFill>
        <a:blip r:embed="rId763" cstate="email"/>
        <a:stretch>
          <a:fillRect/>
        </a:stretch>
      </xdr:blipFill>
      <xdr:spPr>
        <a:xfrm>
          <a:off x="1011555" y="663693745"/>
          <a:ext cx="615315" cy="579755"/>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xdr:cNvPicPr>
          <a:picLocks noChangeAspect="1"/>
        </xdr:cNvPicPr>
      </xdr:nvPicPr>
      <xdr:blipFill>
        <a:blip r:embed="rId765" cstate="email"/>
        <a:stretch>
          <a:fillRect/>
        </a:stretch>
      </xdr:blipFill>
      <xdr:spPr>
        <a:xfrm>
          <a:off x="1011555" y="664316045"/>
          <a:ext cx="624205" cy="592455"/>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xdr:cNvPicPr>
          <a:picLocks noChangeAspect="1"/>
        </xdr:cNvPicPr>
      </xdr:nvPicPr>
      <xdr:blipFill>
        <a:blip r:embed="rId766" cstate="email"/>
        <a:stretch>
          <a:fillRect/>
        </a:stretch>
      </xdr:blipFill>
      <xdr:spPr>
        <a:xfrm>
          <a:off x="1011555" y="664930725"/>
          <a:ext cx="624205" cy="612775"/>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xdr:cNvPicPr>
          <a:picLocks noChangeAspect="1"/>
        </xdr:cNvPicPr>
      </xdr:nvPicPr>
      <xdr:blipFill>
        <a:blip r:embed="rId767" cstate="email"/>
        <a:stretch>
          <a:fillRect/>
        </a:stretch>
      </xdr:blipFill>
      <xdr:spPr>
        <a:xfrm>
          <a:off x="1029970" y="665595570"/>
          <a:ext cx="605790" cy="582930"/>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xdr:cNvPicPr>
          <a:picLocks noChangeAspect="1"/>
        </xdr:cNvPicPr>
      </xdr:nvPicPr>
      <xdr:blipFill>
        <a:blip r:embed="rId768" cstate="email"/>
        <a:stretch>
          <a:fillRect/>
        </a:stretch>
      </xdr:blipFill>
      <xdr:spPr>
        <a:xfrm>
          <a:off x="1056005" y="668762950"/>
          <a:ext cx="546100" cy="590550"/>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xdr:cNvPicPr>
          <a:picLocks noChangeAspect="1"/>
        </xdr:cNvPicPr>
      </xdr:nvPicPr>
      <xdr:blipFill>
        <a:blip r:embed="rId768" cstate="email"/>
        <a:stretch>
          <a:fillRect/>
        </a:stretch>
      </xdr:blipFill>
      <xdr:spPr>
        <a:xfrm>
          <a:off x="1022350" y="666846520"/>
          <a:ext cx="546100" cy="601980"/>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xdr:cNvPicPr>
          <a:picLocks noChangeAspect="1"/>
        </xdr:cNvPicPr>
      </xdr:nvPicPr>
      <xdr:blipFill>
        <a:blip r:embed="rId768" cstate="email"/>
        <a:stretch>
          <a:fillRect/>
        </a:stretch>
      </xdr:blipFill>
      <xdr:spPr>
        <a:xfrm>
          <a:off x="1041400" y="667500570"/>
          <a:ext cx="545465" cy="582930"/>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xdr:cNvPicPr>
          <a:picLocks noChangeAspect="1"/>
        </xdr:cNvPicPr>
      </xdr:nvPicPr>
      <xdr:blipFill>
        <a:blip r:embed="rId768" cstate="email"/>
        <a:stretch>
          <a:fillRect/>
        </a:stretch>
      </xdr:blipFill>
      <xdr:spPr>
        <a:xfrm>
          <a:off x="1059815" y="668120330"/>
          <a:ext cx="546100" cy="598170"/>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xdr:cNvPicPr>
          <a:picLocks noChangeAspect="1"/>
        </xdr:cNvPicPr>
      </xdr:nvPicPr>
      <xdr:blipFill>
        <a:blip r:embed="rId769" cstate="email"/>
        <a:stretch>
          <a:fillRect/>
        </a:stretch>
      </xdr:blipFill>
      <xdr:spPr>
        <a:xfrm>
          <a:off x="1033780" y="669364295"/>
          <a:ext cx="601345" cy="62420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xdr:cNvPicPr>
          <a:picLocks noChangeAspect="1"/>
        </xdr:cNvPicPr>
      </xdr:nvPicPr>
      <xdr:blipFill>
        <a:blip r:embed="rId770" cstate="email"/>
        <a:stretch>
          <a:fillRect/>
        </a:stretch>
      </xdr:blipFill>
      <xdr:spPr>
        <a:xfrm>
          <a:off x="1044575" y="670021520"/>
          <a:ext cx="591185" cy="60198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xdr:cNvPicPr>
          <a:picLocks noChangeAspect="1"/>
        </xdr:cNvPicPr>
      </xdr:nvPicPr>
      <xdr:blipFill>
        <a:blip r:embed="rId771" cstate="email"/>
        <a:stretch>
          <a:fillRect/>
        </a:stretch>
      </xdr:blipFill>
      <xdr:spPr>
        <a:xfrm>
          <a:off x="989330" y="670676840"/>
          <a:ext cx="645795" cy="581660"/>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xdr:cNvPicPr>
          <a:picLocks noChangeAspect="1"/>
        </xdr:cNvPicPr>
      </xdr:nvPicPr>
      <xdr:blipFill>
        <a:blip r:embed="rId772" cstate="email"/>
        <a:stretch>
          <a:fillRect/>
        </a:stretch>
      </xdr:blipFill>
      <xdr:spPr>
        <a:xfrm>
          <a:off x="1052830" y="671291520"/>
          <a:ext cx="582930" cy="601980"/>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xdr:cNvPicPr>
          <a:picLocks noChangeAspect="1"/>
        </xdr:cNvPicPr>
      </xdr:nvPicPr>
      <xdr:blipFill>
        <a:blip r:embed="rId773" cstate="email"/>
        <a:stretch>
          <a:fillRect/>
        </a:stretch>
      </xdr:blipFill>
      <xdr:spPr>
        <a:xfrm>
          <a:off x="1078230" y="671937950"/>
          <a:ext cx="557530" cy="590550"/>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xdr:cNvPicPr>
          <a:picLocks noChangeAspect="1"/>
        </xdr:cNvPicPr>
      </xdr:nvPicPr>
      <xdr:blipFill>
        <a:blip r:embed="rId774" cstate="email"/>
        <a:stretch>
          <a:fillRect/>
        </a:stretch>
      </xdr:blipFill>
      <xdr:spPr>
        <a:xfrm>
          <a:off x="1074420" y="672558345"/>
          <a:ext cx="561340" cy="605155"/>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xdr:cNvPicPr>
          <a:picLocks noChangeAspect="1"/>
        </xdr:cNvPicPr>
      </xdr:nvPicPr>
      <xdr:blipFill>
        <a:blip r:embed="rId775" cstate="email"/>
        <a:stretch>
          <a:fillRect/>
        </a:stretch>
      </xdr:blipFill>
      <xdr:spPr>
        <a:xfrm>
          <a:off x="1054735" y="673218110"/>
          <a:ext cx="581025" cy="580390"/>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xdr:cNvPicPr>
          <a:picLocks noChangeAspect="1"/>
        </xdr:cNvPicPr>
      </xdr:nvPicPr>
      <xdr:blipFill>
        <a:blip r:embed="rId776" cstate="email"/>
        <a:stretch>
          <a:fillRect/>
        </a:stretch>
      </xdr:blipFill>
      <xdr:spPr>
        <a:xfrm>
          <a:off x="1041400" y="673842315"/>
          <a:ext cx="524510" cy="591185"/>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xdr:cNvPicPr>
          <a:picLocks noChangeAspect="1"/>
        </xdr:cNvPicPr>
      </xdr:nvPicPr>
      <xdr:blipFill>
        <a:blip r:embed="rId777" cstate="email"/>
        <a:stretch>
          <a:fillRect/>
        </a:stretch>
      </xdr:blipFill>
      <xdr:spPr>
        <a:xfrm>
          <a:off x="999490" y="674483665"/>
          <a:ext cx="607695" cy="584835"/>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xdr:cNvPicPr>
          <a:picLocks noChangeAspect="1"/>
        </xdr:cNvPicPr>
      </xdr:nvPicPr>
      <xdr:blipFill>
        <a:blip r:embed="rId778" cstate="email"/>
        <a:stretch>
          <a:fillRect/>
        </a:stretch>
      </xdr:blipFill>
      <xdr:spPr>
        <a:xfrm>
          <a:off x="999490" y="675109775"/>
          <a:ext cx="636270" cy="59372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xdr:cNvPicPr>
          <a:picLocks noChangeAspect="1"/>
        </xdr:cNvPicPr>
      </xdr:nvPicPr>
      <xdr:blipFill>
        <a:blip r:embed="rId779" cstate="email"/>
        <a:stretch>
          <a:fillRect/>
        </a:stretch>
      </xdr:blipFill>
      <xdr:spPr>
        <a:xfrm>
          <a:off x="1041400" y="675753030"/>
          <a:ext cx="524510" cy="585470"/>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xdr:cNvPicPr>
          <a:picLocks noChangeAspect="1"/>
        </xdr:cNvPicPr>
      </xdr:nvPicPr>
      <xdr:blipFill>
        <a:blip r:embed="rId780" cstate="email"/>
        <a:stretch>
          <a:fillRect/>
        </a:stretch>
      </xdr:blipFill>
      <xdr:spPr>
        <a:xfrm>
          <a:off x="1082675" y="676393745"/>
          <a:ext cx="483235" cy="579755"/>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xdr:cNvPicPr>
          <a:picLocks noChangeAspect="1"/>
        </xdr:cNvPicPr>
      </xdr:nvPicPr>
      <xdr:blipFill>
        <a:blip r:embed="rId781" cstate="email"/>
        <a:stretch>
          <a:fillRect/>
        </a:stretch>
      </xdr:blipFill>
      <xdr:spPr>
        <a:xfrm>
          <a:off x="1041400" y="677037000"/>
          <a:ext cx="594360" cy="571500"/>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xdr:cNvPicPr>
          <a:picLocks noChangeAspect="1"/>
        </xdr:cNvPicPr>
      </xdr:nvPicPr>
      <xdr:blipFill>
        <a:blip r:embed="rId782" cstate="email"/>
        <a:stretch>
          <a:fillRect/>
        </a:stretch>
      </xdr:blipFill>
      <xdr:spPr>
        <a:xfrm>
          <a:off x="1080770" y="677650410"/>
          <a:ext cx="554990" cy="593090"/>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xdr:cNvPicPr>
          <a:picLocks noChangeAspect="1"/>
        </xdr:cNvPicPr>
      </xdr:nvPicPr>
      <xdr:blipFill>
        <a:blip r:embed="rId783" cstate="email"/>
        <a:stretch>
          <a:fillRect/>
        </a:stretch>
      </xdr:blipFill>
      <xdr:spPr>
        <a:xfrm>
          <a:off x="1033780" y="678272710"/>
          <a:ext cx="601980" cy="605790"/>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xdr:cNvPicPr>
          <a:picLocks noChangeAspect="1"/>
        </xdr:cNvPicPr>
      </xdr:nvPicPr>
      <xdr:blipFill>
        <a:blip r:embed="rId784" cstate="email"/>
        <a:stretch>
          <a:fillRect/>
        </a:stretch>
      </xdr:blipFill>
      <xdr:spPr>
        <a:xfrm>
          <a:off x="1059180" y="678924220"/>
          <a:ext cx="469900" cy="589915"/>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xdr:cNvPicPr>
          <a:picLocks noChangeAspect="1"/>
        </xdr:cNvPicPr>
      </xdr:nvPicPr>
      <xdr:blipFill>
        <a:blip r:embed="rId785" cstate="email"/>
        <a:stretch>
          <a:fillRect/>
        </a:stretch>
      </xdr:blipFill>
      <xdr:spPr>
        <a:xfrm>
          <a:off x="1097280" y="679573825"/>
          <a:ext cx="513080" cy="574675"/>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xdr:cNvPicPr>
          <a:picLocks noChangeAspect="1"/>
        </xdr:cNvPicPr>
      </xdr:nvPicPr>
      <xdr:blipFill>
        <a:blip r:embed="rId786" cstate="email"/>
        <a:stretch>
          <a:fillRect/>
        </a:stretch>
      </xdr:blipFill>
      <xdr:spPr>
        <a:xfrm>
          <a:off x="1033780" y="680199300"/>
          <a:ext cx="571500" cy="584200"/>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xdr:cNvPicPr>
          <a:picLocks noChangeAspect="1"/>
        </xdr:cNvPicPr>
      </xdr:nvPicPr>
      <xdr:blipFill>
        <a:blip r:embed="rId787" cstate="email"/>
        <a:stretch>
          <a:fillRect/>
        </a:stretch>
      </xdr:blipFill>
      <xdr:spPr>
        <a:xfrm>
          <a:off x="1040130" y="680834300"/>
          <a:ext cx="595630" cy="5842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xdr:cNvPicPr>
          <a:picLocks noChangeAspect="1"/>
        </xdr:cNvPicPr>
      </xdr:nvPicPr>
      <xdr:blipFill>
        <a:blip r:embed="rId788" cstate="email"/>
        <a:stretch>
          <a:fillRect/>
        </a:stretch>
      </xdr:blipFill>
      <xdr:spPr>
        <a:xfrm>
          <a:off x="1033780" y="681474380"/>
          <a:ext cx="601980" cy="579120"/>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xdr:cNvPicPr>
          <a:picLocks noChangeAspect="1"/>
        </xdr:cNvPicPr>
      </xdr:nvPicPr>
      <xdr:blipFill>
        <a:blip r:embed="rId789" cstate="email"/>
        <a:stretch>
          <a:fillRect/>
        </a:stretch>
      </xdr:blipFill>
      <xdr:spPr>
        <a:xfrm>
          <a:off x="1071880" y="682089060"/>
          <a:ext cx="563880" cy="599440"/>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xdr:cNvPicPr>
          <a:picLocks noChangeAspect="1"/>
        </xdr:cNvPicPr>
      </xdr:nvPicPr>
      <xdr:blipFill>
        <a:blip r:embed="rId790" cstate="email"/>
        <a:stretch>
          <a:fillRect/>
        </a:stretch>
      </xdr:blipFill>
      <xdr:spPr>
        <a:xfrm>
          <a:off x="1066800" y="682752000"/>
          <a:ext cx="513080" cy="57150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xdr:cNvPicPr>
          <a:picLocks noChangeAspect="1"/>
        </xdr:cNvPicPr>
      </xdr:nvPicPr>
      <xdr:blipFill>
        <a:blip r:embed="rId791" cstate="email"/>
        <a:stretch>
          <a:fillRect/>
        </a:stretch>
      </xdr:blipFill>
      <xdr:spPr>
        <a:xfrm>
          <a:off x="1114425" y="683374300"/>
          <a:ext cx="481965" cy="584200"/>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xdr:cNvPicPr>
          <a:picLocks noChangeAspect="1"/>
        </xdr:cNvPicPr>
      </xdr:nvPicPr>
      <xdr:blipFill>
        <a:blip r:embed="rId791" cstate="email"/>
        <a:stretch>
          <a:fillRect/>
        </a:stretch>
      </xdr:blipFill>
      <xdr:spPr>
        <a:xfrm>
          <a:off x="1097280" y="684009300"/>
          <a:ext cx="481965" cy="584200"/>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xdr:cNvPicPr>
          <a:picLocks noChangeAspect="1"/>
        </xdr:cNvPicPr>
      </xdr:nvPicPr>
      <xdr:blipFill>
        <a:blip r:embed="rId792" cstate="email"/>
        <a:stretch>
          <a:fillRect/>
        </a:stretch>
      </xdr:blipFill>
      <xdr:spPr>
        <a:xfrm>
          <a:off x="1005840" y="684635410"/>
          <a:ext cx="582295" cy="59309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xdr:cNvPicPr>
          <a:picLocks noChangeAspect="1"/>
        </xdr:cNvPicPr>
      </xdr:nvPicPr>
      <xdr:blipFill>
        <a:blip r:embed="rId793" cstate="email"/>
        <a:stretch>
          <a:fillRect/>
        </a:stretch>
      </xdr:blipFill>
      <xdr:spPr>
        <a:xfrm>
          <a:off x="1052830" y="685269775"/>
          <a:ext cx="542290" cy="593725"/>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xdr:cNvPicPr>
          <a:picLocks noChangeAspect="1"/>
        </xdr:cNvPicPr>
      </xdr:nvPicPr>
      <xdr:blipFill>
        <a:blip r:embed="rId794" cstate="email"/>
        <a:stretch>
          <a:fillRect/>
        </a:stretch>
      </xdr:blipFill>
      <xdr:spPr>
        <a:xfrm>
          <a:off x="1097280" y="685917475"/>
          <a:ext cx="538480" cy="581025"/>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xdr:cNvPicPr>
          <a:picLocks noChangeAspect="1"/>
        </xdr:cNvPicPr>
      </xdr:nvPicPr>
      <xdr:blipFill>
        <a:blip r:embed="rId795" cstate="email"/>
        <a:stretch>
          <a:fillRect/>
        </a:stretch>
      </xdr:blipFill>
      <xdr:spPr>
        <a:xfrm>
          <a:off x="1068705" y="686535965"/>
          <a:ext cx="541655" cy="597535"/>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xdr:cNvPicPr>
          <a:picLocks noChangeAspect="1"/>
        </xdr:cNvPicPr>
      </xdr:nvPicPr>
      <xdr:blipFill>
        <a:blip r:embed="rId796" cstate="email"/>
        <a:stretch>
          <a:fillRect/>
        </a:stretch>
      </xdr:blipFill>
      <xdr:spPr>
        <a:xfrm>
          <a:off x="1096645" y="687153185"/>
          <a:ext cx="539115" cy="615315"/>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xdr:cNvPicPr>
          <a:picLocks noChangeAspect="1"/>
        </xdr:cNvPicPr>
      </xdr:nvPicPr>
      <xdr:blipFill>
        <a:blip r:embed="rId797" cstate="email"/>
        <a:stretch>
          <a:fillRect/>
        </a:stretch>
      </xdr:blipFill>
      <xdr:spPr>
        <a:xfrm>
          <a:off x="1109980" y="687816760"/>
          <a:ext cx="525780" cy="58674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xdr:cNvPicPr>
          <a:picLocks noChangeAspect="1"/>
        </xdr:cNvPicPr>
      </xdr:nvPicPr>
      <xdr:blipFill>
        <a:blip r:embed="rId798" cstate="email"/>
        <a:stretch>
          <a:fillRect/>
        </a:stretch>
      </xdr:blipFill>
      <xdr:spPr>
        <a:xfrm>
          <a:off x="1122680" y="688433980"/>
          <a:ext cx="513080" cy="60452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xdr:cNvPicPr>
          <a:picLocks noChangeAspect="1"/>
        </xdr:cNvPicPr>
      </xdr:nvPicPr>
      <xdr:blipFill>
        <a:blip r:embed="rId799" cstate="email"/>
        <a:stretch>
          <a:fillRect/>
        </a:stretch>
      </xdr:blipFill>
      <xdr:spPr>
        <a:xfrm>
          <a:off x="1052830" y="689100095"/>
          <a:ext cx="557530" cy="577215"/>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xdr:cNvPicPr>
          <a:picLocks noChangeAspect="1"/>
        </xdr:cNvPicPr>
      </xdr:nvPicPr>
      <xdr:blipFill>
        <a:blip r:embed="rId800" cstate="email"/>
        <a:stretch>
          <a:fillRect/>
        </a:stretch>
      </xdr:blipFill>
      <xdr:spPr>
        <a:xfrm>
          <a:off x="1052830" y="689755415"/>
          <a:ext cx="582930" cy="553085"/>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xdr:cNvPicPr>
          <a:picLocks noChangeAspect="1"/>
        </xdr:cNvPicPr>
      </xdr:nvPicPr>
      <xdr:blipFill>
        <a:blip r:embed="rId801" cstate="email"/>
        <a:stretch>
          <a:fillRect/>
        </a:stretch>
      </xdr:blipFill>
      <xdr:spPr>
        <a:xfrm>
          <a:off x="1052830" y="690385335"/>
          <a:ext cx="573405" cy="558165"/>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xdr:cNvPicPr>
          <a:picLocks noChangeAspect="1"/>
        </xdr:cNvPicPr>
      </xdr:nvPicPr>
      <xdr:blipFill>
        <a:blip r:embed="rId802" cstate="email"/>
        <a:stretch>
          <a:fillRect/>
        </a:stretch>
      </xdr:blipFill>
      <xdr:spPr>
        <a:xfrm>
          <a:off x="1068705" y="690984140"/>
          <a:ext cx="567055" cy="594360"/>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xdr:cNvPicPr>
          <a:picLocks noChangeAspect="1"/>
        </xdr:cNvPicPr>
      </xdr:nvPicPr>
      <xdr:blipFill>
        <a:blip r:embed="rId803" cstate="email"/>
        <a:stretch>
          <a:fillRect/>
        </a:stretch>
      </xdr:blipFill>
      <xdr:spPr>
        <a:xfrm>
          <a:off x="1019810" y="691655335"/>
          <a:ext cx="556260" cy="558165"/>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xdr:cNvPicPr>
          <a:picLocks noChangeAspect="1"/>
        </xdr:cNvPicPr>
      </xdr:nvPicPr>
      <xdr:blipFill>
        <a:blip r:embed="rId804" cstate="email"/>
        <a:stretch>
          <a:fillRect/>
        </a:stretch>
      </xdr:blipFill>
      <xdr:spPr>
        <a:xfrm>
          <a:off x="1006475" y="692264935"/>
          <a:ext cx="588645" cy="583565"/>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xdr:cNvPicPr>
          <a:picLocks noChangeAspect="1"/>
        </xdr:cNvPicPr>
      </xdr:nvPicPr>
      <xdr:blipFill>
        <a:blip r:embed="rId805" cstate="email"/>
        <a:stretch>
          <a:fillRect/>
        </a:stretch>
      </xdr:blipFill>
      <xdr:spPr>
        <a:xfrm>
          <a:off x="1059815" y="692891680"/>
          <a:ext cx="575945" cy="591820"/>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xdr:cNvPicPr>
          <a:picLocks noChangeAspect="1"/>
        </xdr:cNvPicPr>
      </xdr:nvPicPr>
      <xdr:blipFill>
        <a:blip r:embed="rId806" cstate="email"/>
        <a:stretch>
          <a:fillRect/>
        </a:stretch>
      </xdr:blipFill>
      <xdr:spPr>
        <a:xfrm>
          <a:off x="1069340" y="693522235"/>
          <a:ext cx="566420" cy="59626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xdr:cNvPicPr>
          <a:picLocks noChangeAspect="1"/>
        </xdr:cNvPicPr>
      </xdr:nvPicPr>
      <xdr:blipFill>
        <a:blip r:embed="rId807" cstate="email"/>
        <a:stretch>
          <a:fillRect/>
        </a:stretch>
      </xdr:blipFill>
      <xdr:spPr>
        <a:xfrm>
          <a:off x="1076325" y="694195335"/>
          <a:ext cx="559435" cy="55816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xdr:cNvPicPr>
          <a:picLocks noChangeAspect="1"/>
        </xdr:cNvPicPr>
      </xdr:nvPicPr>
      <xdr:blipFill>
        <a:blip r:embed="rId808" cstate="email"/>
        <a:stretch>
          <a:fillRect/>
        </a:stretch>
      </xdr:blipFill>
      <xdr:spPr>
        <a:xfrm>
          <a:off x="1108075" y="694792870"/>
          <a:ext cx="527685" cy="595630"/>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xdr:cNvPicPr>
          <a:picLocks noChangeAspect="1"/>
        </xdr:cNvPicPr>
      </xdr:nvPicPr>
      <xdr:blipFill>
        <a:blip r:embed="rId809" cstate="email"/>
        <a:stretch>
          <a:fillRect/>
        </a:stretch>
      </xdr:blipFill>
      <xdr:spPr>
        <a:xfrm>
          <a:off x="1135380" y="695426600"/>
          <a:ext cx="500380" cy="5969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xdr:cNvPicPr>
          <a:picLocks noChangeAspect="1"/>
        </xdr:cNvPicPr>
      </xdr:nvPicPr>
      <xdr:blipFill>
        <a:blip r:embed="rId810" cstate="email"/>
        <a:stretch>
          <a:fillRect/>
        </a:stretch>
      </xdr:blipFill>
      <xdr:spPr>
        <a:xfrm>
          <a:off x="1148080" y="696074300"/>
          <a:ext cx="487680" cy="5842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xdr:cNvPicPr>
          <a:picLocks noChangeAspect="1"/>
        </xdr:cNvPicPr>
      </xdr:nvPicPr>
      <xdr:blipFill>
        <a:blip r:embed="rId811" cstate="email"/>
        <a:stretch>
          <a:fillRect/>
        </a:stretch>
      </xdr:blipFill>
      <xdr:spPr>
        <a:xfrm>
          <a:off x="1160780" y="696683900"/>
          <a:ext cx="474980" cy="6096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xdr:cNvPicPr>
          <a:picLocks noChangeAspect="1"/>
        </xdr:cNvPicPr>
      </xdr:nvPicPr>
      <xdr:blipFill>
        <a:blip r:embed="rId812" cstate="email"/>
        <a:stretch>
          <a:fillRect/>
        </a:stretch>
      </xdr:blipFill>
      <xdr:spPr>
        <a:xfrm>
          <a:off x="1236980" y="697344935"/>
          <a:ext cx="398780" cy="583565"/>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xdr:cNvPicPr>
          <a:picLocks noChangeAspect="1"/>
        </xdr:cNvPicPr>
      </xdr:nvPicPr>
      <xdr:blipFill>
        <a:blip r:embed="rId813" cstate="email"/>
        <a:stretch>
          <a:fillRect/>
        </a:stretch>
      </xdr:blipFill>
      <xdr:spPr>
        <a:xfrm>
          <a:off x="1224280" y="697992000"/>
          <a:ext cx="411480" cy="571500"/>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xdr:cNvPicPr>
          <a:picLocks noChangeAspect="1"/>
        </xdr:cNvPicPr>
      </xdr:nvPicPr>
      <xdr:blipFill>
        <a:blip r:embed="rId814" cstate="email"/>
        <a:stretch>
          <a:fillRect/>
        </a:stretch>
      </xdr:blipFill>
      <xdr:spPr>
        <a:xfrm>
          <a:off x="1236980" y="698601600"/>
          <a:ext cx="398780" cy="596900"/>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xdr:cNvPicPr>
          <a:picLocks noChangeAspect="1"/>
        </xdr:cNvPicPr>
      </xdr:nvPicPr>
      <xdr:blipFill>
        <a:blip r:embed="rId815" cstate="email"/>
        <a:stretch>
          <a:fillRect/>
        </a:stretch>
      </xdr:blipFill>
      <xdr:spPr>
        <a:xfrm>
          <a:off x="1236345" y="699267715"/>
          <a:ext cx="399415" cy="565785"/>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xdr:cNvPicPr>
          <a:picLocks noChangeAspect="1"/>
        </xdr:cNvPicPr>
      </xdr:nvPicPr>
      <xdr:blipFill>
        <a:blip r:embed="rId816" cstate="email"/>
        <a:stretch>
          <a:fillRect/>
        </a:stretch>
      </xdr:blipFill>
      <xdr:spPr>
        <a:xfrm>
          <a:off x="1148080" y="699846200"/>
          <a:ext cx="487680" cy="6223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xdr:cNvPicPr>
          <a:picLocks noChangeAspect="1"/>
        </xdr:cNvPicPr>
      </xdr:nvPicPr>
      <xdr:blipFill>
        <a:blip r:embed="rId817" cstate="email"/>
        <a:stretch>
          <a:fillRect/>
        </a:stretch>
      </xdr:blipFill>
      <xdr:spPr>
        <a:xfrm>
          <a:off x="1097280" y="700506600"/>
          <a:ext cx="538480" cy="596900"/>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xdr:cNvPicPr>
          <a:picLocks noChangeAspect="1"/>
        </xdr:cNvPicPr>
      </xdr:nvPicPr>
      <xdr:blipFill>
        <a:blip r:embed="rId818" cstate="email"/>
        <a:stretch>
          <a:fillRect/>
        </a:stretch>
      </xdr:blipFill>
      <xdr:spPr>
        <a:xfrm>
          <a:off x="1046480" y="701141600"/>
          <a:ext cx="589280" cy="596900"/>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xdr:cNvPicPr>
          <a:picLocks noChangeAspect="1"/>
        </xdr:cNvPicPr>
      </xdr:nvPicPr>
      <xdr:blipFill>
        <a:blip r:embed="rId819" cstate="email"/>
        <a:stretch>
          <a:fillRect/>
        </a:stretch>
      </xdr:blipFill>
      <xdr:spPr>
        <a:xfrm>
          <a:off x="1097280" y="701763900"/>
          <a:ext cx="538480" cy="609600"/>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xdr:cNvPicPr>
          <a:picLocks noChangeAspect="1"/>
        </xdr:cNvPicPr>
      </xdr:nvPicPr>
      <xdr:blipFill>
        <a:blip r:embed="rId820" cstate="email"/>
        <a:stretch>
          <a:fillRect/>
        </a:stretch>
      </xdr:blipFill>
      <xdr:spPr>
        <a:xfrm>
          <a:off x="1097280" y="702373500"/>
          <a:ext cx="538480" cy="635000"/>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xdr:cNvPicPr>
          <a:picLocks noChangeAspect="1"/>
        </xdr:cNvPicPr>
      </xdr:nvPicPr>
      <xdr:blipFill>
        <a:blip r:embed="rId821" cstate="email"/>
        <a:stretch>
          <a:fillRect/>
        </a:stretch>
      </xdr:blipFill>
      <xdr:spPr>
        <a:xfrm>
          <a:off x="1021080" y="703072000"/>
          <a:ext cx="584200" cy="5715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xdr:cNvPicPr>
          <a:picLocks noChangeAspect="1"/>
        </xdr:cNvPicPr>
      </xdr:nvPicPr>
      <xdr:blipFill>
        <a:blip r:embed="rId822" cstate="email"/>
        <a:stretch>
          <a:fillRect/>
        </a:stretch>
      </xdr:blipFill>
      <xdr:spPr>
        <a:xfrm>
          <a:off x="1046480" y="703681600"/>
          <a:ext cx="589280" cy="5969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xdr:cNvPicPr>
          <a:picLocks noChangeAspect="1"/>
        </xdr:cNvPicPr>
      </xdr:nvPicPr>
      <xdr:blipFill>
        <a:blip r:embed="rId823" cstate="email"/>
        <a:stretch>
          <a:fillRect/>
        </a:stretch>
      </xdr:blipFill>
      <xdr:spPr>
        <a:xfrm>
          <a:off x="1084580" y="704329300"/>
          <a:ext cx="551180" cy="5842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xdr:cNvPicPr>
          <a:picLocks noChangeAspect="1"/>
        </xdr:cNvPicPr>
      </xdr:nvPicPr>
      <xdr:blipFill>
        <a:blip r:embed="rId824" cstate="email"/>
        <a:stretch>
          <a:fillRect/>
        </a:stretch>
      </xdr:blipFill>
      <xdr:spPr>
        <a:xfrm>
          <a:off x="1084580" y="704938900"/>
          <a:ext cx="551180" cy="6096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xdr:cNvPicPr>
          <a:picLocks noChangeAspect="1"/>
        </xdr:cNvPicPr>
      </xdr:nvPicPr>
      <xdr:blipFill>
        <a:blip r:embed="rId825" cstate="email"/>
        <a:stretch>
          <a:fillRect/>
        </a:stretch>
      </xdr:blipFill>
      <xdr:spPr>
        <a:xfrm>
          <a:off x="1084580" y="705612000"/>
          <a:ext cx="551180" cy="579755"/>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xdr:cNvPicPr>
          <a:picLocks noChangeAspect="1"/>
        </xdr:cNvPicPr>
      </xdr:nvPicPr>
      <xdr:blipFill>
        <a:blip r:embed="rId826" cstate="email"/>
        <a:stretch>
          <a:fillRect/>
        </a:stretch>
      </xdr:blipFill>
      <xdr:spPr>
        <a:xfrm>
          <a:off x="1148080" y="706843900"/>
          <a:ext cx="487680" cy="609600"/>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xdr:cNvPicPr>
          <a:picLocks noChangeAspect="1"/>
        </xdr:cNvPicPr>
      </xdr:nvPicPr>
      <xdr:blipFill>
        <a:blip r:embed="rId827" cstate="email"/>
        <a:stretch>
          <a:fillRect/>
        </a:stretch>
      </xdr:blipFill>
      <xdr:spPr>
        <a:xfrm>
          <a:off x="1135380" y="707491600"/>
          <a:ext cx="500380" cy="596900"/>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xdr:cNvPicPr>
          <a:picLocks noChangeAspect="1"/>
        </xdr:cNvPicPr>
      </xdr:nvPicPr>
      <xdr:blipFill>
        <a:blip r:embed="rId828" cstate="email"/>
        <a:stretch>
          <a:fillRect/>
        </a:stretch>
      </xdr:blipFill>
      <xdr:spPr>
        <a:xfrm>
          <a:off x="1097280" y="706221600"/>
          <a:ext cx="538480" cy="596900"/>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xdr:cNvPicPr>
          <a:picLocks noChangeAspect="1"/>
        </xdr:cNvPicPr>
      </xdr:nvPicPr>
      <xdr:blipFill>
        <a:blip r:embed="rId829" cstate="email"/>
        <a:stretch>
          <a:fillRect/>
        </a:stretch>
      </xdr:blipFill>
      <xdr:spPr>
        <a:xfrm>
          <a:off x="1071880" y="708126600"/>
          <a:ext cx="563880" cy="596900"/>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xdr:cNvPicPr>
          <a:picLocks noChangeAspect="1"/>
        </xdr:cNvPicPr>
      </xdr:nvPicPr>
      <xdr:blipFill>
        <a:blip r:embed="rId830" cstate="email"/>
        <a:stretch>
          <a:fillRect/>
        </a:stretch>
      </xdr:blipFill>
      <xdr:spPr>
        <a:xfrm>
          <a:off x="1059180" y="708748900"/>
          <a:ext cx="576580" cy="614680"/>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xdr:cNvPicPr>
          <a:picLocks noChangeAspect="1"/>
        </xdr:cNvPicPr>
      </xdr:nvPicPr>
      <xdr:blipFill>
        <a:blip r:embed="rId831" cstate="email"/>
        <a:stretch>
          <a:fillRect/>
        </a:stretch>
      </xdr:blipFill>
      <xdr:spPr>
        <a:xfrm>
          <a:off x="1021080" y="709409300"/>
          <a:ext cx="584200" cy="584200"/>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xdr:cNvPicPr>
          <a:picLocks noChangeAspect="1"/>
        </xdr:cNvPicPr>
      </xdr:nvPicPr>
      <xdr:blipFill>
        <a:blip r:embed="rId832" cstate="email"/>
        <a:stretch>
          <a:fillRect/>
        </a:stretch>
      </xdr:blipFill>
      <xdr:spPr>
        <a:xfrm>
          <a:off x="1046480" y="710037315"/>
          <a:ext cx="589280" cy="591185"/>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xdr:cNvPicPr>
          <a:picLocks noChangeAspect="1"/>
        </xdr:cNvPicPr>
      </xdr:nvPicPr>
      <xdr:blipFill>
        <a:blip r:embed="rId833" cstate="email"/>
        <a:stretch>
          <a:fillRect/>
        </a:stretch>
      </xdr:blipFill>
      <xdr:spPr>
        <a:xfrm>
          <a:off x="1021080" y="710653900"/>
          <a:ext cx="614680" cy="609600"/>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xdr:cNvPicPr>
          <a:picLocks noChangeAspect="1"/>
        </xdr:cNvPicPr>
      </xdr:nvPicPr>
      <xdr:blipFill>
        <a:blip r:embed="rId834" cstate="email"/>
        <a:stretch>
          <a:fillRect/>
        </a:stretch>
      </xdr:blipFill>
      <xdr:spPr>
        <a:xfrm>
          <a:off x="1059180" y="711302870"/>
          <a:ext cx="520700" cy="595630"/>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xdr:cNvPicPr>
          <a:picLocks noChangeAspect="1"/>
        </xdr:cNvPicPr>
      </xdr:nvPicPr>
      <xdr:blipFill>
        <a:blip r:embed="rId835" cstate="email"/>
        <a:stretch>
          <a:fillRect/>
        </a:stretch>
      </xdr:blipFill>
      <xdr:spPr>
        <a:xfrm>
          <a:off x="1084580" y="711949300"/>
          <a:ext cx="551180" cy="5842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xdr:cNvPicPr>
          <a:picLocks noChangeAspect="1"/>
        </xdr:cNvPicPr>
      </xdr:nvPicPr>
      <xdr:blipFill>
        <a:blip r:embed="rId836" cstate="email"/>
        <a:stretch>
          <a:fillRect/>
        </a:stretch>
      </xdr:blipFill>
      <xdr:spPr>
        <a:xfrm>
          <a:off x="1046480" y="713209775"/>
          <a:ext cx="589280" cy="600710"/>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xdr:cNvPicPr>
          <a:picLocks noChangeAspect="1"/>
        </xdr:cNvPicPr>
      </xdr:nvPicPr>
      <xdr:blipFill>
        <a:blip r:embed="rId837" cstate="email"/>
        <a:stretch>
          <a:fillRect/>
        </a:stretch>
      </xdr:blipFill>
      <xdr:spPr>
        <a:xfrm>
          <a:off x="1071880" y="712571600"/>
          <a:ext cx="563880" cy="5969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xdr:cNvPicPr>
          <a:picLocks noChangeAspect="1"/>
        </xdr:cNvPicPr>
      </xdr:nvPicPr>
      <xdr:blipFill>
        <a:blip r:embed="rId838" cstate="email"/>
        <a:stretch>
          <a:fillRect/>
        </a:stretch>
      </xdr:blipFill>
      <xdr:spPr>
        <a:xfrm>
          <a:off x="1033780" y="713828900"/>
          <a:ext cx="601980" cy="609600"/>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xdr:cNvPicPr>
          <a:picLocks noChangeAspect="1"/>
        </xdr:cNvPicPr>
      </xdr:nvPicPr>
      <xdr:blipFill>
        <a:blip r:embed="rId839" cstate="email"/>
        <a:stretch>
          <a:fillRect/>
        </a:stretch>
      </xdr:blipFill>
      <xdr:spPr>
        <a:xfrm>
          <a:off x="1046480" y="714451200"/>
          <a:ext cx="589280" cy="622300"/>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xdr:cNvPicPr>
          <a:picLocks noChangeAspect="1"/>
        </xdr:cNvPicPr>
      </xdr:nvPicPr>
      <xdr:blipFill>
        <a:blip r:embed="rId840" cstate="email"/>
        <a:stretch>
          <a:fillRect/>
        </a:stretch>
      </xdr:blipFill>
      <xdr:spPr>
        <a:xfrm>
          <a:off x="1033780" y="715124300"/>
          <a:ext cx="601980" cy="584200"/>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xdr:cNvPicPr>
          <a:picLocks noChangeAspect="1"/>
        </xdr:cNvPicPr>
      </xdr:nvPicPr>
      <xdr:blipFill>
        <a:blip r:embed="rId841" cstate="email"/>
        <a:stretch>
          <a:fillRect/>
        </a:stretch>
      </xdr:blipFill>
      <xdr:spPr>
        <a:xfrm>
          <a:off x="1181735" y="733529140"/>
          <a:ext cx="398145" cy="594360"/>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xdr:cNvPicPr>
          <a:picLocks noChangeAspect="1"/>
        </xdr:cNvPicPr>
      </xdr:nvPicPr>
      <xdr:blipFill>
        <a:blip r:embed="rId842" cstate="email"/>
        <a:stretch>
          <a:fillRect/>
        </a:stretch>
      </xdr:blipFill>
      <xdr:spPr>
        <a:xfrm>
          <a:off x="1181735" y="734155250"/>
          <a:ext cx="398145" cy="603250"/>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xdr:cNvPicPr>
          <a:picLocks noChangeAspect="1"/>
        </xdr:cNvPicPr>
      </xdr:nvPicPr>
      <xdr:blipFill>
        <a:blip r:embed="rId843" cstate="email"/>
        <a:stretch>
          <a:fillRect/>
        </a:stretch>
      </xdr:blipFill>
      <xdr:spPr>
        <a:xfrm>
          <a:off x="1183005" y="734847400"/>
          <a:ext cx="397510" cy="563245"/>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xdr:cNvPicPr>
          <a:picLocks noChangeAspect="1"/>
        </xdr:cNvPicPr>
      </xdr:nvPicPr>
      <xdr:blipFill>
        <a:blip r:embed="rId844" cstate="email"/>
        <a:stretch>
          <a:fillRect/>
        </a:stretch>
      </xdr:blipFill>
      <xdr:spPr>
        <a:xfrm>
          <a:off x="1164590" y="732243900"/>
          <a:ext cx="469265" cy="609600"/>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xdr:cNvPicPr>
          <a:picLocks noChangeAspect="1"/>
        </xdr:cNvPicPr>
      </xdr:nvPicPr>
      <xdr:blipFill>
        <a:blip r:embed="rId841" cstate="email"/>
        <a:stretch>
          <a:fillRect/>
        </a:stretch>
      </xdr:blipFill>
      <xdr:spPr>
        <a:xfrm>
          <a:off x="1129030" y="735441760"/>
          <a:ext cx="397510" cy="586740"/>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xdr:cNvPicPr>
          <a:picLocks noChangeAspect="1"/>
        </xdr:cNvPicPr>
      </xdr:nvPicPr>
      <xdr:blipFill>
        <a:blip r:embed="rId845" cstate="email"/>
        <a:stretch>
          <a:fillRect/>
        </a:stretch>
      </xdr:blipFill>
      <xdr:spPr>
        <a:xfrm>
          <a:off x="1090295" y="736067235"/>
          <a:ext cx="387350" cy="596265"/>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xdr:cNvPicPr>
          <a:picLocks noChangeAspect="1"/>
        </xdr:cNvPicPr>
      </xdr:nvPicPr>
      <xdr:blipFill>
        <a:blip r:embed="rId845" cstate="email"/>
        <a:stretch>
          <a:fillRect/>
        </a:stretch>
      </xdr:blipFill>
      <xdr:spPr>
        <a:xfrm>
          <a:off x="1109345" y="736702235"/>
          <a:ext cx="387985" cy="596265"/>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xdr:cNvPicPr>
          <a:picLocks noChangeAspect="1"/>
        </xdr:cNvPicPr>
      </xdr:nvPicPr>
      <xdr:blipFill>
        <a:blip r:embed="rId846" cstate="email"/>
        <a:stretch>
          <a:fillRect/>
        </a:stretch>
      </xdr:blipFill>
      <xdr:spPr>
        <a:xfrm>
          <a:off x="1118870" y="737328980"/>
          <a:ext cx="413385" cy="604520"/>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xdr:cNvPicPr>
          <a:picLocks noChangeAspect="1"/>
        </xdr:cNvPicPr>
      </xdr:nvPicPr>
      <xdr:blipFill>
        <a:blip r:embed="rId846" cstate="email"/>
        <a:stretch>
          <a:fillRect/>
        </a:stretch>
      </xdr:blipFill>
      <xdr:spPr>
        <a:xfrm>
          <a:off x="1138555" y="737972235"/>
          <a:ext cx="413385" cy="596265"/>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xdr:cNvPicPr>
          <a:picLocks noChangeAspect="1"/>
        </xdr:cNvPicPr>
      </xdr:nvPicPr>
      <xdr:blipFill>
        <a:blip r:embed="rId846" cstate="email"/>
        <a:stretch>
          <a:fillRect/>
        </a:stretch>
      </xdr:blipFill>
      <xdr:spPr>
        <a:xfrm>
          <a:off x="1138555" y="738597075"/>
          <a:ext cx="413385" cy="606425"/>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xdr:cNvPicPr>
          <a:picLocks noChangeAspect="1"/>
        </xdr:cNvPicPr>
      </xdr:nvPicPr>
      <xdr:blipFill>
        <a:blip r:embed="rId846" cstate="email"/>
        <a:stretch>
          <a:fillRect/>
        </a:stretch>
      </xdr:blipFill>
      <xdr:spPr>
        <a:xfrm>
          <a:off x="1138555" y="739242235"/>
          <a:ext cx="413385" cy="596265"/>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xdr:cNvPicPr>
          <a:picLocks noChangeAspect="1"/>
        </xdr:cNvPicPr>
      </xdr:nvPicPr>
      <xdr:blipFill>
        <a:blip r:embed="rId847" cstate="email"/>
        <a:stretch>
          <a:fillRect/>
        </a:stretch>
      </xdr:blipFill>
      <xdr:spPr>
        <a:xfrm>
          <a:off x="1097280" y="739858820"/>
          <a:ext cx="508000" cy="614680"/>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xdr:cNvPicPr>
          <a:picLocks noChangeAspect="1"/>
        </xdr:cNvPicPr>
      </xdr:nvPicPr>
      <xdr:blipFill>
        <a:blip r:embed="rId848" cstate="email"/>
        <a:stretch>
          <a:fillRect/>
        </a:stretch>
      </xdr:blipFill>
      <xdr:spPr>
        <a:xfrm>
          <a:off x="1117600" y="740514140"/>
          <a:ext cx="7620" cy="612140"/>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xdr:cNvPicPr>
          <a:picLocks noChangeAspect="1"/>
        </xdr:cNvPicPr>
      </xdr:nvPicPr>
      <xdr:blipFill>
        <a:blip r:embed="rId849" cstate="email"/>
        <a:stretch>
          <a:fillRect/>
        </a:stretch>
      </xdr:blipFill>
      <xdr:spPr>
        <a:xfrm>
          <a:off x="1137920" y="741149140"/>
          <a:ext cx="388620" cy="5943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xdr:cNvPicPr>
          <a:picLocks noChangeAspect="1"/>
        </xdr:cNvPicPr>
      </xdr:nvPicPr>
      <xdr:blipFill>
        <a:blip r:embed="rId850" cstate="email"/>
        <a:stretch>
          <a:fillRect/>
        </a:stretch>
      </xdr:blipFill>
      <xdr:spPr>
        <a:xfrm>
          <a:off x="1148080" y="741793665"/>
          <a:ext cx="396240" cy="584835"/>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xdr:cNvPicPr>
          <a:picLocks noChangeAspect="1"/>
        </xdr:cNvPicPr>
      </xdr:nvPicPr>
      <xdr:blipFill>
        <a:blip r:embed="rId851" cstate="email"/>
        <a:stretch>
          <a:fillRect/>
        </a:stretch>
      </xdr:blipFill>
      <xdr:spPr>
        <a:xfrm>
          <a:off x="1148080" y="743678980"/>
          <a:ext cx="396240" cy="604520"/>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xdr:cNvPicPr>
          <a:picLocks noChangeAspect="1"/>
        </xdr:cNvPicPr>
      </xdr:nvPicPr>
      <xdr:blipFill>
        <a:blip r:embed="rId852" cstate="email"/>
        <a:stretch>
          <a:fillRect/>
        </a:stretch>
      </xdr:blipFill>
      <xdr:spPr>
        <a:xfrm>
          <a:off x="1137920" y="742407710"/>
          <a:ext cx="406400" cy="60579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xdr:cNvPicPr>
          <a:picLocks noChangeAspect="1"/>
        </xdr:cNvPicPr>
      </xdr:nvPicPr>
      <xdr:blipFill>
        <a:blip r:embed="rId853" cstate="email"/>
        <a:stretch>
          <a:fillRect/>
        </a:stretch>
      </xdr:blipFill>
      <xdr:spPr>
        <a:xfrm>
          <a:off x="1127760" y="743052870"/>
          <a:ext cx="406400" cy="5956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xdr:cNvPicPr>
          <a:picLocks noChangeAspect="1"/>
        </xdr:cNvPicPr>
      </xdr:nvPicPr>
      <xdr:blipFill>
        <a:blip r:embed="rId854" cstate="email"/>
        <a:stretch>
          <a:fillRect/>
        </a:stretch>
      </xdr:blipFill>
      <xdr:spPr>
        <a:xfrm>
          <a:off x="1135380" y="744330490"/>
          <a:ext cx="419100" cy="59372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xdr:cNvPicPr>
          <a:picLocks noChangeAspect="1"/>
        </xdr:cNvPicPr>
      </xdr:nvPicPr>
      <xdr:blipFill>
        <a:blip r:embed="rId855" cstate="email"/>
        <a:stretch>
          <a:fillRect/>
        </a:stretch>
      </xdr:blipFill>
      <xdr:spPr>
        <a:xfrm>
          <a:off x="1148080" y="744940090"/>
          <a:ext cx="419100" cy="613410"/>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xdr:cNvPicPr>
          <a:picLocks noChangeAspect="1"/>
        </xdr:cNvPicPr>
      </xdr:nvPicPr>
      <xdr:blipFill>
        <a:blip r:embed="rId856" cstate="email"/>
        <a:stretch>
          <a:fillRect/>
        </a:stretch>
      </xdr:blipFill>
      <xdr:spPr>
        <a:xfrm>
          <a:off x="1148080" y="745604300"/>
          <a:ext cx="403860" cy="5842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xdr:cNvPicPr>
          <a:picLocks noChangeAspect="1"/>
        </xdr:cNvPicPr>
      </xdr:nvPicPr>
      <xdr:blipFill>
        <a:blip r:embed="rId857" cstate="email"/>
        <a:stretch>
          <a:fillRect/>
        </a:stretch>
      </xdr:blipFill>
      <xdr:spPr>
        <a:xfrm>
          <a:off x="1148080" y="746249460"/>
          <a:ext cx="487680" cy="5740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xdr:cNvPicPr>
          <a:picLocks noChangeAspect="1"/>
        </xdr:cNvPicPr>
      </xdr:nvPicPr>
      <xdr:blipFill>
        <a:blip r:embed="rId858" cstate="email"/>
        <a:stretch>
          <a:fillRect/>
        </a:stretch>
      </xdr:blipFill>
      <xdr:spPr>
        <a:xfrm>
          <a:off x="1202690" y="746877475"/>
          <a:ext cx="395605" cy="58102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xdr:cNvPicPr>
          <a:picLocks noChangeAspect="1"/>
        </xdr:cNvPicPr>
      </xdr:nvPicPr>
      <xdr:blipFill>
        <a:blip r:embed="rId859" cstate="email"/>
        <a:stretch>
          <a:fillRect/>
        </a:stretch>
      </xdr:blipFill>
      <xdr:spPr>
        <a:xfrm>
          <a:off x="1209040" y="747504220"/>
          <a:ext cx="396240" cy="589280"/>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xdr:cNvPicPr>
          <a:picLocks noChangeAspect="1"/>
        </xdr:cNvPicPr>
      </xdr:nvPicPr>
      <xdr:blipFill>
        <a:blip r:embed="rId860" cstate="email"/>
        <a:stretch>
          <a:fillRect/>
        </a:stretch>
      </xdr:blipFill>
      <xdr:spPr>
        <a:xfrm>
          <a:off x="944880" y="748093500"/>
          <a:ext cx="395605" cy="63182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xdr:cNvPicPr>
          <a:picLocks noChangeAspect="1"/>
        </xdr:cNvPicPr>
      </xdr:nvPicPr>
      <xdr:blipFill>
        <a:blip r:embed="rId860" cstate="email"/>
        <a:stretch>
          <a:fillRect/>
        </a:stretch>
      </xdr:blipFill>
      <xdr:spPr>
        <a:xfrm>
          <a:off x="944880" y="748728500"/>
          <a:ext cx="395605" cy="63182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xdr:cNvPicPr>
          <a:picLocks noChangeAspect="1"/>
        </xdr:cNvPicPr>
      </xdr:nvPicPr>
      <xdr:blipFill>
        <a:blip r:embed="rId861" cstate="email"/>
        <a:stretch>
          <a:fillRect/>
        </a:stretch>
      </xdr:blipFill>
      <xdr:spPr>
        <a:xfrm>
          <a:off x="1031240" y="749399695"/>
          <a:ext cx="490855" cy="598805"/>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xdr:cNvPicPr>
          <a:picLocks noChangeAspect="1"/>
        </xdr:cNvPicPr>
      </xdr:nvPicPr>
      <xdr:blipFill>
        <a:blip r:embed="rId862" cstate="email"/>
        <a:stretch>
          <a:fillRect/>
        </a:stretch>
      </xdr:blipFill>
      <xdr:spPr>
        <a:xfrm>
          <a:off x="944880" y="749998500"/>
          <a:ext cx="490220" cy="635000"/>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xdr:cNvPicPr>
          <a:picLocks noChangeAspect="1"/>
        </xdr:cNvPicPr>
      </xdr:nvPicPr>
      <xdr:blipFill>
        <a:blip r:embed="rId862" cstate="email"/>
        <a:stretch>
          <a:fillRect/>
        </a:stretch>
      </xdr:blipFill>
      <xdr:spPr>
        <a:xfrm>
          <a:off x="944880" y="750633500"/>
          <a:ext cx="490220" cy="635000"/>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xdr:cNvPicPr>
          <a:picLocks noChangeAspect="1"/>
        </xdr:cNvPicPr>
      </xdr:nvPicPr>
      <xdr:blipFill>
        <a:blip r:embed="rId863" cstate="email"/>
        <a:stretch>
          <a:fillRect/>
        </a:stretch>
      </xdr:blipFill>
      <xdr:spPr>
        <a:xfrm>
          <a:off x="992505" y="751307870"/>
          <a:ext cx="490855" cy="595630"/>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xdr:cNvPicPr>
          <a:picLocks noChangeAspect="1"/>
        </xdr:cNvPicPr>
      </xdr:nvPicPr>
      <xdr:blipFill>
        <a:blip r:embed="rId864" cstate="email"/>
        <a:stretch>
          <a:fillRect/>
        </a:stretch>
      </xdr:blipFill>
      <xdr:spPr>
        <a:xfrm>
          <a:off x="982980" y="751935250"/>
          <a:ext cx="500380" cy="603250"/>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xdr:cNvPicPr>
          <a:picLocks noChangeAspect="1"/>
        </xdr:cNvPicPr>
      </xdr:nvPicPr>
      <xdr:blipFill>
        <a:blip r:embed="rId865" cstate="email"/>
        <a:stretch>
          <a:fillRect/>
        </a:stretch>
      </xdr:blipFill>
      <xdr:spPr>
        <a:xfrm>
          <a:off x="1012190" y="752576600"/>
          <a:ext cx="487045" cy="596900"/>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xdr:cNvPicPr>
          <a:picLocks noChangeAspect="1"/>
        </xdr:cNvPicPr>
      </xdr:nvPicPr>
      <xdr:blipFill>
        <a:blip r:embed="rId866" cstate="email"/>
        <a:stretch>
          <a:fillRect/>
        </a:stretch>
      </xdr:blipFill>
      <xdr:spPr>
        <a:xfrm>
          <a:off x="995680" y="753214140"/>
          <a:ext cx="497840" cy="594360"/>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xdr:cNvPicPr>
          <a:picLocks noChangeAspect="1"/>
        </xdr:cNvPicPr>
      </xdr:nvPicPr>
      <xdr:blipFill>
        <a:blip r:embed="rId867" cstate="email"/>
        <a:stretch>
          <a:fillRect/>
        </a:stretch>
      </xdr:blipFill>
      <xdr:spPr>
        <a:xfrm>
          <a:off x="944880" y="753808500"/>
          <a:ext cx="497840" cy="635000"/>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xdr:cNvPicPr>
          <a:picLocks noChangeAspect="1"/>
        </xdr:cNvPicPr>
      </xdr:nvPicPr>
      <xdr:blipFill>
        <a:blip r:embed="rId867" cstate="email"/>
        <a:stretch>
          <a:fillRect/>
        </a:stretch>
      </xdr:blipFill>
      <xdr:spPr>
        <a:xfrm>
          <a:off x="944880" y="754443500"/>
          <a:ext cx="497840" cy="635000"/>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xdr:cNvPicPr>
          <a:picLocks noChangeAspect="1"/>
        </xdr:cNvPicPr>
      </xdr:nvPicPr>
      <xdr:blipFill>
        <a:blip r:embed="rId868" cstate="email"/>
        <a:stretch>
          <a:fillRect/>
        </a:stretch>
      </xdr:blipFill>
      <xdr:spPr>
        <a:xfrm>
          <a:off x="1005840" y="755134380"/>
          <a:ext cx="487680" cy="579120"/>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xdr:cNvPicPr>
          <a:picLocks noChangeAspect="1"/>
        </xdr:cNvPicPr>
      </xdr:nvPicPr>
      <xdr:blipFill>
        <a:blip r:embed="rId869" cstate="email"/>
        <a:stretch>
          <a:fillRect/>
        </a:stretch>
      </xdr:blipFill>
      <xdr:spPr>
        <a:xfrm>
          <a:off x="1005840" y="755779540"/>
          <a:ext cx="487680" cy="568960"/>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xdr:cNvPicPr>
          <a:picLocks noChangeAspect="1"/>
        </xdr:cNvPicPr>
      </xdr:nvPicPr>
      <xdr:blipFill>
        <a:blip r:embed="rId870" cstate="email"/>
        <a:stretch>
          <a:fillRect/>
        </a:stretch>
      </xdr:blipFill>
      <xdr:spPr>
        <a:xfrm>
          <a:off x="965200" y="756394220"/>
          <a:ext cx="487680" cy="589280"/>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xdr:cNvPicPr>
          <a:picLocks noChangeAspect="1"/>
        </xdr:cNvPicPr>
      </xdr:nvPicPr>
      <xdr:blipFill>
        <a:blip r:embed="rId871" cstate="email"/>
        <a:stretch>
          <a:fillRect/>
        </a:stretch>
      </xdr:blipFill>
      <xdr:spPr>
        <a:xfrm>
          <a:off x="985520" y="757030490"/>
          <a:ext cx="491490" cy="588010"/>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xdr:cNvPicPr>
          <a:picLocks noChangeAspect="1"/>
        </xdr:cNvPicPr>
      </xdr:nvPicPr>
      <xdr:blipFill>
        <a:blip r:embed="rId872" cstate="email"/>
        <a:stretch>
          <a:fillRect/>
        </a:stretch>
      </xdr:blipFill>
      <xdr:spPr>
        <a:xfrm>
          <a:off x="944880" y="757618500"/>
          <a:ext cx="491490" cy="635000"/>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xdr:cNvPicPr>
          <a:picLocks noChangeAspect="1"/>
        </xdr:cNvPicPr>
      </xdr:nvPicPr>
      <xdr:blipFill>
        <a:blip r:embed="rId872" cstate="email"/>
        <a:stretch>
          <a:fillRect/>
        </a:stretch>
      </xdr:blipFill>
      <xdr:spPr>
        <a:xfrm>
          <a:off x="944880" y="758253500"/>
          <a:ext cx="491490" cy="635000"/>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xdr:cNvPicPr>
          <a:picLocks noChangeAspect="1"/>
        </xdr:cNvPicPr>
      </xdr:nvPicPr>
      <xdr:blipFill>
        <a:blip r:embed="rId873" cstate="email"/>
        <a:stretch>
          <a:fillRect/>
        </a:stretch>
      </xdr:blipFill>
      <xdr:spPr>
        <a:xfrm>
          <a:off x="1005840" y="758911360"/>
          <a:ext cx="497840" cy="612140"/>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xdr:cNvPicPr>
          <a:picLocks noChangeAspect="1"/>
        </xdr:cNvPicPr>
      </xdr:nvPicPr>
      <xdr:blipFill>
        <a:blip r:embed="rId874" cstate="email"/>
        <a:stretch>
          <a:fillRect/>
        </a:stretch>
      </xdr:blipFill>
      <xdr:spPr>
        <a:xfrm>
          <a:off x="1026160" y="759548265"/>
          <a:ext cx="496570" cy="610235"/>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xdr:cNvPicPr>
          <a:picLocks noChangeAspect="1"/>
        </xdr:cNvPicPr>
      </xdr:nvPicPr>
      <xdr:blipFill>
        <a:blip r:embed="rId875" cstate="email"/>
        <a:stretch>
          <a:fillRect/>
        </a:stretch>
      </xdr:blipFill>
      <xdr:spPr>
        <a:xfrm>
          <a:off x="1036320" y="760197235"/>
          <a:ext cx="513080" cy="596265"/>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xdr:cNvPicPr>
          <a:picLocks noChangeAspect="1"/>
        </xdr:cNvPicPr>
      </xdr:nvPicPr>
      <xdr:blipFill>
        <a:blip r:embed="rId875" cstate="email"/>
        <a:stretch>
          <a:fillRect/>
        </a:stretch>
      </xdr:blipFill>
      <xdr:spPr>
        <a:xfrm>
          <a:off x="1005840" y="760832235"/>
          <a:ext cx="513080" cy="596265"/>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xdr:cNvPicPr>
          <a:picLocks noChangeAspect="1"/>
        </xdr:cNvPicPr>
      </xdr:nvPicPr>
      <xdr:blipFill>
        <a:blip r:embed="rId875" cstate="email"/>
        <a:stretch>
          <a:fillRect/>
        </a:stretch>
      </xdr:blipFill>
      <xdr:spPr>
        <a:xfrm>
          <a:off x="1005840" y="761467235"/>
          <a:ext cx="513080" cy="596265"/>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xdr:cNvPicPr>
          <a:picLocks noChangeAspect="1"/>
        </xdr:cNvPicPr>
      </xdr:nvPicPr>
      <xdr:blipFill>
        <a:blip r:embed="rId876" cstate="email"/>
        <a:stretch>
          <a:fillRect/>
        </a:stretch>
      </xdr:blipFill>
      <xdr:spPr>
        <a:xfrm>
          <a:off x="995680" y="762080645"/>
          <a:ext cx="528320" cy="617855"/>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xdr:cNvPicPr>
          <a:picLocks noChangeAspect="1"/>
        </xdr:cNvPicPr>
      </xdr:nvPicPr>
      <xdr:blipFill>
        <a:blip r:embed="rId877" cstate="email"/>
        <a:stretch>
          <a:fillRect/>
        </a:stretch>
      </xdr:blipFill>
      <xdr:spPr>
        <a:xfrm>
          <a:off x="985520" y="762739140"/>
          <a:ext cx="487680" cy="594360"/>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xdr:cNvPicPr>
          <a:picLocks noChangeAspect="1"/>
        </xdr:cNvPicPr>
      </xdr:nvPicPr>
      <xdr:blipFill>
        <a:blip r:embed="rId878" cstate="email"/>
        <a:stretch>
          <a:fillRect/>
        </a:stretch>
      </xdr:blipFill>
      <xdr:spPr>
        <a:xfrm>
          <a:off x="985520" y="763374140"/>
          <a:ext cx="477520" cy="594360"/>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xdr:cNvPicPr>
          <a:picLocks noChangeAspect="1"/>
        </xdr:cNvPicPr>
      </xdr:nvPicPr>
      <xdr:blipFill>
        <a:blip r:embed="rId879" cstate="email"/>
        <a:stretch>
          <a:fillRect/>
        </a:stretch>
      </xdr:blipFill>
      <xdr:spPr>
        <a:xfrm>
          <a:off x="985520" y="763998980"/>
          <a:ext cx="477520" cy="604520"/>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xdr:cNvPicPr>
          <a:picLocks noChangeAspect="1"/>
        </xdr:cNvPicPr>
      </xdr:nvPicPr>
      <xdr:blipFill>
        <a:blip r:embed="rId878" cstate="email"/>
        <a:stretch>
          <a:fillRect/>
        </a:stretch>
      </xdr:blipFill>
      <xdr:spPr>
        <a:xfrm>
          <a:off x="985520" y="764644140"/>
          <a:ext cx="477520" cy="594360"/>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xdr:cNvPicPr>
          <a:picLocks noChangeAspect="1"/>
        </xdr:cNvPicPr>
      </xdr:nvPicPr>
      <xdr:blipFill>
        <a:blip r:embed="rId880" cstate="email"/>
        <a:stretch>
          <a:fillRect/>
        </a:stretch>
      </xdr:blipFill>
      <xdr:spPr>
        <a:xfrm>
          <a:off x="1005840" y="765279140"/>
          <a:ext cx="487680" cy="594360"/>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xdr:cNvPicPr>
          <a:picLocks noChangeAspect="1"/>
        </xdr:cNvPicPr>
      </xdr:nvPicPr>
      <xdr:blipFill>
        <a:blip r:embed="rId880" cstate="email"/>
        <a:stretch>
          <a:fillRect/>
        </a:stretch>
      </xdr:blipFill>
      <xdr:spPr>
        <a:xfrm>
          <a:off x="1005840" y="767184140"/>
          <a:ext cx="487680" cy="594360"/>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xdr:cNvPicPr>
          <a:picLocks noChangeAspect="1"/>
        </xdr:cNvPicPr>
      </xdr:nvPicPr>
      <xdr:blipFill>
        <a:blip r:embed="rId881" cstate="email"/>
        <a:stretch>
          <a:fillRect/>
        </a:stretch>
      </xdr:blipFill>
      <xdr:spPr>
        <a:xfrm>
          <a:off x="1026160" y="770348980"/>
          <a:ext cx="487680" cy="604520"/>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xdr:cNvPicPr>
          <a:picLocks noChangeAspect="1"/>
        </xdr:cNvPicPr>
      </xdr:nvPicPr>
      <xdr:blipFill>
        <a:blip r:embed="rId882" cstate="email"/>
        <a:stretch>
          <a:fillRect/>
        </a:stretch>
      </xdr:blipFill>
      <xdr:spPr>
        <a:xfrm>
          <a:off x="1008380" y="770983980"/>
          <a:ext cx="494665" cy="60452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xdr:cNvPicPr>
          <a:picLocks noChangeAspect="1"/>
        </xdr:cNvPicPr>
      </xdr:nvPicPr>
      <xdr:blipFill>
        <a:blip r:embed="rId883" cstate="email"/>
        <a:stretch>
          <a:fillRect/>
        </a:stretch>
      </xdr:blipFill>
      <xdr:spPr>
        <a:xfrm>
          <a:off x="975360" y="771588500"/>
          <a:ext cx="494665" cy="63500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xdr:cNvPicPr>
          <a:picLocks noChangeAspect="1"/>
        </xdr:cNvPicPr>
      </xdr:nvPicPr>
      <xdr:blipFill>
        <a:blip r:embed="rId882" cstate="email"/>
        <a:stretch>
          <a:fillRect/>
        </a:stretch>
      </xdr:blipFill>
      <xdr:spPr>
        <a:xfrm>
          <a:off x="970280" y="772246995"/>
          <a:ext cx="494665"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xdr:cNvPicPr>
          <a:picLocks noChangeAspect="1"/>
        </xdr:cNvPicPr>
      </xdr:nvPicPr>
      <xdr:blipFill>
        <a:blip r:embed="rId882" cstate="email"/>
        <a:stretch>
          <a:fillRect/>
        </a:stretch>
      </xdr:blipFill>
      <xdr:spPr>
        <a:xfrm>
          <a:off x="975360" y="777968980"/>
          <a:ext cx="494665" cy="60452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xdr:cNvPicPr>
          <a:picLocks noChangeAspect="1"/>
        </xdr:cNvPicPr>
      </xdr:nvPicPr>
      <xdr:blipFill>
        <a:blip r:embed="rId881" cstate="email"/>
        <a:stretch>
          <a:fillRect/>
        </a:stretch>
      </xdr:blipFill>
      <xdr:spPr>
        <a:xfrm>
          <a:off x="1016000" y="765903980"/>
          <a:ext cx="487680" cy="604520"/>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xdr:cNvPicPr>
          <a:picLocks noChangeAspect="1"/>
        </xdr:cNvPicPr>
      </xdr:nvPicPr>
      <xdr:blipFill>
        <a:blip r:embed="rId881" cstate="email"/>
        <a:stretch>
          <a:fillRect/>
        </a:stretch>
      </xdr:blipFill>
      <xdr:spPr>
        <a:xfrm>
          <a:off x="995680" y="766538980"/>
          <a:ext cx="487680" cy="604520"/>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xdr:cNvPicPr>
          <a:picLocks noChangeAspect="1"/>
        </xdr:cNvPicPr>
      </xdr:nvPicPr>
      <xdr:blipFill>
        <a:blip r:embed="rId884" cstate="email"/>
        <a:stretch>
          <a:fillRect/>
        </a:stretch>
      </xdr:blipFill>
      <xdr:spPr>
        <a:xfrm>
          <a:off x="944880" y="767778500"/>
          <a:ext cx="487680" cy="635000"/>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xdr:cNvPicPr>
          <a:picLocks noChangeAspect="1"/>
        </xdr:cNvPicPr>
      </xdr:nvPicPr>
      <xdr:blipFill>
        <a:blip r:embed="rId884" cstate="email"/>
        <a:stretch>
          <a:fillRect/>
        </a:stretch>
      </xdr:blipFill>
      <xdr:spPr>
        <a:xfrm>
          <a:off x="944880" y="768413500"/>
          <a:ext cx="487680" cy="635000"/>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xdr:cNvPicPr>
          <a:picLocks noChangeAspect="1"/>
        </xdr:cNvPicPr>
      </xdr:nvPicPr>
      <xdr:blipFill>
        <a:blip r:embed="rId885" cstate="email"/>
        <a:stretch>
          <a:fillRect/>
        </a:stretch>
      </xdr:blipFill>
      <xdr:spPr>
        <a:xfrm>
          <a:off x="985520" y="778613505"/>
          <a:ext cx="476885" cy="594995"/>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xdr:cNvPicPr>
          <a:picLocks noChangeAspect="1"/>
        </xdr:cNvPicPr>
      </xdr:nvPicPr>
      <xdr:blipFill>
        <a:blip r:embed="rId886" cstate="email"/>
        <a:stretch>
          <a:fillRect/>
        </a:stretch>
      </xdr:blipFill>
      <xdr:spPr>
        <a:xfrm>
          <a:off x="965200" y="779257395"/>
          <a:ext cx="629920" cy="586105"/>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xdr:cNvPicPr>
          <a:picLocks noChangeAspect="1"/>
        </xdr:cNvPicPr>
      </xdr:nvPicPr>
      <xdr:blipFill>
        <a:blip r:embed="rId887" cstate="email"/>
        <a:stretch>
          <a:fillRect/>
        </a:stretch>
      </xdr:blipFill>
      <xdr:spPr>
        <a:xfrm>
          <a:off x="1005840" y="779873980"/>
          <a:ext cx="497205" cy="60452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xdr:cNvPicPr>
          <a:picLocks noChangeAspect="1"/>
        </xdr:cNvPicPr>
      </xdr:nvPicPr>
      <xdr:blipFill>
        <a:blip r:embed="rId888" cstate="email"/>
        <a:stretch>
          <a:fillRect/>
        </a:stretch>
      </xdr:blipFill>
      <xdr:spPr>
        <a:xfrm>
          <a:off x="985520" y="781771995"/>
          <a:ext cx="497840" cy="611505"/>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xdr:cNvPicPr>
          <a:picLocks noChangeAspect="1"/>
        </xdr:cNvPicPr>
      </xdr:nvPicPr>
      <xdr:blipFill>
        <a:blip r:embed="rId887" cstate="email"/>
        <a:stretch>
          <a:fillRect/>
        </a:stretch>
      </xdr:blipFill>
      <xdr:spPr>
        <a:xfrm>
          <a:off x="1016000" y="780508980"/>
          <a:ext cx="497205" cy="60452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xdr:cNvPicPr>
          <a:picLocks noChangeAspect="1"/>
        </xdr:cNvPicPr>
      </xdr:nvPicPr>
      <xdr:blipFill>
        <a:blip r:embed="rId887" cstate="email"/>
        <a:stretch>
          <a:fillRect/>
        </a:stretch>
      </xdr:blipFill>
      <xdr:spPr>
        <a:xfrm>
          <a:off x="1026160" y="781143980"/>
          <a:ext cx="497205" cy="60452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xdr:cNvPicPr>
          <a:picLocks noChangeAspect="1"/>
        </xdr:cNvPicPr>
      </xdr:nvPicPr>
      <xdr:blipFill>
        <a:blip r:embed="rId888" cstate="email"/>
        <a:stretch>
          <a:fillRect/>
        </a:stretch>
      </xdr:blipFill>
      <xdr:spPr>
        <a:xfrm>
          <a:off x="1016000" y="782403820"/>
          <a:ext cx="497840" cy="614680"/>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xdr:cNvPicPr>
          <a:picLocks noChangeAspect="1"/>
        </xdr:cNvPicPr>
      </xdr:nvPicPr>
      <xdr:blipFill>
        <a:blip r:embed="rId889" cstate="email"/>
        <a:stretch>
          <a:fillRect/>
        </a:stretch>
      </xdr:blipFill>
      <xdr:spPr>
        <a:xfrm>
          <a:off x="1036320" y="783059140"/>
          <a:ext cx="487680" cy="59436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xdr:cNvPicPr>
          <a:picLocks noChangeAspect="1"/>
        </xdr:cNvPicPr>
      </xdr:nvPicPr>
      <xdr:blipFill>
        <a:blip r:embed="rId890" cstate="email"/>
        <a:stretch>
          <a:fillRect/>
        </a:stretch>
      </xdr:blipFill>
      <xdr:spPr>
        <a:xfrm>
          <a:off x="1017905" y="783683980"/>
          <a:ext cx="485775" cy="604520"/>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xdr:cNvPicPr>
          <a:picLocks noChangeAspect="1"/>
        </xdr:cNvPicPr>
      </xdr:nvPicPr>
      <xdr:blipFill>
        <a:blip r:embed="rId891" cstate="email"/>
        <a:stretch>
          <a:fillRect/>
        </a:stretch>
      </xdr:blipFill>
      <xdr:spPr>
        <a:xfrm>
          <a:off x="944880" y="784288500"/>
          <a:ext cx="485140" cy="635000"/>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xdr:cNvPicPr>
          <a:picLocks noChangeAspect="1"/>
        </xdr:cNvPicPr>
      </xdr:nvPicPr>
      <xdr:blipFill>
        <a:blip r:embed="rId892" cstate="email"/>
        <a:stretch>
          <a:fillRect/>
        </a:stretch>
      </xdr:blipFill>
      <xdr:spPr>
        <a:xfrm>
          <a:off x="975360" y="784964140"/>
          <a:ext cx="485140" cy="594360"/>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xdr:cNvPicPr>
          <a:picLocks noChangeAspect="1"/>
        </xdr:cNvPicPr>
      </xdr:nvPicPr>
      <xdr:blipFill>
        <a:blip r:embed="rId892" cstate="email"/>
        <a:stretch>
          <a:fillRect/>
        </a:stretch>
      </xdr:blipFill>
      <xdr:spPr>
        <a:xfrm>
          <a:off x="965200" y="785599140"/>
          <a:ext cx="485140" cy="594360"/>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xdr:cNvPicPr>
          <a:picLocks noChangeAspect="1"/>
        </xdr:cNvPicPr>
      </xdr:nvPicPr>
      <xdr:blipFill>
        <a:blip r:embed="rId893" cstate="email"/>
        <a:stretch>
          <a:fillRect/>
        </a:stretch>
      </xdr:blipFill>
      <xdr:spPr>
        <a:xfrm>
          <a:off x="976630" y="786223980"/>
          <a:ext cx="496570" cy="60452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xdr:cNvPicPr>
          <a:picLocks noChangeAspect="1"/>
        </xdr:cNvPicPr>
      </xdr:nvPicPr>
      <xdr:blipFill>
        <a:blip r:embed="rId893" cstate="email"/>
        <a:stretch>
          <a:fillRect/>
        </a:stretch>
      </xdr:blipFill>
      <xdr:spPr>
        <a:xfrm>
          <a:off x="975360" y="786858980"/>
          <a:ext cx="495935" cy="60452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xdr:cNvPicPr>
          <a:picLocks noChangeAspect="1"/>
        </xdr:cNvPicPr>
      </xdr:nvPicPr>
      <xdr:blipFill>
        <a:blip r:embed="rId894" cstate="email"/>
        <a:stretch>
          <a:fillRect/>
        </a:stretch>
      </xdr:blipFill>
      <xdr:spPr>
        <a:xfrm>
          <a:off x="944880" y="787463500"/>
          <a:ext cx="495935" cy="63500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xdr:cNvPicPr>
          <a:picLocks noChangeAspect="1"/>
        </xdr:cNvPicPr>
      </xdr:nvPicPr>
      <xdr:blipFill>
        <a:blip r:embed="rId895" cstate="email"/>
        <a:stretch>
          <a:fillRect/>
        </a:stretch>
      </xdr:blipFill>
      <xdr:spPr>
        <a:xfrm>
          <a:off x="985520" y="788149300"/>
          <a:ext cx="476250" cy="58420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xdr:cNvPicPr>
          <a:picLocks noChangeAspect="1"/>
        </xdr:cNvPicPr>
      </xdr:nvPicPr>
      <xdr:blipFill>
        <a:blip r:embed="rId896" cstate="email"/>
        <a:stretch>
          <a:fillRect/>
        </a:stretch>
      </xdr:blipFill>
      <xdr:spPr>
        <a:xfrm>
          <a:off x="985520" y="790058110"/>
          <a:ext cx="561975" cy="580390"/>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xdr:cNvPicPr>
          <a:picLocks noChangeAspect="1"/>
        </xdr:cNvPicPr>
      </xdr:nvPicPr>
      <xdr:blipFill>
        <a:blip r:embed="rId896" cstate="email"/>
        <a:stretch>
          <a:fillRect/>
        </a:stretch>
      </xdr:blipFill>
      <xdr:spPr>
        <a:xfrm>
          <a:off x="985520" y="790693110"/>
          <a:ext cx="561975" cy="580390"/>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xdr:cNvPicPr>
          <a:picLocks noChangeAspect="1"/>
        </xdr:cNvPicPr>
      </xdr:nvPicPr>
      <xdr:blipFill>
        <a:blip r:embed="rId897" cstate="email"/>
        <a:stretch>
          <a:fillRect/>
        </a:stretch>
      </xdr:blipFill>
      <xdr:spPr>
        <a:xfrm>
          <a:off x="985520" y="789391995"/>
          <a:ext cx="457200" cy="611505"/>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xdr:cNvPicPr>
          <a:picLocks noChangeAspect="1"/>
        </xdr:cNvPicPr>
      </xdr:nvPicPr>
      <xdr:blipFill>
        <a:blip r:embed="rId897" cstate="email"/>
        <a:stretch>
          <a:fillRect/>
        </a:stretch>
      </xdr:blipFill>
      <xdr:spPr>
        <a:xfrm>
          <a:off x="985520" y="788763980"/>
          <a:ext cx="457200" cy="604520"/>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xdr:cNvPicPr>
          <a:picLocks noChangeAspect="1"/>
        </xdr:cNvPicPr>
      </xdr:nvPicPr>
      <xdr:blipFill>
        <a:blip r:embed="rId898" cstate="email"/>
        <a:stretch>
          <a:fillRect/>
        </a:stretch>
      </xdr:blipFill>
      <xdr:spPr>
        <a:xfrm>
          <a:off x="985520" y="793859855"/>
          <a:ext cx="558800" cy="588645"/>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xdr:cNvPicPr>
          <a:picLocks noChangeAspect="1"/>
        </xdr:cNvPicPr>
      </xdr:nvPicPr>
      <xdr:blipFill>
        <a:blip r:embed="rId899" cstate="email"/>
        <a:stretch>
          <a:fillRect/>
        </a:stretch>
      </xdr:blipFill>
      <xdr:spPr>
        <a:xfrm>
          <a:off x="989965" y="795769935"/>
          <a:ext cx="645795" cy="583565"/>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xdr:cNvPicPr>
          <a:picLocks noChangeAspect="1"/>
        </xdr:cNvPicPr>
      </xdr:nvPicPr>
      <xdr:blipFill>
        <a:blip r:embed="rId900" cstate="email"/>
        <a:stretch>
          <a:fillRect/>
        </a:stretch>
      </xdr:blipFill>
      <xdr:spPr>
        <a:xfrm>
          <a:off x="950595" y="795117790"/>
          <a:ext cx="489585" cy="60071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xdr:cNvPicPr>
          <a:picLocks noChangeAspect="1"/>
        </xdr:cNvPicPr>
      </xdr:nvPicPr>
      <xdr:blipFill>
        <a:blip r:embed="rId901" cstate="email"/>
        <a:stretch>
          <a:fillRect/>
        </a:stretch>
      </xdr:blipFill>
      <xdr:spPr>
        <a:xfrm>
          <a:off x="1059180" y="804619930"/>
          <a:ext cx="478790" cy="6235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xdr:cNvPicPr>
          <a:picLocks noChangeAspect="1"/>
        </xdr:cNvPicPr>
      </xdr:nvPicPr>
      <xdr:blipFill>
        <a:blip r:embed="rId902" cstate="email"/>
        <a:stretch>
          <a:fillRect/>
        </a:stretch>
      </xdr:blipFill>
      <xdr:spPr>
        <a:xfrm>
          <a:off x="1062355" y="805269535"/>
          <a:ext cx="479425" cy="623570"/>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xdr:cNvPicPr>
          <a:picLocks noChangeAspect="1"/>
        </xdr:cNvPicPr>
      </xdr:nvPicPr>
      <xdr:blipFill>
        <a:blip r:embed="rId903" cstate="email"/>
        <a:stretch>
          <a:fillRect/>
        </a:stretch>
      </xdr:blipFill>
      <xdr:spPr>
        <a:xfrm>
          <a:off x="1036320" y="804015410"/>
          <a:ext cx="445770" cy="593090"/>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xdr:cNvPicPr>
          <a:picLocks noChangeAspect="1"/>
        </xdr:cNvPicPr>
      </xdr:nvPicPr>
      <xdr:blipFill>
        <a:blip r:embed="rId904" cstate="email"/>
        <a:stretch>
          <a:fillRect/>
        </a:stretch>
      </xdr:blipFill>
      <xdr:spPr>
        <a:xfrm>
          <a:off x="990600" y="803361360"/>
          <a:ext cx="467360" cy="612140"/>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xdr:cNvPicPr>
          <a:picLocks noChangeAspect="1"/>
        </xdr:cNvPicPr>
      </xdr:nvPicPr>
      <xdr:blipFill>
        <a:blip r:embed="rId905" cstate="email"/>
        <a:stretch>
          <a:fillRect/>
        </a:stretch>
      </xdr:blipFill>
      <xdr:spPr>
        <a:xfrm>
          <a:off x="972185" y="807796835"/>
          <a:ext cx="480695" cy="621665"/>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xdr:cNvPicPr>
          <a:picLocks noChangeAspect="1"/>
        </xdr:cNvPicPr>
      </xdr:nvPicPr>
      <xdr:blipFill>
        <a:blip r:embed="rId906" cstate="email"/>
        <a:stretch>
          <a:fillRect/>
        </a:stretch>
      </xdr:blipFill>
      <xdr:spPr>
        <a:xfrm>
          <a:off x="1012825" y="810348900"/>
          <a:ext cx="537845" cy="609600"/>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xdr:cNvPicPr>
          <a:picLocks noChangeAspect="1"/>
        </xdr:cNvPicPr>
      </xdr:nvPicPr>
      <xdr:blipFill>
        <a:blip r:embed="rId906" cstate="email"/>
        <a:stretch>
          <a:fillRect/>
        </a:stretch>
      </xdr:blipFill>
      <xdr:spPr>
        <a:xfrm>
          <a:off x="999490" y="809715805"/>
          <a:ext cx="537845" cy="60769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xdr:cNvPicPr>
          <a:picLocks noChangeAspect="1"/>
        </xdr:cNvPicPr>
      </xdr:nvPicPr>
      <xdr:blipFill>
        <a:blip r:embed="rId907" cstate="email"/>
        <a:stretch>
          <a:fillRect/>
        </a:stretch>
      </xdr:blipFill>
      <xdr:spPr>
        <a:xfrm>
          <a:off x="987425" y="808447075"/>
          <a:ext cx="480695" cy="614680"/>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xdr:cNvPicPr>
          <a:picLocks noChangeAspect="1"/>
        </xdr:cNvPicPr>
      </xdr:nvPicPr>
      <xdr:blipFill>
        <a:blip r:embed="rId905" cstate="email"/>
        <a:stretch>
          <a:fillRect/>
        </a:stretch>
      </xdr:blipFill>
      <xdr:spPr>
        <a:xfrm>
          <a:off x="999490" y="809071280"/>
          <a:ext cx="480695" cy="617220"/>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xdr:cNvPicPr>
          <a:picLocks noChangeAspect="1"/>
        </xdr:cNvPicPr>
      </xdr:nvPicPr>
      <xdr:blipFill>
        <a:blip r:embed="rId908" cstate="email"/>
        <a:stretch>
          <a:fillRect/>
        </a:stretch>
      </xdr:blipFill>
      <xdr:spPr>
        <a:xfrm>
          <a:off x="984250" y="810982630"/>
          <a:ext cx="530225" cy="610870"/>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xdr:cNvPicPr>
          <a:picLocks noChangeAspect="1"/>
        </xdr:cNvPicPr>
      </xdr:nvPicPr>
      <xdr:blipFill>
        <a:blip r:embed="rId909" cstate="email"/>
        <a:stretch>
          <a:fillRect/>
        </a:stretch>
      </xdr:blipFill>
      <xdr:spPr>
        <a:xfrm>
          <a:off x="1002030" y="812260885"/>
          <a:ext cx="528955" cy="602615"/>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xdr:cNvPicPr>
          <a:picLocks noChangeAspect="1"/>
        </xdr:cNvPicPr>
      </xdr:nvPicPr>
      <xdr:blipFill>
        <a:blip r:embed="rId910" cstate="email"/>
        <a:stretch>
          <a:fillRect/>
        </a:stretch>
      </xdr:blipFill>
      <xdr:spPr>
        <a:xfrm>
          <a:off x="1024890" y="813539140"/>
          <a:ext cx="416560" cy="594360"/>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xdr:cNvPicPr>
          <a:picLocks noChangeAspect="1"/>
        </xdr:cNvPicPr>
      </xdr:nvPicPr>
      <xdr:blipFill>
        <a:blip r:embed="rId911" cstate="email"/>
        <a:stretch>
          <a:fillRect/>
        </a:stretch>
      </xdr:blipFill>
      <xdr:spPr>
        <a:xfrm>
          <a:off x="964565" y="814809140"/>
          <a:ext cx="533400" cy="594360"/>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xdr:cNvPicPr>
          <a:picLocks noChangeAspect="1"/>
        </xdr:cNvPicPr>
      </xdr:nvPicPr>
      <xdr:blipFill>
        <a:blip r:embed="rId911" cstate="email"/>
        <a:stretch>
          <a:fillRect/>
        </a:stretch>
      </xdr:blipFill>
      <xdr:spPr>
        <a:xfrm>
          <a:off x="969010" y="814174140"/>
          <a:ext cx="533400" cy="594360"/>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xdr:cNvPicPr>
          <a:picLocks noChangeAspect="1"/>
        </xdr:cNvPicPr>
      </xdr:nvPicPr>
      <xdr:blipFill>
        <a:blip r:embed="rId912" cstate="email"/>
        <a:stretch>
          <a:fillRect/>
        </a:stretch>
      </xdr:blipFill>
      <xdr:spPr>
        <a:xfrm>
          <a:off x="960755" y="807181520"/>
          <a:ext cx="472440" cy="601980"/>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xdr:cNvPicPr>
          <a:picLocks noChangeAspect="1"/>
        </xdr:cNvPicPr>
      </xdr:nvPicPr>
      <xdr:blipFill>
        <a:blip r:embed="rId913" cstate="email"/>
        <a:stretch>
          <a:fillRect/>
        </a:stretch>
      </xdr:blipFill>
      <xdr:spPr>
        <a:xfrm>
          <a:off x="1058545" y="806545885"/>
          <a:ext cx="358140" cy="602615"/>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xdr:cNvPicPr>
          <a:picLocks noChangeAspect="1"/>
        </xdr:cNvPicPr>
      </xdr:nvPicPr>
      <xdr:blipFill>
        <a:blip r:embed="rId914" cstate="email"/>
        <a:stretch>
          <a:fillRect/>
        </a:stretch>
      </xdr:blipFill>
      <xdr:spPr>
        <a:xfrm>
          <a:off x="1022350" y="805910885"/>
          <a:ext cx="353695" cy="602615"/>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xdr:cNvPicPr>
          <a:picLocks noChangeAspect="1"/>
        </xdr:cNvPicPr>
      </xdr:nvPicPr>
      <xdr:blipFill>
        <a:blip r:embed="rId915" cstate="email"/>
        <a:stretch>
          <a:fillRect/>
        </a:stretch>
      </xdr:blipFill>
      <xdr:spPr>
        <a:xfrm>
          <a:off x="981710" y="802719375"/>
          <a:ext cx="492125" cy="619125"/>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xdr:cNvPicPr>
          <a:picLocks noChangeAspect="1"/>
        </xdr:cNvPicPr>
      </xdr:nvPicPr>
      <xdr:blipFill>
        <a:blip r:embed="rId916" cstate="email"/>
        <a:stretch>
          <a:fillRect/>
        </a:stretch>
      </xdr:blipFill>
      <xdr:spPr>
        <a:xfrm>
          <a:off x="993140" y="802117395"/>
          <a:ext cx="602615" cy="586105"/>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xdr:cNvPicPr>
          <a:picLocks noChangeAspect="1"/>
        </xdr:cNvPicPr>
      </xdr:nvPicPr>
      <xdr:blipFill>
        <a:blip r:embed="rId917" cstate="email"/>
        <a:stretch>
          <a:fillRect/>
        </a:stretch>
      </xdr:blipFill>
      <xdr:spPr>
        <a:xfrm>
          <a:off x="980440" y="801470330"/>
          <a:ext cx="602615" cy="598170"/>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xdr:cNvPicPr>
          <a:picLocks noChangeAspect="1"/>
        </xdr:cNvPicPr>
      </xdr:nvPicPr>
      <xdr:blipFill>
        <a:blip r:embed="rId918" cstate="email"/>
        <a:stretch>
          <a:fillRect/>
        </a:stretch>
      </xdr:blipFill>
      <xdr:spPr>
        <a:xfrm>
          <a:off x="983615" y="800839140"/>
          <a:ext cx="489585" cy="594360"/>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xdr:cNvPicPr>
          <a:picLocks noChangeAspect="1"/>
        </xdr:cNvPicPr>
      </xdr:nvPicPr>
      <xdr:blipFill>
        <a:blip r:embed="rId919" cstate="email"/>
        <a:stretch>
          <a:fillRect/>
        </a:stretch>
      </xdr:blipFill>
      <xdr:spPr>
        <a:xfrm>
          <a:off x="985520" y="800193980"/>
          <a:ext cx="497840" cy="604520"/>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xdr:cNvPicPr>
          <a:picLocks noChangeAspect="1"/>
        </xdr:cNvPicPr>
      </xdr:nvPicPr>
      <xdr:blipFill>
        <a:blip r:embed="rId920" cstate="email"/>
        <a:stretch>
          <a:fillRect/>
        </a:stretch>
      </xdr:blipFill>
      <xdr:spPr>
        <a:xfrm>
          <a:off x="1012190" y="799557075"/>
          <a:ext cx="491490" cy="606425"/>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xdr:cNvPicPr>
          <a:picLocks noChangeAspect="1"/>
        </xdr:cNvPicPr>
      </xdr:nvPicPr>
      <xdr:blipFill>
        <a:blip r:embed="rId921" cstate="email"/>
        <a:stretch>
          <a:fillRect/>
        </a:stretch>
      </xdr:blipFill>
      <xdr:spPr>
        <a:xfrm>
          <a:off x="968375" y="798931600"/>
          <a:ext cx="455930" cy="595630"/>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xdr:cNvPicPr>
          <a:picLocks noChangeAspect="1"/>
        </xdr:cNvPicPr>
      </xdr:nvPicPr>
      <xdr:blipFill>
        <a:blip r:embed="rId922" cstate="email"/>
        <a:stretch>
          <a:fillRect/>
        </a:stretch>
      </xdr:blipFill>
      <xdr:spPr>
        <a:xfrm>
          <a:off x="978535" y="798330255"/>
          <a:ext cx="455295" cy="563245"/>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xdr:cNvPicPr>
          <a:picLocks noChangeAspect="1"/>
        </xdr:cNvPicPr>
      </xdr:nvPicPr>
      <xdr:blipFill>
        <a:blip r:embed="rId923" cstate="email"/>
        <a:stretch>
          <a:fillRect/>
        </a:stretch>
      </xdr:blipFill>
      <xdr:spPr>
        <a:xfrm>
          <a:off x="988060" y="797669855"/>
          <a:ext cx="455930" cy="588645"/>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xdr:cNvPicPr>
          <a:picLocks noChangeAspect="1"/>
        </xdr:cNvPicPr>
      </xdr:nvPicPr>
      <xdr:blipFill>
        <a:blip r:embed="rId923" cstate="email"/>
        <a:stretch>
          <a:fillRect/>
        </a:stretch>
      </xdr:blipFill>
      <xdr:spPr>
        <a:xfrm>
          <a:off x="1010285" y="797045015"/>
          <a:ext cx="455295" cy="578485"/>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xdr:cNvPicPr>
          <a:picLocks noChangeAspect="1"/>
        </xdr:cNvPicPr>
      </xdr:nvPicPr>
      <xdr:blipFill>
        <a:blip r:embed="rId884" cstate="email"/>
        <a:stretch>
          <a:fillRect/>
        </a:stretch>
      </xdr:blipFill>
      <xdr:spPr>
        <a:xfrm>
          <a:off x="944880" y="769048500"/>
          <a:ext cx="487680" cy="635000"/>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xdr:cNvPicPr>
          <a:picLocks noChangeAspect="1"/>
        </xdr:cNvPicPr>
      </xdr:nvPicPr>
      <xdr:blipFill>
        <a:blip r:embed="rId845" cstate="email"/>
        <a:stretch>
          <a:fillRect/>
        </a:stretch>
      </xdr:blipFill>
      <xdr:spPr>
        <a:xfrm>
          <a:off x="1090295" y="833222235"/>
          <a:ext cx="387350" cy="596265"/>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xdr:cNvPicPr>
          <a:picLocks noChangeAspect="1"/>
        </xdr:cNvPicPr>
      </xdr:nvPicPr>
      <xdr:blipFill>
        <a:blip r:embed="rId845" cstate="email"/>
        <a:stretch>
          <a:fillRect/>
        </a:stretch>
      </xdr:blipFill>
      <xdr:spPr>
        <a:xfrm>
          <a:off x="1090295" y="833857235"/>
          <a:ext cx="387350" cy="596265"/>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xdr:cNvPicPr>
          <a:picLocks noChangeAspect="1"/>
        </xdr:cNvPicPr>
      </xdr:nvPicPr>
      <xdr:blipFill>
        <a:blip r:embed="rId845" cstate="email"/>
        <a:stretch>
          <a:fillRect/>
        </a:stretch>
      </xdr:blipFill>
      <xdr:spPr>
        <a:xfrm>
          <a:off x="1090295" y="834492235"/>
          <a:ext cx="387350" cy="596265"/>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xdr:cNvPicPr>
          <a:picLocks noChangeAspect="1"/>
        </xdr:cNvPicPr>
      </xdr:nvPicPr>
      <xdr:blipFill>
        <a:blip r:embed="rId884" cstate="email"/>
        <a:stretch>
          <a:fillRect/>
        </a:stretch>
      </xdr:blipFill>
      <xdr:spPr>
        <a:xfrm>
          <a:off x="978535" y="769691755"/>
          <a:ext cx="487680" cy="639445"/>
        </a:xfrm>
        <a:prstGeom prst="rect">
          <a:avLst/>
        </a:prstGeom>
      </xdr:spPr>
    </xdr:pic>
    <xdr:clientData/>
  </xdr:twoCellAnchor>
  <xdr:twoCellAnchor>
    <xdr:from>
      <xdr:col>1</xdr:col>
      <xdr:colOff>33867</xdr:colOff>
      <xdr:row>1731</xdr:row>
      <xdr:rowOff>95673</xdr:rowOff>
    </xdr:from>
    <xdr:to>
      <xdr:col>1</xdr:col>
      <xdr:colOff>528740</xdr:colOff>
      <xdr:row>1733</xdr:row>
      <xdr:rowOff>187113</xdr:rowOff>
    </xdr:to>
    <xdr:pic>
      <xdr:nvPicPr>
        <xdr:cNvPr id="1098" name="Picture 1097"/>
        <xdr:cNvPicPr>
          <a:picLocks noChangeAspect="1"/>
        </xdr:cNvPicPr>
      </xdr:nvPicPr>
      <xdr:blipFill>
        <a:blip r:embed="rId924" cstate="email"/>
        <a:stretch>
          <a:fillRect/>
        </a:stretch>
      </xdr:blipFill>
      <xdr:spPr>
        <a:xfrm>
          <a:off x="978535" y="1080121030"/>
          <a:ext cx="494665"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xdr:cNvPicPr>
          <a:picLocks noChangeAspect="1"/>
        </xdr:cNvPicPr>
      </xdr:nvPicPr>
      <xdr:blipFill>
        <a:blip r:embed="rId882" cstate="email"/>
        <a:stretch>
          <a:fillRect/>
        </a:stretch>
      </xdr:blipFill>
      <xdr:spPr>
        <a:xfrm>
          <a:off x="1046480" y="772890250"/>
          <a:ext cx="494665"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xdr:cNvPicPr>
          <a:picLocks noChangeAspect="1"/>
        </xdr:cNvPicPr>
      </xdr:nvPicPr>
      <xdr:blipFill>
        <a:blip r:embed="rId882" cstate="email"/>
        <a:stretch>
          <a:fillRect/>
        </a:stretch>
      </xdr:blipFill>
      <xdr:spPr>
        <a:xfrm>
          <a:off x="944880" y="773493500"/>
          <a:ext cx="494665"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xdr:cNvPicPr>
          <a:picLocks noChangeAspect="1"/>
        </xdr:cNvPicPr>
      </xdr:nvPicPr>
      <xdr:blipFill>
        <a:blip r:embed="rId882" cstate="email"/>
        <a:stretch>
          <a:fillRect/>
        </a:stretch>
      </xdr:blipFill>
      <xdr:spPr>
        <a:xfrm>
          <a:off x="944880" y="774128500"/>
          <a:ext cx="494665"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xdr:cNvPicPr>
          <a:picLocks noChangeAspect="1"/>
        </xdr:cNvPicPr>
      </xdr:nvPicPr>
      <xdr:blipFill>
        <a:blip r:embed="rId882" cstate="email"/>
        <a:stretch>
          <a:fillRect/>
        </a:stretch>
      </xdr:blipFill>
      <xdr:spPr>
        <a:xfrm>
          <a:off x="1021080" y="774771755"/>
          <a:ext cx="494665"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xdr:cNvPicPr>
          <a:picLocks noChangeAspect="1"/>
        </xdr:cNvPicPr>
      </xdr:nvPicPr>
      <xdr:blipFill>
        <a:blip r:embed="rId882" cstate="email"/>
        <a:stretch>
          <a:fillRect/>
        </a:stretch>
      </xdr:blipFill>
      <xdr:spPr>
        <a:xfrm>
          <a:off x="944880" y="775398500"/>
          <a:ext cx="494665"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xdr:cNvPicPr>
          <a:picLocks noChangeAspect="1"/>
        </xdr:cNvPicPr>
      </xdr:nvPicPr>
      <xdr:blipFill>
        <a:blip r:embed="rId882" cstate="email"/>
        <a:stretch>
          <a:fillRect/>
        </a:stretch>
      </xdr:blipFill>
      <xdr:spPr>
        <a:xfrm>
          <a:off x="944880" y="776033500"/>
          <a:ext cx="494665"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xdr:cNvPicPr>
          <a:picLocks noChangeAspect="1"/>
        </xdr:cNvPicPr>
      </xdr:nvPicPr>
      <xdr:blipFill>
        <a:blip r:embed="rId882" cstate="email"/>
        <a:stretch>
          <a:fillRect/>
        </a:stretch>
      </xdr:blipFill>
      <xdr:spPr>
        <a:xfrm>
          <a:off x="944880" y="776668500"/>
          <a:ext cx="494665"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xdr:cNvPicPr>
          <a:picLocks noChangeAspect="1"/>
        </xdr:cNvPicPr>
      </xdr:nvPicPr>
      <xdr:blipFill>
        <a:blip r:embed="rId882" cstate="email"/>
        <a:stretch>
          <a:fillRect/>
        </a:stretch>
      </xdr:blipFill>
      <xdr:spPr>
        <a:xfrm>
          <a:off x="944880" y="777303500"/>
          <a:ext cx="494665"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xdr:cNvPicPr>
          <a:picLocks noChangeAspect="1"/>
        </xdr:cNvPicPr>
      </xdr:nvPicPr>
      <xdr:blipFill>
        <a:blip r:embed="rId925" cstate="email"/>
        <a:stretch>
          <a:fillRect/>
        </a:stretch>
      </xdr:blipFill>
      <xdr:spPr>
        <a:xfrm>
          <a:off x="986790" y="590655410"/>
          <a:ext cx="584200" cy="579120"/>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xdr:cNvPicPr>
          <a:picLocks noChangeAspect="1"/>
        </xdr:cNvPicPr>
      </xdr:nvPicPr>
      <xdr:blipFill>
        <a:blip r:embed="rId926" cstate="email"/>
        <a:stretch>
          <a:fillRect/>
        </a:stretch>
      </xdr:blipFill>
      <xdr:spPr>
        <a:xfrm>
          <a:off x="956310" y="835764140"/>
          <a:ext cx="466090" cy="591820"/>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xdr:cNvPicPr>
          <a:picLocks noChangeAspect="1"/>
        </xdr:cNvPicPr>
      </xdr:nvPicPr>
      <xdr:blipFill>
        <a:blip r:embed="rId927" cstate="email"/>
        <a:stretch>
          <a:fillRect/>
        </a:stretch>
      </xdr:blipFill>
      <xdr:spPr>
        <a:xfrm>
          <a:off x="975360" y="836376915"/>
          <a:ext cx="436880" cy="568325"/>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xdr:cNvPicPr>
          <a:picLocks noChangeAspect="1"/>
        </xdr:cNvPicPr>
      </xdr:nvPicPr>
      <xdr:blipFill>
        <a:blip r:embed="rId928" cstate="email"/>
        <a:stretch>
          <a:fillRect/>
        </a:stretch>
      </xdr:blipFill>
      <xdr:spPr>
        <a:xfrm>
          <a:off x="985520" y="837043665"/>
          <a:ext cx="497840" cy="578485"/>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xdr:cNvPicPr>
          <a:picLocks noChangeAspect="1"/>
        </xdr:cNvPicPr>
      </xdr:nvPicPr>
      <xdr:blipFill>
        <a:blip r:embed="rId929" cstate="email"/>
        <a:stretch>
          <a:fillRect/>
        </a:stretch>
      </xdr:blipFill>
      <xdr:spPr>
        <a:xfrm>
          <a:off x="985520" y="835116440"/>
          <a:ext cx="467360" cy="589280"/>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xdr:cNvPicPr>
          <a:picLocks noChangeAspect="1"/>
        </xdr:cNvPicPr>
      </xdr:nvPicPr>
      <xdr:blipFill>
        <a:blip r:embed="rId930" cstate="email"/>
        <a:stretch>
          <a:fillRect/>
        </a:stretch>
      </xdr:blipFill>
      <xdr:spPr>
        <a:xfrm>
          <a:off x="999490" y="649037945"/>
          <a:ext cx="469900" cy="625475"/>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xdr:cNvPicPr>
          <a:picLocks noChangeAspect="1"/>
        </xdr:cNvPicPr>
      </xdr:nvPicPr>
      <xdr:blipFill>
        <a:blip r:embed="rId931" cstate="email"/>
        <a:stretch>
          <a:fillRect/>
        </a:stretch>
      </xdr:blipFill>
      <xdr:spPr>
        <a:xfrm>
          <a:off x="1013460" y="837673585"/>
          <a:ext cx="372745" cy="55753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xdr:cNvPicPr>
          <a:picLocks noChangeAspect="1"/>
        </xdr:cNvPicPr>
      </xdr:nvPicPr>
      <xdr:blipFill>
        <a:blip r:embed="rId844" cstate="email"/>
        <a:stretch>
          <a:fillRect/>
        </a:stretch>
      </xdr:blipFill>
      <xdr:spPr>
        <a:xfrm>
          <a:off x="1164590" y="732878900"/>
          <a:ext cx="469265" cy="609600"/>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xdr:cNvPicPr>
          <a:picLocks noChangeAspect="1"/>
        </xdr:cNvPicPr>
      </xdr:nvPicPr>
      <xdr:blipFill>
        <a:blip r:embed="rId932" cstate="email"/>
        <a:stretch>
          <a:fillRect/>
        </a:stretch>
      </xdr:blipFill>
      <xdr:spPr>
        <a:xfrm>
          <a:off x="1046480" y="838927710"/>
          <a:ext cx="520700" cy="591185"/>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xdr:cNvPicPr>
          <a:picLocks noChangeAspect="1"/>
        </xdr:cNvPicPr>
      </xdr:nvPicPr>
      <xdr:blipFill>
        <a:blip r:embed="rId932" cstate="email"/>
        <a:stretch>
          <a:fillRect/>
        </a:stretch>
      </xdr:blipFill>
      <xdr:spPr>
        <a:xfrm>
          <a:off x="1046480" y="839550010"/>
          <a:ext cx="520700" cy="591185"/>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xdr:cNvPicPr>
          <a:picLocks noChangeAspect="1"/>
        </xdr:cNvPicPr>
      </xdr:nvPicPr>
      <xdr:blipFill>
        <a:blip r:embed="rId932" cstate="email"/>
        <a:stretch>
          <a:fillRect/>
        </a:stretch>
      </xdr:blipFill>
      <xdr:spPr>
        <a:xfrm>
          <a:off x="1059180" y="840185010"/>
          <a:ext cx="520700" cy="591185"/>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xdr:cNvPicPr>
          <a:picLocks noChangeAspect="1"/>
        </xdr:cNvPicPr>
      </xdr:nvPicPr>
      <xdr:blipFill>
        <a:blip r:embed="rId933" cstate="email"/>
        <a:stretch>
          <a:fillRect/>
        </a:stretch>
      </xdr:blipFill>
      <xdr:spPr>
        <a:xfrm>
          <a:off x="1109980" y="841483585"/>
          <a:ext cx="444500" cy="574675"/>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xdr:cNvPicPr>
          <a:picLocks noChangeAspect="1"/>
        </xdr:cNvPicPr>
      </xdr:nvPicPr>
      <xdr:blipFill>
        <a:blip r:embed="rId933" cstate="email"/>
        <a:stretch>
          <a:fillRect/>
        </a:stretch>
      </xdr:blipFill>
      <xdr:spPr>
        <a:xfrm>
          <a:off x="1122680" y="842105885"/>
          <a:ext cx="444500" cy="574675"/>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xdr:cNvPicPr>
          <a:picLocks noChangeAspect="1"/>
        </xdr:cNvPicPr>
      </xdr:nvPicPr>
      <xdr:blipFill>
        <a:blip r:embed="rId934" cstate="email"/>
        <a:stretch>
          <a:fillRect/>
        </a:stretch>
      </xdr:blipFill>
      <xdr:spPr>
        <a:xfrm>
          <a:off x="1138555" y="842764380"/>
          <a:ext cx="415925" cy="546100"/>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xdr:cNvPicPr>
          <a:picLocks noChangeAspect="1"/>
        </xdr:cNvPicPr>
      </xdr:nvPicPr>
      <xdr:blipFill>
        <a:blip r:embed="rId935" cstate="email"/>
        <a:stretch>
          <a:fillRect/>
        </a:stretch>
      </xdr:blipFill>
      <xdr:spPr>
        <a:xfrm>
          <a:off x="1160780" y="843368900"/>
          <a:ext cx="435610"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xdr:cNvPicPr>
          <a:picLocks noChangeAspect="1"/>
        </xdr:cNvPicPr>
      </xdr:nvPicPr>
      <xdr:blipFill>
        <a:blip r:embed="rId936" cstate="email"/>
        <a:stretch>
          <a:fillRect/>
        </a:stretch>
      </xdr:blipFill>
      <xdr:spPr>
        <a:xfrm>
          <a:off x="1160780" y="844000725"/>
          <a:ext cx="443865" cy="587375"/>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xdr:cNvPicPr>
          <a:picLocks noChangeAspect="1"/>
        </xdr:cNvPicPr>
      </xdr:nvPicPr>
      <xdr:blipFill>
        <a:blip r:embed="rId937" cstate="email"/>
        <a:stretch>
          <a:fillRect/>
        </a:stretch>
      </xdr:blipFill>
      <xdr:spPr>
        <a:xfrm>
          <a:off x="1083310" y="844638900"/>
          <a:ext cx="458470" cy="606425"/>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xdr:cNvPicPr>
          <a:picLocks noChangeAspect="1"/>
        </xdr:cNvPicPr>
      </xdr:nvPicPr>
      <xdr:blipFill>
        <a:blip r:embed="rId937" cstate="email"/>
        <a:stretch>
          <a:fillRect/>
        </a:stretch>
      </xdr:blipFill>
      <xdr:spPr>
        <a:xfrm>
          <a:off x="1096010" y="845273900"/>
          <a:ext cx="458470" cy="606425"/>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xdr:cNvPicPr>
          <a:picLocks noChangeAspect="1"/>
        </xdr:cNvPicPr>
      </xdr:nvPicPr>
      <xdr:blipFill>
        <a:blip r:embed="rId937" cstate="email"/>
        <a:stretch>
          <a:fillRect/>
        </a:stretch>
      </xdr:blipFill>
      <xdr:spPr>
        <a:xfrm>
          <a:off x="1146810" y="845908900"/>
          <a:ext cx="458470" cy="606425"/>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xdr:cNvPicPr>
          <a:picLocks noChangeAspect="1"/>
        </xdr:cNvPicPr>
      </xdr:nvPicPr>
      <xdr:blipFill>
        <a:blip r:embed="rId938" cstate="email"/>
        <a:stretch>
          <a:fillRect/>
        </a:stretch>
      </xdr:blipFill>
      <xdr:spPr>
        <a:xfrm>
          <a:off x="1000125" y="846556600"/>
          <a:ext cx="440055" cy="579120"/>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xdr:cNvPicPr>
          <a:picLocks noChangeAspect="1"/>
        </xdr:cNvPicPr>
      </xdr:nvPicPr>
      <xdr:blipFill>
        <a:blip r:embed="rId938" cstate="email"/>
        <a:stretch>
          <a:fillRect/>
        </a:stretch>
      </xdr:blipFill>
      <xdr:spPr>
        <a:xfrm>
          <a:off x="1025525" y="847191600"/>
          <a:ext cx="440055" cy="579120"/>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xdr:cNvPicPr>
          <a:picLocks noChangeAspect="1"/>
        </xdr:cNvPicPr>
      </xdr:nvPicPr>
      <xdr:blipFill>
        <a:blip r:embed="rId938" cstate="email"/>
        <a:stretch>
          <a:fillRect/>
        </a:stretch>
      </xdr:blipFill>
      <xdr:spPr>
        <a:xfrm>
          <a:off x="1050925" y="847839300"/>
          <a:ext cx="440055" cy="579120"/>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xdr:cNvPicPr>
          <a:picLocks noChangeAspect="1"/>
        </xdr:cNvPicPr>
      </xdr:nvPicPr>
      <xdr:blipFill>
        <a:blip r:embed="rId939" cstate="email"/>
        <a:stretch>
          <a:fillRect/>
        </a:stretch>
      </xdr:blipFill>
      <xdr:spPr>
        <a:xfrm>
          <a:off x="1080770" y="849083900"/>
          <a:ext cx="448310" cy="588645"/>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xdr:cNvPicPr>
          <a:picLocks noChangeAspect="1"/>
        </xdr:cNvPicPr>
      </xdr:nvPicPr>
      <xdr:blipFill>
        <a:blip r:embed="rId940" cstate="email"/>
        <a:stretch>
          <a:fillRect/>
        </a:stretch>
      </xdr:blipFill>
      <xdr:spPr>
        <a:xfrm>
          <a:off x="1046480" y="849746840"/>
          <a:ext cx="431800" cy="56705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xdr:cNvPicPr>
          <a:picLocks noChangeAspect="1"/>
        </xdr:cNvPicPr>
      </xdr:nvPicPr>
      <xdr:blipFill>
        <a:blip r:embed="rId940" cstate="email"/>
        <a:stretch>
          <a:fillRect/>
        </a:stretch>
      </xdr:blipFill>
      <xdr:spPr>
        <a:xfrm>
          <a:off x="995680" y="850353900"/>
          <a:ext cx="431800" cy="56705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xdr:cNvPicPr>
          <a:picLocks noChangeAspect="1"/>
        </xdr:cNvPicPr>
      </xdr:nvPicPr>
      <xdr:blipFill>
        <a:blip r:embed="rId940" cstate="email"/>
        <a:stretch>
          <a:fillRect/>
        </a:stretch>
      </xdr:blipFill>
      <xdr:spPr>
        <a:xfrm>
          <a:off x="995680" y="850988900"/>
          <a:ext cx="431800" cy="56705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xdr:cNvPicPr>
          <a:picLocks noChangeAspect="1"/>
        </xdr:cNvPicPr>
      </xdr:nvPicPr>
      <xdr:blipFill>
        <a:blip r:embed="rId941" cstate="email"/>
        <a:stretch>
          <a:fillRect/>
        </a:stretch>
      </xdr:blipFill>
      <xdr:spPr>
        <a:xfrm>
          <a:off x="1008380" y="851646760"/>
          <a:ext cx="423545" cy="561340"/>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xdr:cNvPicPr>
          <a:picLocks noChangeAspect="1"/>
        </xdr:cNvPicPr>
      </xdr:nvPicPr>
      <xdr:blipFill>
        <a:blip r:embed="rId941" cstate="email"/>
        <a:stretch>
          <a:fillRect/>
        </a:stretch>
      </xdr:blipFill>
      <xdr:spPr>
        <a:xfrm>
          <a:off x="1021080" y="852269060"/>
          <a:ext cx="423545" cy="561340"/>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xdr:cNvPicPr>
          <a:picLocks noChangeAspect="1"/>
        </xdr:cNvPicPr>
      </xdr:nvPicPr>
      <xdr:blipFill>
        <a:blip r:embed="rId941" cstate="email"/>
        <a:stretch>
          <a:fillRect/>
        </a:stretch>
      </xdr:blipFill>
      <xdr:spPr>
        <a:xfrm>
          <a:off x="1021080" y="852891360"/>
          <a:ext cx="423545" cy="561340"/>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xdr:cNvPicPr>
          <a:picLocks noChangeAspect="1"/>
        </xdr:cNvPicPr>
      </xdr:nvPicPr>
      <xdr:blipFill>
        <a:blip r:embed="rId942" cstate="email"/>
        <a:stretch>
          <a:fillRect/>
        </a:stretch>
      </xdr:blipFill>
      <xdr:spPr>
        <a:xfrm>
          <a:off x="982980" y="853516200"/>
          <a:ext cx="387985"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xdr:cNvPicPr>
          <a:picLocks noChangeAspect="1"/>
        </xdr:cNvPicPr>
      </xdr:nvPicPr>
      <xdr:blipFill>
        <a:blip r:embed="rId942" cstate="email"/>
        <a:stretch>
          <a:fillRect/>
        </a:stretch>
      </xdr:blipFill>
      <xdr:spPr>
        <a:xfrm>
          <a:off x="995680" y="854151200"/>
          <a:ext cx="387985"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xdr:cNvPicPr>
          <a:picLocks noChangeAspect="1"/>
        </xdr:cNvPicPr>
      </xdr:nvPicPr>
      <xdr:blipFill>
        <a:blip r:embed="rId942" cstate="email"/>
        <a:stretch>
          <a:fillRect/>
        </a:stretch>
      </xdr:blipFill>
      <xdr:spPr>
        <a:xfrm>
          <a:off x="995680" y="854786200"/>
          <a:ext cx="387985"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xdr:cNvPicPr>
          <a:picLocks noChangeAspect="1"/>
        </xdr:cNvPicPr>
      </xdr:nvPicPr>
      <xdr:blipFill>
        <a:blip r:embed="rId942" cstate="email"/>
        <a:stretch>
          <a:fillRect/>
        </a:stretch>
      </xdr:blipFill>
      <xdr:spPr>
        <a:xfrm>
          <a:off x="995680" y="855421200"/>
          <a:ext cx="387985"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xdr:cNvPicPr>
          <a:picLocks noChangeAspect="1"/>
        </xdr:cNvPicPr>
      </xdr:nvPicPr>
      <xdr:blipFill>
        <a:blip r:embed="rId943" cstate="email"/>
        <a:stretch>
          <a:fillRect/>
        </a:stretch>
      </xdr:blipFill>
      <xdr:spPr>
        <a:xfrm>
          <a:off x="1021080" y="856096205"/>
          <a:ext cx="431800" cy="567690"/>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xdr:cNvPicPr>
          <a:picLocks noChangeAspect="1"/>
        </xdr:cNvPicPr>
      </xdr:nvPicPr>
      <xdr:blipFill>
        <a:blip r:embed="rId943" cstate="email"/>
        <a:stretch>
          <a:fillRect/>
        </a:stretch>
      </xdr:blipFill>
      <xdr:spPr>
        <a:xfrm>
          <a:off x="1008380" y="856731205"/>
          <a:ext cx="431800" cy="567690"/>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xdr:cNvPicPr>
          <a:picLocks noChangeAspect="1"/>
        </xdr:cNvPicPr>
      </xdr:nvPicPr>
      <xdr:blipFill>
        <a:blip r:embed="rId943" cstate="email"/>
        <a:stretch>
          <a:fillRect/>
        </a:stretch>
      </xdr:blipFill>
      <xdr:spPr>
        <a:xfrm>
          <a:off x="1008380" y="857353505"/>
          <a:ext cx="431800" cy="567690"/>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xdr:cNvPicPr>
          <a:picLocks noChangeAspect="1"/>
        </xdr:cNvPicPr>
      </xdr:nvPicPr>
      <xdr:blipFill>
        <a:blip r:embed="rId944" cstate="email"/>
        <a:stretch>
          <a:fillRect/>
        </a:stretch>
      </xdr:blipFill>
      <xdr:spPr>
        <a:xfrm>
          <a:off x="991235" y="857999300"/>
          <a:ext cx="372745" cy="588010"/>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xdr:cNvPicPr>
          <a:picLocks noChangeAspect="1"/>
        </xdr:cNvPicPr>
      </xdr:nvPicPr>
      <xdr:blipFill>
        <a:blip r:embed="rId944" cstate="email"/>
        <a:stretch>
          <a:fillRect/>
        </a:stretch>
      </xdr:blipFill>
      <xdr:spPr>
        <a:xfrm>
          <a:off x="1016635" y="858608900"/>
          <a:ext cx="372745" cy="588010"/>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xdr:cNvPicPr>
          <a:picLocks noChangeAspect="1"/>
        </xdr:cNvPicPr>
      </xdr:nvPicPr>
      <xdr:blipFill>
        <a:blip r:embed="rId944" cstate="email"/>
        <a:stretch>
          <a:fillRect/>
        </a:stretch>
      </xdr:blipFill>
      <xdr:spPr>
        <a:xfrm>
          <a:off x="1003935" y="859243900"/>
          <a:ext cx="372745" cy="588010"/>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xdr:cNvPicPr>
          <a:picLocks noChangeAspect="1"/>
        </xdr:cNvPicPr>
      </xdr:nvPicPr>
      <xdr:blipFill>
        <a:blip r:embed="rId945" cstate="email"/>
        <a:stretch>
          <a:fillRect/>
        </a:stretch>
      </xdr:blipFill>
      <xdr:spPr>
        <a:xfrm>
          <a:off x="1023620" y="859904300"/>
          <a:ext cx="378460" cy="588010"/>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xdr:cNvPicPr>
          <a:picLocks noChangeAspect="1"/>
        </xdr:cNvPicPr>
      </xdr:nvPicPr>
      <xdr:blipFill>
        <a:blip r:embed="rId945" cstate="email"/>
        <a:stretch>
          <a:fillRect/>
        </a:stretch>
      </xdr:blipFill>
      <xdr:spPr>
        <a:xfrm>
          <a:off x="1036320" y="860501200"/>
          <a:ext cx="378460" cy="588010"/>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xdr:cNvPicPr>
          <a:picLocks noChangeAspect="1"/>
        </xdr:cNvPicPr>
      </xdr:nvPicPr>
      <xdr:blipFill>
        <a:blip r:embed="rId945" cstate="email"/>
        <a:stretch>
          <a:fillRect/>
        </a:stretch>
      </xdr:blipFill>
      <xdr:spPr>
        <a:xfrm>
          <a:off x="1036320" y="861148900"/>
          <a:ext cx="378460" cy="588010"/>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xdr:cNvPicPr>
          <a:picLocks noChangeAspect="1"/>
        </xdr:cNvPicPr>
      </xdr:nvPicPr>
      <xdr:blipFill>
        <a:blip r:embed="rId945" cstate="email"/>
        <a:stretch>
          <a:fillRect/>
        </a:stretch>
      </xdr:blipFill>
      <xdr:spPr>
        <a:xfrm>
          <a:off x="1036320" y="861783900"/>
          <a:ext cx="378460" cy="588010"/>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xdr:cNvPicPr>
          <a:picLocks noChangeAspect="1"/>
        </xdr:cNvPicPr>
      </xdr:nvPicPr>
      <xdr:blipFill>
        <a:blip r:embed="rId946" cstate="email"/>
        <a:stretch>
          <a:fillRect/>
        </a:stretch>
      </xdr:blipFill>
      <xdr:spPr>
        <a:xfrm>
          <a:off x="1033780" y="862437315"/>
          <a:ext cx="355600" cy="561340"/>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xdr:cNvPicPr>
          <a:picLocks noChangeAspect="1"/>
        </xdr:cNvPicPr>
      </xdr:nvPicPr>
      <xdr:blipFill>
        <a:blip r:embed="rId946" cstate="email"/>
        <a:stretch>
          <a:fillRect/>
        </a:stretch>
      </xdr:blipFill>
      <xdr:spPr>
        <a:xfrm>
          <a:off x="1033780" y="863072315"/>
          <a:ext cx="355600" cy="561340"/>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xdr:cNvPicPr>
          <a:picLocks noChangeAspect="1"/>
        </xdr:cNvPicPr>
      </xdr:nvPicPr>
      <xdr:blipFill>
        <a:blip r:embed="rId947" cstate="email"/>
        <a:stretch>
          <a:fillRect/>
        </a:stretch>
      </xdr:blipFill>
      <xdr:spPr>
        <a:xfrm>
          <a:off x="1021080" y="863702235"/>
          <a:ext cx="355600" cy="558165"/>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xdr:cNvPicPr>
          <a:picLocks noChangeAspect="1"/>
        </xdr:cNvPicPr>
      </xdr:nvPicPr>
      <xdr:blipFill>
        <a:blip r:embed="rId947" cstate="email"/>
        <a:stretch>
          <a:fillRect/>
        </a:stretch>
      </xdr:blipFill>
      <xdr:spPr>
        <a:xfrm>
          <a:off x="1033780" y="864324535"/>
          <a:ext cx="355600" cy="558165"/>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xdr:cNvPicPr>
          <a:picLocks noChangeAspect="1"/>
        </xdr:cNvPicPr>
      </xdr:nvPicPr>
      <xdr:blipFill>
        <a:blip r:embed="rId947" cstate="email"/>
        <a:stretch>
          <a:fillRect/>
        </a:stretch>
      </xdr:blipFill>
      <xdr:spPr>
        <a:xfrm>
          <a:off x="1021080" y="864972235"/>
          <a:ext cx="355600" cy="558165"/>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xdr:cNvPicPr>
          <a:picLocks noChangeAspect="1"/>
        </xdr:cNvPicPr>
      </xdr:nvPicPr>
      <xdr:blipFill>
        <a:blip r:embed="rId947" cstate="email"/>
        <a:stretch>
          <a:fillRect/>
        </a:stretch>
      </xdr:blipFill>
      <xdr:spPr>
        <a:xfrm>
          <a:off x="1033780" y="865619935"/>
          <a:ext cx="355600" cy="558165"/>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xdr:cNvPicPr>
          <a:picLocks noChangeAspect="1"/>
        </xdr:cNvPicPr>
      </xdr:nvPicPr>
      <xdr:blipFill>
        <a:blip r:embed="rId947" cstate="email"/>
        <a:stretch>
          <a:fillRect/>
        </a:stretch>
      </xdr:blipFill>
      <xdr:spPr>
        <a:xfrm>
          <a:off x="1033780" y="866229535"/>
          <a:ext cx="355600" cy="558165"/>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xdr:cNvPicPr>
          <a:picLocks noChangeAspect="1"/>
        </xdr:cNvPicPr>
      </xdr:nvPicPr>
      <xdr:blipFill>
        <a:blip r:embed="rId948" cstate="email"/>
        <a:stretch>
          <a:fillRect/>
        </a:stretch>
      </xdr:blipFill>
      <xdr:spPr>
        <a:xfrm>
          <a:off x="1008380" y="866874695"/>
          <a:ext cx="355600" cy="560070"/>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xdr:cNvPicPr>
          <a:picLocks noChangeAspect="1"/>
        </xdr:cNvPicPr>
      </xdr:nvPicPr>
      <xdr:blipFill>
        <a:blip r:embed="rId948" cstate="email"/>
        <a:stretch>
          <a:fillRect/>
        </a:stretch>
      </xdr:blipFill>
      <xdr:spPr>
        <a:xfrm>
          <a:off x="1008380" y="867522395"/>
          <a:ext cx="355600" cy="560070"/>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xdr:cNvPicPr>
          <a:picLocks noChangeAspect="1"/>
        </xdr:cNvPicPr>
      </xdr:nvPicPr>
      <xdr:blipFill>
        <a:blip r:embed="rId949" cstate="email"/>
        <a:stretch>
          <a:fillRect/>
        </a:stretch>
      </xdr:blipFill>
      <xdr:spPr>
        <a:xfrm>
          <a:off x="982980" y="868148505"/>
          <a:ext cx="368300" cy="58102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xdr:cNvPicPr>
          <a:picLocks noChangeAspect="1"/>
        </xdr:cNvPicPr>
      </xdr:nvPicPr>
      <xdr:blipFill>
        <a:blip r:embed="rId949" cstate="email"/>
        <a:stretch>
          <a:fillRect/>
        </a:stretch>
      </xdr:blipFill>
      <xdr:spPr>
        <a:xfrm>
          <a:off x="1021080" y="868783505"/>
          <a:ext cx="368300" cy="58102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xdr:cNvPicPr>
          <a:picLocks noChangeAspect="1"/>
        </xdr:cNvPicPr>
      </xdr:nvPicPr>
      <xdr:blipFill>
        <a:blip r:embed="rId949" cstate="email"/>
        <a:stretch>
          <a:fillRect/>
        </a:stretch>
      </xdr:blipFill>
      <xdr:spPr>
        <a:xfrm>
          <a:off x="1008380" y="869418505"/>
          <a:ext cx="368300" cy="58102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xdr:cNvPicPr>
          <a:picLocks noChangeAspect="1"/>
        </xdr:cNvPicPr>
      </xdr:nvPicPr>
      <xdr:blipFill>
        <a:blip r:embed="rId949" cstate="email"/>
        <a:stretch>
          <a:fillRect/>
        </a:stretch>
      </xdr:blipFill>
      <xdr:spPr>
        <a:xfrm>
          <a:off x="1008380" y="870040805"/>
          <a:ext cx="368300" cy="58102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xdr:cNvPicPr>
          <a:picLocks noChangeAspect="1"/>
        </xdr:cNvPicPr>
      </xdr:nvPicPr>
      <xdr:blipFill>
        <a:blip r:embed="rId949" cstate="email"/>
        <a:stretch>
          <a:fillRect/>
        </a:stretch>
      </xdr:blipFill>
      <xdr:spPr>
        <a:xfrm>
          <a:off x="1071880" y="870688505"/>
          <a:ext cx="368300" cy="58102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xdr:cNvPicPr>
          <a:picLocks noChangeAspect="1"/>
        </xdr:cNvPicPr>
      </xdr:nvPicPr>
      <xdr:blipFill>
        <a:blip r:embed="rId949" cstate="email"/>
        <a:stretch>
          <a:fillRect/>
        </a:stretch>
      </xdr:blipFill>
      <xdr:spPr>
        <a:xfrm>
          <a:off x="1059180" y="871310805"/>
          <a:ext cx="368300" cy="58102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xdr:cNvPicPr>
          <a:picLocks noChangeAspect="1"/>
        </xdr:cNvPicPr>
      </xdr:nvPicPr>
      <xdr:blipFill>
        <a:blip r:embed="rId950" cstate="email"/>
        <a:stretch>
          <a:fillRect/>
        </a:stretch>
      </xdr:blipFill>
      <xdr:spPr>
        <a:xfrm>
          <a:off x="1046480" y="871941995"/>
          <a:ext cx="495300" cy="581660"/>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xdr:cNvPicPr>
          <a:picLocks noChangeAspect="1"/>
        </xdr:cNvPicPr>
      </xdr:nvPicPr>
      <xdr:blipFill>
        <a:blip r:embed="rId950" cstate="email"/>
        <a:stretch>
          <a:fillRect/>
        </a:stretch>
      </xdr:blipFill>
      <xdr:spPr>
        <a:xfrm>
          <a:off x="1059180" y="872564295"/>
          <a:ext cx="495300" cy="581660"/>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xdr:cNvPicPr>
          <a:picLocks noChangeAspect="1"/>
        </xdr:cNvPicPr>
      </xdr:nvPicPr>
      <xdr:blipFill>
        <a:blip r:embed="rId950" cstate="email"/>
        <a:stretch>
          <a:fillRect/>
        </a:stretch>
      </xdr:blipFill>
      <xdr:spPr>
        <a:xfrm>
          <a:off x="1122680" y="873224695"/>
          <a:ext cx="495300" cy="581660"/>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xdr:cNvPicPr>
          <a:picLocks noChangeAspect="1"/>
        </xdr:cNvPicPr>
      </xdr:nvPicPr>
      <xdr:blipFill>
        <a:blip r:embed="rId951" cstate="email"/>
        <a:stretch>
          <a:fillRect/>
        </a:stretch>
      </xdr:blipFill>
      <xdr:spPr>
        <a:xfrm>
          <a:off x="1078865" y="873848900"/>
          <a:ext cx="462915" cy="610870"/>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xdr:cNvPicPr>
          <a:picLocks noChangeAspect="1"/>
        </xdr:cNvPicPr>
      </xdr:nvPicPr>
      <xdr:blipFill>
        <a:blip r:embed="rId952" cstate="email"/>
        <a:stretch>
          <a:fillRect/>
        </a:stretch>
      </xdr:blipFill>
      <xdr:spPr>
        <a:xfrm>
          <a:off x="1074420" y="874496600"/>
          <a:ext cx="454660" cy="599440"/>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xdr:cNvPicPr>
          <a:picLocks noChangeAspect="1"/>
        </xdr:cNvPicPr>
      </xdr:nvPicPr>
      <xdr:blipFill>
        <a:blip r:embed="rId953" cstate="email"/>
        <a:stretch>
          <a:fillRect/>
        </a:stretch>
      </xdr:blipFill>
      <xdr:spPr>
        <a:xfrm>
          <a:off x="1084580" y="875093500"/>
          <a:ext cx="469900" cy="601980"/>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xdr:cNvPicPr>
          <a:picLocks noChangeAspect="1"/>
        </xdr:cNvPicPr>
      </xdr:nvPicPr>
      <xdr:blipFill>
        <a:blip r:embed="rId954" cstate="email"/>
        <a:stretch>
          <a:fillRect/>
        </a:stretch>
      </xdr:blipFill>
      <xdr:spPr>
        <a:xfrm>
          <a:off x="1046480" y="875750090"/>
          <a:ext cx="495300" cy="623570"/>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xdr:cNvPicPr>
          <a:picLocks noChangeAspect="1"/>
        </xdr:cNvPicPr>
      </xdr:nvPicPr>
      <xdr:blipFill>
        <a:blip r:embed="rId955" cstate="email"/>
        <a:stretch>
          <a:fillRect/>
        </a:stretch>
      </xdr:blipFill>
      <xdr:spPr>
        <a:xfrm>
          <a:off x="1043940" y="876427000"/>
          <a:ext cx="396240" cy="518795"/>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xdr:cNvPicPr>
          <a:picLocks noChangeAspect="1"/>
        </xdr:cNvPicPr>
      </xdr:nvPicPr>
      <xdr:blipFill>
        <a:blip r:embed="rId956" cstate="email"/>
        <a:stretch>
          <a:fillRect/>
        </a:stretch>
      </xdr:blipFill>
      <xdr:spPr>
        <a:xfrm>
          <a:off x="1046480" y="877023900"/>
          <a:ext cx="431800" cy="565785"/>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xdr:cNvPicPr>
          <a:picLocks noChangeAspect="1"/>
        </xdr:cNvPicPr>
      </xdr:nvPicPr>
      <xdr:blipFill>
        <a:blip r:embed="rId957" cstate="email"/>
        <a:stretch>
          <a:fillRect/>
        </a:stretch>
      </xdr:blipFill>
      <xdr:spPr>
        <a:xfrm>
          <a:off x="1029335" y="877671600"/>
          <a:ext cx="436245" cy="574675"/>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xdr:cNvPicPr>
          <a:picLocks noChangeAspect="1"/>
        </xdr:cNvPicPr>
      </xdr:nvPicPr>
      <xdr:blipFill>
        <a:blip r:embed="rId958" cstate="email"/>
        <a:stretch>
          <a:fillRect/>
        </a:stretch>
      </xdr:blipFill>
      <xdr:spPr>
        <a:xfrm>
          <a:off x="1021080" y="878274215"/>
          <a:ext cx="457200" cy="601345"/>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xdr:cNvPicPr>
          <a:picLocks noChangeAspect="1"/>
        </xdr:cNvPicPr>
      </xdr:nvPicPr>
      <xdr:blipFill>
        <a:blip r:embed="rId959" cstate="email"/>
        <a:stretch>
          <a:fillRect/>
        </a:stretch>
      </xdr:blipFill>
      <xdr:spPr>
        <a:xfrm>
          <a:off x="1049655" y="878915565"/>
          <a:ext cx="491490" cy="644525"/>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xdr:cNvPicPr>
          <a:picLocks noChangeAspect="1"/>
        </xdr:cNvPicPr>
      </xdr:nvPicPr>
      <xdr:blipFill>
        <a:blip r:embed="rId960" cstate="email"/>
        <a:stretch>
          <a:fillRect/>
        </a:stretch>
      </xdr:blipFill>
      <xdr:spPr>
        <a:xfrm>
          <a:off x="991870" y="892919220"/>
          <a:ext cx="437515" cy="579755"/>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xdr:cNvPicPr>
          <a:picLocks noChangeAspect="1"/>
        </xdr:cNvPicPr>
      </xdr:nvPicPr>
      <xdr:blipFill>
        <a:blip r:embed="rId960" cstate="email"/>
        <a:stretch>
          <a:fillRect/>
        </a:stretch>
      </xdr:blipFill>
      <xdr:spPr>
        <a:xfrm>
          <a:off x="960120" y="893545330"/>
          <a:ext cx="436880" cy="579755"/>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xdr:cNvPicPr>
          <a:picLocks noChangeAspect="1"/>
        </xdr:cNvPicPr>
      </xdr:nvPicPr>
      <xdr:blipFill>
        <a:blip r:embed="rId960" cstate="email"/>
        <a:stretch>
          <a:fillRect/>
        </a:stretch>
      </xdr:blipFill>
      <xdr:spPr>
        <a:xfrm>
          <a:off x="950595" y="892277235"/>
          <a:ext cx="437515" cy="579755"/>
        </a:xfrm>
        <a:prstGeom prst="rect">
          <a:avLst/>
        </a:prstGeom>
      </xdr:spPr>
    </xdr:pic>
    <xdr:clientData/>
  </xdr:twoCellAnchor>
  <xdr:twoCellAnchor>
    <xdr:from>
      <xdr:col>1</xdr:col>
      <xdr:colOff>92365</xdr:colOff>
      <xdr:row>1439</xdr:row>
      <xdr:rowOff>23092</xdr:rowOff>
    </xdr:from>
    <xdr:to>
      <xdr:col>1</xdr:col>
      <xdr:colOff>554183</xdr:colOff>
      <xdr:row>1439</xdr:row>
      <xdr:rowOff>626678</xdr:rowOff>
    </xdr:to>
    <xdr:pic>
      <xdr:nvPicPr>
        <xdr:cNvPr id="38" name="Picture 37"/>
        <xdr:cNvPicPr>
          <a:picLocks noChangeAspect="1"/>
        </xdr:cNvPicPr>
      </xdr:nvPicPr>
      <xdr:blipFill>
        <a:blip r:embed="rId961" cstate="email"/>
        <a:stretch>
          <a:fillRect/>
        </a:stretch>
      </xdr:blipFill>
      <xdr:spPr>
        <a:xfrm>
          <a:off x="1036955" y="913851360"/>
          <a:ext cx="461645" cy="603250"/>
        </a:xfrm>
        <a:prstGeom prst="rect">
          <a:avLst/>
        </a:prstGeom>
      </xdr:spPr>
    </xdr:pic>
    <xdr:clientData/>
  </xdr:twoCellAnchor>
  <xdr:twoCellAnchor>
    <xdr:from>
      <xdr:col>1</xdr:col>
      <xdr:colOff>80819</xdr:colOff>
      <xdr:row>1440</xdr:row>
      <xdr:rowOff>34636</xdr:rowOff>
    </xdr:from>
    <xdr:to>
      <xdr:col>1</xdr:col>
      <xdr:colOff>542637</xdr:colOff>
      <xdr:row>1441</xdr:row>
      <xdr:rowOff>3222</xdr:rowOff>
    </xdr:to>
    <xdr:pic>
      <xdr:nvPicPr>
        <xdr:cNvPr id="1182" name="Picture 1181"/>
        <xdr:cNvPicPr>
          <a:picLocks noChangeAspect="1"/>
        </xdr:cNvPicPr>
      </xdr:nvPicPr>
      <xdr:blipFill>
        <a:blip r:embed="rId962" cstate="email"/>
        <a:stretch>
          <a:fillRect/>
        </a:stretch>
      </xdr:blipFill>
      <xdr:spPr>
        <a:xfrm>
          <a:off x="1025525" y="914497790"/>
          <a:ext cx="461645" cy="603885"/>
        </a:xfrm>
        <a:prstGeom prst="rect">
          <a:avLst/>
        </a:prstGeom>
      </xdr:spPr>
    </xdr:pic>
    <xdr:clientData/>
  </xdr:twoCellAnchor>
  <xdr:twoCellAnchor>
    <xdr:from>
      <xdr:col>1</xdr:col>
      <xdr:colOff>57727</xdr:colOff>
      <xdr:row>1441</xdr:row>
      <xdr:rowOff>11545</xdr:rowOff>
    </xdr:from>
    <xdr:to>
      <xdr:col>1</xdr:col>
      <xdr:colOff>519545</xdr:colOff>
      <xdr:row>1441</xdr:row>
      <xdr:rowOff>615131</xdr:rowOff>
    </xdr:to>
    <xdr:pic>
      <xdr:nvPicPr>
        <xdr:cNvPr id="1183" name="Picture 1182"/>
        <xdr:cNvPicPr>
          <a:picLocks noChangeAspect="1"/>
        </xdr:cNvPicPr>
      </xdr:nvPicPr>
      <xdr:blipFill>
        <a:blip r:embed="rId961" cstate="email"/>
        <a:stretch>
          <a:fillRect/>
        </a:stretch>
      </xdr:blipFill>
      <xdr:spPr>
        <a:xfrm>
          <a:off x="1002030" y="915109930"/>
          <a:ext cx="462280" cy="603250"/>
        </a:xfrm>
        <a:prstGeom prst="rect">
          <a:avLst/>
        </a:prstGeom>
      </xdr:spPr>
    </xdr:pic>
    <xdr:clientData/>
  </xdr:twoCellAnchor>
  <xdr:twoCellAnchor>
    <xdr:from>
      <xdr:col>1</xdr:col>
      <xdr:colOff>46182</xdr:colOff>
      <xdr:row>1445</xdr:row>
      <xdr:rowOff>23089</xdr:rowOff>
    </xdr:from>
    <xdr:to>
      <xdr:col>1</xdr:col>
      <xdr:colOff>496456</xdr:colOff>
      <xdr:row>1445</xdr:row>
      <xdr:rowOff>594832</xdr:rowOff>
    </xdr:to>
    <xdr:pic>
      <xdr:nvPicPr>
        <xdr:cNvPr id="39" name="Picture 38"/>
        <xdr:cNvPicPr>
          <a:picLocks noChangeAspect="1"/>
        </xdr:cNvPicPr>
      </xdr:nvPicPr>
      <xdr:blipFill>
        <a:blip r:embed="rId963" cstate="email"/>
        <a:stretch>
          <a:fillRect/>
        </a:stretch>
      </xdr:blipFill>
      <xdr:spPr>
        <a:xfrm>
          <a:off x="990600" y="917661360"/>
          <a:ext cx="450215" cy="571500"/>
        </a:xfrm>
        <a:prstGeom prst="rect">
          <a:avLst/>
        </a:prstGeom>
      </xdr:spPr>
    </xdr:pic>
    <xdr:clientData/>
  </xdr:twoCellAnchor>
  <xdr:twoCellAnchor>
    <xdr:from>
      <xdr:col>1</xdr:col>
      <xdr:colOff>36945</xdr:colOff>
      <xdr:row>1443</xdr:row>
      <xdr:rowOff>36944</xdr:rowOff>
    </xdr:from>
    <xdr:to>
      <xdr:col>1</xdr:col>
      <xdr:colOff>487219</xdr:colOff>
      <xdr:row>1443</xdr:row>
      <xdr:rowOff>608687</xdr:rowOff>
    </xdr:to>
    <xdr:pic>
      <xdr:nvPicPr>
        <xdr:cNvPr id="1185" name="Picture 1184"/>
        <xdr:cNvPicPr>
          <a:picLocks noChangeAspect="1"/>
        </xdr:cNvPicPr>
      </xdr:nvPicPr>
      <xdr:blipFill>
        <a:blip r:embed="rId963" cstate="email"/>
        <a:stretch>
          <a:fillRect/>
        </a:stretch>
      </xdr:blipFill>
      <xdr:spPr>
        <a:xfrm>
          <a:off x="981710" y="916405330"/>
          <a:ext cx="450215" cy="571500"/>
        </a:xfrm>
        <a:prstGeom prst="rect">
          <a:avLst/>
        </a:prstGeom>
      </xdr:spPr>
    </xdr:pic>
    <xdr:clientData/>
  </xdr:twoCellAnchor>
  <xdr:twoCellAnchor>
    <xdr:from>
      <xdr:col>1</xdr:col>
      <xdr:colOff>62345</xdr:colOff>
      <xdr:row>1443</xdr:row>
      <xdr:rowOff>628071</xdr:rowOff>
    </xdr:from>
    <xdr:to>
      <xdr:col>1</xdr:col>
      <xdr:colOff>512619</xdr:colOff>
      <xdr:row>1444</xdr:row>
      <xdr:rowOff>564814</xdr:rowOff>
    </xdr:to>
    <xdr:pic>
      <xdr:nvPicPr>
        <xdr:cNvPr id="1186" name="Picture 1185"/>
        <xdr:cNvPicPr>
          <a:picLocks noChangeAspect="1"/>
        </xdr:cNvPicPr>
      </xdr:nvPicPr>
      <xdr:blipFill>
        <a:blip r:embed="rId964" cstate="email"/>
        <a:stretch>
          <a:fillRect/>
        </a:stretch>
      </xdr:blipFill>
      <xdr:spPr>
        <a:xfrm>
          <a:off x="1007110" y="916996515"/>
          <a:ext cx="450215" cy="571500"/>
        </a:xfrm>
        <a:prstGeom prst="rect">
          <a:avLst/>
        </a:prstGeom>
      </xdr:spPr>
    </xdr:pic>
    <xdr:clientData/>
  </xdr:twoCellAnchor>
  <xdr:twoCellAnchor>
    <xdr:from>
      <xdr:col>1</xdr:col>
      <xdr:colOff>48491</xdr:colOff>
      <xdr:row>1442</xdr:row>
      <xdr:rowOff>36945</xdr:rowOff>
    </xdr:from>
    <xdr:to>
      <xdr:col>1</xdr:col>
      <xdr:colOff>510309</xdr:colOff>
      <xdr:row>1443</xdr:row>
      <xdr:rowOff>5531</xdr:rowOff>
    </xdr:to>
    <xdr:pic>
      <xdr:nvPicPr>
        <xdr:cNvPr id="1187" name="Picture 1186"/>
        <xdr:cNvPicPr>
          <a:picLocks noChangeAspect="1"/>
        </xdr:cNvPicPr>
      </xdr:nvPicPr>
      <xdr:blipFill>
        <a:blip r:embed="rId962" cstate="email"/>
        <a:stretch>
          <a:fillRect/>
        </a:stretch>
      </xdr:blipFill>
      <xdr:spPr>
        <a:xfrm>
          <a:off x="993140" y="915770330"/>
          <a:ext cx="461645" cy="603250"/>
        </a:xfrm>
        <a:prstGeom prst="rect">
          <a:avLst/>
        </a:prstGeom>
      </xdr:spPr>
    </xdr:pic>
    <xdr:clientData/>
  </xdr:twoCellAnchor>
  <xdr:twoCellAnchor>
    <xdr:from>
      <xdr:col>1</xdr:col>
      <xdr:colOff>48491</xdr:colOff>
      <xdr:row>1446</xdr:row>
      <xdr:rowOff>25398</xdr:rowOff>
    </xdr:from>
    <xdr:to>
      <xdr:col>1</xdr:col>
      <xdr:colOff>498765</xdr:colOff>
      <xdr:row>1446</xdr:row>
      <xdr:rowOff>597141</xdr:rowOff>
    </xdr:to>
    <xdr:pic>
      <xdr:nvPicPr>
        <xdr:cNvPr id="1188" name="Picture 1187"/>
        <xdr:cNvPicPr>
          <a:picLocks noChangeAspect="1"/>
        </xdr:cNvPicPr>
      </xdr:nvPicPr>
      <xdr:blipFill>
        <a:blip r:embed="rId963" cstate="email"/>
        <a:stretch>
          <a:fillRect/>
        </a:stretch>
      </xdr:blipFill>
      <xdr:spPr>
        <a:xfrm>
          <a:off x="993140" y="918298265"/>
          <a:ext cx="450215" cy="572135"/>
        </a:xfrm>
        <a:prstGeom prst="rect">
          <a:avLst/>
        </a:prstGeom>
      </xdr:spPr>
    </xdr:pic>
    <xdr:clientData/>
  </xdr:twoCellAnchor>
  <xdr:twoCellAnchor>
    <xdr:from>
      <xdr:col>1</xdr:col>
      <xdr:colOff>10400</xdr:colOff>
      <xdr:row>1449</xdr:row>
      <xdr:rowOff>11545</xdr:rowOff>
    </xdr:from>
    <xdr:to>
      <xdr:col>1</xdr:col>
      <xdr:colOff>473363</xdr:colOff>
      <xdr:row>1449</xdr:row>
      <xdr:rowOff>609090</xdr:rowOff>
    </xdr:to>
    <xdr:pic>
      <xdr:nvPicPr>
        <xdr:cNvPr id="40" name="Picture 39"/>
        <xdr:cNvPicPr>
          <a:picLocks noChangeAspect="1"/>
        </xdr:cNvPicPr>
      </xdr:nvPicPr>
      <xdr:blipFill>
        <a:blip r:embed="rId965" cstate="email"/>
        <a:stretch>
          <a:fillRect/>
        </a:stretch>
      </xdr:blipFill>
      <xdr:spPr>
        <a:xfrm>
          <a:off x="955040" y="920189930"/>
          <a:ext cx="462915" cy="597535"/>
        </a:xfrm>
        <a:prstGeom prst="rect">
          <a:avLst/>
        </a:prstGeom>
      </xdr:spPr>
    </xdr:pic>
    <xdr:clientData/>
  </xdr:twoCellAnchor>
  <xdr:twoCellAnchor>
    <xdr:from>
      <xdr:col>1</xdr:col>
      <xdr:colOff>12709</xdr:colOff>
      <xdr:row>1450</xdr:row>
      <xdr:rowOff>2309</xdr:rowOff>
    </xdr:from>
    <xdr:to>
      <xdr:col>1</xdr:col>
      <xdr:colOff>475672</xdr:colOff>
      <xdr:row>1450</xdr:row>
      <xdr:rowOff>599854</xdr:rowOff>
    </xdr:to>
    <xdr:pic>
      <xdr:nvPicPr>
        <xdr:cNvPr id="1190" name="Picture 1189"/>
        <xdr:cNvPicPr>
          <a:picLocks noChangeAspect="1"/>
        </xdr:cNvPicPr>
      </xdr:nvPicPr>
      <xdr:blipFill>
        <a:blip r:embed="rId965" cstate="email"/>
        <a:stretch>
          <a:fillRect/>
        </a:stretch>
      </xdr:blipFill>
      <xdr:spPr>
        <a:xfrm>
          <a:off x="957580" y="920815405"/>
          <a:ext cx="462915" cy="59753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xdr:cNvPicPr>
          <a:picLocks noChangeAspect="1"/>
        </xdr:cNvPicPr>
      </xdr:nvPicPr>
      <xdr:blipFill>
        <a:blip r:embed="rId966" cstate="email"/>
        <a:stretch>
          <a:fillRect/>
        </a:stretch>
      </xdr:blipFill>
      <xdr:spPr>
        <a:xfrm>
          <a:off x="956310" y="890381125"/>
          <a:ext cx="415290" cy="548005"/>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xdr:cNvPicPr>
          <a:picLocks noChangeAspect="1"/>
        </xdr:cNvPicPr>
      </xdr:nvPicPr>
      <xdr:blipFill>
        <a:blip r:embed="rId966" cstate="email"/>
        <a:stretch>
          <a:fillRect/>
        </a:stretch>
      </xdr:blipFill>
      <xdr:spPr>
        <a:xfrm>
          <a:off x="981710" y="891018665"/>
          <a:ext cx="415290" cy="548005"/>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xdr:cNvPicPr>
          <a:picLocks noChangeAspect="1"/>
        </xdr:cNvPicPr>
      </xdr:nvPicPr>
      <xdr:blipFill>
        <a:blip r:embed="rId966" cstate="email"/>
        <a:stretch>
          <a:fillRect/>
        </a:stretch>
      </xdr:blipFill>
      <xdr:spPr>
        <a:xfrm>
          <a:off x="972185" y="891644140"/>
          <a:ext cx="415925" cy="548005"/>
        </a:xfrm>
        <a:prstGeom prst="rect">
          <a:avLst/>
        </a:prstGeom>
      </xdr:spPr>
    </xdr:pic>
    <xdr:clientData/>
  </xdr:twoCellAnchor>
  <xdr:twoCellAnchor>
    <xdr:from>
      <xdr:col>1</xdr:col>
      <xdr:colOff>11547</xdr:colOff>
      <xdr:row>1452</xdr:row>
      <xdr:rowOff>43335</xdr:rowOff>
    </xdr:from>
    <xdr:to>
      <xdr:col>1</xdr:col>
      <xdr:colOff>438729</xdr:colOff>
      <xdr:row>1452</xdr:row>
      <xdr:rowOff>601652</xdr:rowOff>
    </xdr:to>
    <xdr:pic>
      <xdr:nvPicPr>
        <xdr:cNvPr id="42" name="Picture 41"/>
        <xdr:cNvPicPr>
          <a:picLocks noChangeAspect="1"/>
        </xdr:cNvPicPr>
      </xdr:nvPicPr>
      <xdr:blipFill>
        <a:blip r:embed="rId967" cstate="email"/>
        <a:stretch>
          <a:fillRect/>
        </a:stretch>
      </xdr:blipFill>
      <xdr:spPr>
        <a:xfrm>
          <a:off x="956310" y="922126680"/>
          <a:ext cx="426720" cy="558165"/>
        </a:xfrm>
        <a:prstGeom prst="rect">
          <a:avLst/>
        </a:prstGeom>
      </xdr:spPr>
    </xdr:pic>
    <xdr:clientData/>
  </xdr:twoCellAnchor>
  <xdr:twoCellAnchor>
    <xdr:from>
      <xdr:col>1</xdr:col>
      <xdr:colOff>25401</xdr:colOff>
      <xdr:row>1453</xdr:row>
      <xdr:rowOff>45644</xdr:rowOff>
    </xdr:from>
    <xdr:to>
      <xdr:col>1</xdr:col>
      <xdr:colOff>452583</xdr:colOff>
      <xdr:row>1453</xdr:row>
      <xdr:rowOff>603961</xdr:rowOff>
    </xdr:to>
    <xdr:pic>
      <xdr:nvPicPr>
        <xdr:cNvPr id="1195" name="Picture 1194"/>
        <xdr:cNvPicPr>
          <a:picLocks noChangeAspect="1"/>
        </xdr:cNvPicPr>
      </xdr:nvPicPr>
      <xdr:blipFill>
        <a:blip r:embed="rId967" cstate="email"/>
        <a:stretch>
          <a:fillRect/>
        </a:stretch>
      </xdr:blipFill>
      <xdr:spPr>
        <a:xfrm>
          <a:off x="970280" y="922763585"/>
          <a:ext cx="426720" cy="558800"/>
        </a:xfrm>
        <a:prstGeom prst="rect">
          <a:avLst/>
        </a:prstGeom>
      </xdr:spPr>
    </xdr:pic>
    <xdr:clientData/>
  </xdr:twoCellAnchor>
  <xdr:twoCellAnchor>
    <xdr:from>
      <xdr:col>1</xdr:col>
      <xdr:colOff>27710</xdr:colOff>
      <xdr:row>1454</xdr:row>
      <xdr:rowOff>36407</xdr:rowOff>
    </xdr:from>
    <xdr:to>
      <xdr:col>1</xdr:col>
      <xdr:colOff>454892</xdr:colOff>
      <xdr:row>1454</xdr:row>
      <xdr:rowOff>594724</xdr:rowOff>
    </xdr:to>
    <xdr:pic>
      <xdr:nvPicPr>
        <xdr:cNvPr id="1196" name="Picture 1195"/>
        <xdr:cNvPicPr>
          <a:picLocks noChangeAspect="1"/>
        </xdr:cNvPicPr>
      </xdr:nvPicPr>
      <xdr:blipFill>
        <a:blip r:embed="rId967" cstate="email"/>
        <a:stretch>
          <a:fillRect/>
        </a:stretch>
      </xdr:blipFill>
      <xdr:spPr>
        <a:xfrm>
          <a:off x="972185" y="923389695"/>
          <a:ext cx="427355" cy="558165"/>
        </a:xfrm>
        <a:prstGeom prst="rect">
          <a:avLst/>
        </a:prstGeom>
      </xdr:spPr>
    </xdr:pic>
    <xdr:clientData/>
  </xdr:twoCellAnchor>
  <xdr:twoCellAnchor>
    <xdr:from>
      <xdr:col>1</xdr:col>
      <xdr:colOff>30020</xdr:colOff>
      <xdr:row>1455</xdr:row>
      <xdr:rowOff>38717</xdr:rowOff>
    </xdr:from>
    <xdr:to>
      <xdr:col>1</xdr:col>
      <xdr:colOff>457202</xdr:colOff>
      <xdr:row>1455</xdr:row>
      <xdr:rowOff>597034</xdr:rowOff>
    </xdr:to>
    <xdr:pic>
      <xdr:nvPicPr>
        <xdr:cNvPr id="1197" name="Picture 1196"/>
        <xdr:cNvPicPr>
          <a:picLocks noChangeAspect="1"/>
        </xdr:cNvPicPr>
      </xdr:nvPicPr>
      <xdr:blipFill>
        <a:blip r:embed="rId967" cstate="email"/>
        <a:stretch>
          <a:fillRect/>
        </a:stretch>
      </xdr:blipFill>
      <xdr:spPr>
        <a:xfrm>
          <a:off x="974725" y="924026600"/>
          <a:ext cx="427355" cy="558800"/>
        </a:xfrm>
        <a:prstGeom prst="rect">
          <a:avLst/>
        </a:prstGeom>
      </xdr:spPr>
    </xdr:pic>
    <xdr:clientData/>
  </xdr:twoCellAnchor>
  <xdr:twoCellAnchor>
    <xdr:from>
      <xdr:col>1</xdr:col>
      <xdr:colOff>25401</xdr:colOff>
      <xdr:row>1451</xdr:row>
      <xdr:rowOff>34098</xdr:rowOff>
    </xdr:from>
    <xdr:to>
      <xdr:col>1</xdr:col>
      <xdr:colOff>452583</xdr:colOff>
      <xdr:row>1451</xdr:row>
      <xdr:rowOff>592415</xdr:rowOff>
    </xdr:to>
    <xdr:pic>
      <xdr:nvPicPr>
        <xdr:cNvPr id="1198" name="Picture 1197"/>
        <xdr:cNvPicPr>
          <a:picLocks noChangeAspect="1"/>
        </xdr:cNvPicPr>
      </xdr:nvPicPr>
      <xdr:blipFill>
        <a:blip r:embed="rId967" cstate="email"/>
        <a:stretch>
          <a:fillRect/>
        </a:stretch>
      </xdr:blipFill>
      <xdr:spPr>
        <a:xfrm>
          <a:off x="970280" y="921482155"/>
          <a:ext cx="426720" cy="558165"/>
        </a:xfrm>
        <a:prstGeom prst="rect">
          <a:avLst/>
        </a:prstGeom>
      </xdr:spPr>
    </xdr:pic>
    <xdr:clientData/>
  </xdr:twoCellAnchor>
  <xdr:twoCellAnchor>
    <xdr:from>
      <xdr:col>1</xdr:col>
      <xdr:colOff>30480</xdr:colOff>
      <xdr:row>1488</xdr:row>
      <xdr:rowOff>40640</xdr:rowOff>
    </xdr:from>
    <xdr:to>
      <xdr:col>1</xdr:col>
      <xdr:colOff>449580</xdr:colOff>
      <xdr:row>1488</xdr:row>
      <xdr:rowOff>593147</xdr:rowOff>
    </xdr:to>
    <xdr:pic>
      <xdr:nvPicPr>
        <xdr:cNvPr id="1199" name="Picture 1198"/>
        <xdr:cNvPicPr>
          <a:picLocks noChangeAspect="1"/>
        </xdr:cNvPicPr>
      </xdr:nvPicPr>
      <xdr:blipFill>
        <a:blip r:embed="rId968" cstate="email"/>
        <a:stretch>
          <a:fillRect/>
        </a:stretch>
      </xdr:blipFill>
      <xdr:spPr>
        <a:xfrm>
          <a:off x="975360" y="944984140"/>
          <a:ext cx="419100" cy="552450"/>
        </a:xfrm>
        <a:prstGeom prst="rect">
          <a:avLst/>
        </a:prstGeom>
      </xdr:spPr>
    </xdr:pic>
    <xdr:clientData/>
  </xdr:twoCellAnchor>
  <xdr:twoCellAnchor>
    <xdr:from>
      <xdr:col>1</xdr:col>
      <xdr:colOff>40640</xdr:colOff>
      <xdr:row>1489</xdr:row>
      <xdr:rowOff>50800</xdr:rowOff>
    </xdr:from>
    <xdr:to>
      <xdr:col>1</xdr:col>
      <xdr:colOff>459740</xdr:colOff>
      <xdr:row>1489</xdr:row>
      <xdr:rowOff>603307</xdr:rowOff>
    </xdr:to>
    <xdr:pic>
      <xdr:nvPicPr>
        <xdr:cNvPr id="1200" name="Picture 1199"/>
        <xdr:cNvPicPr>
          <a:picLocks noChangeAspect="1"/>
        </xdr:cNvPicPr>
      </xdr:nvPicPr>
      <xdr:blipFill>
        <a:blip r:embed="rId968" cstate="email"/>
        <a:stretch>
          <a:fillRect/>
        </a:stretch>
      </xdr:blipFill>
      <xdr:spPr>
        <a:xfrm>
          <a:off x="985520" y="945629300"/>
          <a:ext cx="419100" cy="55245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800100</xdr:colOff>
      <xdr:row>631</xdr:row>
      <xdr:rowOff>215900</xdr:rowOff>
    </xdr:from>
    <xdr:to>
      <xdr:col>2</xdr:col>
      <xdr:colOff>0</xdr:colOff>
      <xdr:row>662</xdr:row>
      <xdr:rowOff>144246</xdr:rowOff>
    </xdr:to>
    <xdr:sp>
      <xdr:nvSpPr>
        <xdr:cNvPr id="2" name="AutoShape 2485"/>
        <xdr:cNvSpPr>
          <a:spLocks noChangeAspect="1" noChangeArrowheads="1"/>
        </xdr:cNvSpPr>
      </xdr:nvSpPr>
      <xdr:spPr>
        <a:xfrm>
          <a:off x="121920" y="440740800"/>
          <a:ext cx="12192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xdr:cNvPicPr>
          <a:picLocks noChangeAspect="1"/>
        </xdr:cNvPicPr>
      </xdr:nvPicPr>
      <xdr:blipFill>
        <a:blip r:embed="rId1" cstate="email"/>
        <a:stretch>
          <a:fillRect/>
        </a:stretch>
      </xdr:blipFill>
      <xdr:spPr>
        <a:xfrm>
          <a:off x="121920" y="597750900"/>
          <a:ext cx="121920" cy="608330"/>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xdr:cNvPicPr>
          <a:picLocks noChangeAspect="1"/>
        </xdr:cNvPicPr>
      </xdr:nvPicPr>
      <xdr:blipFill>
        <a:blip r:embed="rId2" cstate="email"/>
        <a:stretch>
          <a:fillRect/>
        </a:stretch>
      </xdr:blipFill>
      <xdr:spPr>
        <a:xfrm>
          <a:off x="243840" y="1896110"/>
          <a:ext cx="0" cy="682625"/>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xdr:cNvPicPr>
          <a:picLocks noChangeAspect="1"/>
        </xdr:cNvPicPr>
      </xdr:nvPicPr>
      <xdr:blipFill>
        <a:blip r:embed="rId3" cstate="email"/>
        <a:stretch>
          <a:fillRect/>
        </a:stretch>
      </xdr:blipFill>
      <xdr:spPr>
        <a:xfrm>
          <a:off x="243840" y="1183005"/>
          <a:ext cx="0" cy="690245"/>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xdr:cNvPicPr>
          <a:picLocks noChangeAspect="1"/>
        </xdr:cNvPicPr>
      </xdr:nvPicPr>
      <xdr:blipFill>
        <a:blip r:embed="rId4" cstate="email"/>
        <a:stretch>
          <a:fillRect/>
        </a:stretch>
      </xdr:blipFill>
      <xdr:spPr>
        <a:xfrm>
          <a:off x="243840" y="502920"/>
          <a:ext cx="0" cy="671830"/>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xdr:cNvPicPr>
          <a:picLocks noChangeAspect="1"/>
        </xdr:cNvPicPr>
      </xdr:nvPicPr>
      <xdr:blipFill>
        <a:blip r:embed="rId5" cstate="email"/>
        <a:stretch>
          <a:fillRect/>
        </a:stretch>
      </xdr:blipFill>
      <xdr:spPr>
        <a:xfrm>
          <a:off x="243840" y="2592705"/>
          <a:ext cx="0" cy="587375"/>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xdr:cNvPicPr>
          <a:picLocks noChangeAspect="1"/>
        </xdr:cNvPicPr>
      </xdr:nvPicPr>
      <xdr:blipFill>
        <a:blip r:embed="rId5" cstate="email"/>
        <a:stretch>
          <a:fillRect/>
        </a:stretch>
      </xdr:blipFill>
      <xdr:spPr>
        <a:xfrm>
          <a:off x="243840" y="3342005"/>
          <a:ext cx="0" cy="587375"/>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xdr:cNvPicPr>
          <a:picLocks noChangeAspect="1"/>
        </xdr:cNvPicPr>
      </xdr:nvPicPr>
      <xdr:blipFill>
        <a:blip r:embed="rId6" cstate="email"/>
        <a:stretch>
          <a:fillRect/>
        </a:stretch>
      </xdr:blipFill>
      <xdr:spPr>
        <a:xfrm>
          <a:off x="233680" y="5430520"/>
          <a:ext cx="10160" cy="675640"/>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xdr:cNvPicPr>
          <a:picLocks noChangeAspect="1"/>
        </xdr:cNvPicPr>
      </xdr:nvPicPr>
      <xdr:blipFill>
        <a:blip r:embed="rId7" cstate="email"/>
        <a:stretch>
          <a:fillRect/>
        </a:stretch>
      </xdr:blipFill>
      <xdr:spPr>
        <a:xfrm>
          <a:off x="243840" y="6129020"/>
          <a:ext cx="0" cy="675640"/>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xdr:cNvPicPr>
          <a:picLocks noChangeAspect="1"/>
        </xdr:cNvPicPr>
      </xdr:nvPicPr>
      <xdr:blipFill>
        <a:blip r:embed="rId8" cstate="email"/>
        <a:stretch>
          <a:fillRect/>
        </a:stretch>
      </xdr:blipFill>
      <xdr:spPr>
        <a:xfrm>
          <a:off x="238125" y="6832600"/>
          <a:ext cx="5715" cy="594360"/>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xdr:cNvPicPr>
          <a:picLocks noChangeAspect="1"/>
        </xdr:cNvPicPr>
      </xdr:nvPicPr>
      <xdr:blipFill>
        <a:blip r:embed="rId9" cstate="email"/>
        <a:stretch>
          <a:fillRect/>
        </a:stretch>
      </xdr:blipFill>
      <xdr:spPr>
        <a:xfrm>
          <a:off x="243840" y="7491730"/>
          <a:ext cx="0" cy="663575"/>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xdr:cNvPicPr>
          <a:picLocks noChangeAspect="1"/>
        </xdr:cNvPicPr>
      </xdr:nvPicPr>
      <xdr:blipFill>
        <a:blip r:embed="rId10" cstate="email"/>
        <a:stretch>
          <a:fillRect/>
        </a:stretch>
      </xdr:blipFill>
      <xdr:spPr>
        <a:xfrm>
          <a:off x="243840" y="4029075"/>
          <a:ext cx="0" cy="591185"/>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xdr:cNvPicPr>
          <a:picLocks noChangeAspect="1"/>
        </xdr:cNvPicPr>
      </xdr:nvPicPr>
      <xdr:blipFill>
        <a:blip r:embed="rId11" cstate="email"/>
        <a:stretch>
          <a:fillRect/>
        </a:stretch>
      </xdr:blipFill>
      <xdr:spPr>
        <a:xfrm>
          <a:off x="243840" y="4709795"/>
          <a:ext cx="0" cy="702310"/>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xdr:cNvPicPr>
          <a:picLocks noChangeAspect="1"/>
        </xdr:cNvPicPr>
      </xdr:nvPicPr>
      <xdr:blipFill>
        <a:blip r:embed="rId12" cstate="email"/>
        <a:stretch>
          <a:fillRect/>
        </a:stretch>
      </xdr:blipFill>
      <xdr:spPr>
        <a:xfrm>
          <a:off x="243840" y="8188325"/>
          <a:ext cx="0" cy="6642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xdr:cNvPicPr>
          <a:picLocks noChangeAspect="1"/>
        </xdr:cNvPicPr>
      </xdr:nvPicPr>
      <xdr:blipFill>
        <a:blip r:embed="rId13" cstate="email"/>
        <a:stretch>
          <a:fillRect/>
        </a:stretch>
      </xdr:blipFill>
      <xdr:spPr>
        <a:xfrm>
          <a:off x="243840" y="8890000"/>
          <a:ext cx="0" cy="592455"/>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xdr:cNvPicPr>
          <a:picLocks noChangeAspect="1"/>
        </xdr:cNvPicPr>
      </xdr:nvPicPr>
      <xdr:blipFill>
        <a:blip r:embed="rId14" cstate="email"/>
        <a:stretch>
          <a:fillRect/>
        </a:stretch>
      </xdr:blipFill>
      <xdr:spPr>
        <a:xfrm>
          <a:off x="239395" y="9581515"/>
          <a:ext cx="4445" cy="58801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xdr:cNvPicPr>
          <a:picLocks noChangeAspect="1"/>
        </xdr:cNvPicPr>
      </xdr:nvPicPr>
      <xdr:blipFill>
        <a:blip r:embed="rId15" cstate="email"/>
        <a:stretch>
          <a:fillRect/>
        </a:stretch>
      </xdr:blipFill>
      <xdr:spPr>
        <a:xfrm>
          <a:off x="243840" y="10293985"/>
          <a:ext cx="0" cy="654050"/>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xdr:cNvPicPr>
          <a:picLocks noChangeAspect="1"/>
        </xdr:cNvPicPr>
      </xdr:nvPicPr>
      <xdr:blipFill>
        <a:blip r:embed="rId16" cstate="email"/>
        <a:stretch>
          <a:fillRect/>
        </a:stretch>
      </xdr:blipFill>
      <xdr:spPr>
        <a:xfrm>
          <a:off x="243840" y="10993120"/>
          <a:ext cx="0" cy="662305"/>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xdr:cNvPicPr>
          <a:picLocks noChangeAspect="1"/>
        </xdr:cNvPicPr>
      </xdr:nvPicPr>
      <xdr:blipFill>
        <a:blip r:embed="rId17" cstate="email"/>
        <a:stretch>
          <a:fillRect/>
        </a:stretch>
      </xdr:blipFill>
      <xdr:spPr>
        <a:xfrm>
          <a:off x="243840" y="11673205"/>
          <a:ext cx="0" cy="585470"/>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xdr:cNvPicPr>
          <a:picLocks noChangeAspect="1"/>
        </xdr:cNvPicPr>
      </xdr:nvPicPr>
      <xdr:blipFill>
        <a:blip r:embed="rId18" cstate="email"/>
        <a:stretch>
          <a:fillRect/>
        </a:stretch>
      </xdr:blipFill>
      <xdr:spPr>
        <a:xfrm>
          <a:off x="243840" y="12369800"/>
          <a:ext cx="0" cy="676910"/>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xdr:cNvPicPr>
          <a:picLocks noChangeAspect="1"/>
        </xdr:cNvPicPr>
      </xdr:nvPicPr>
      <xdr:blipFill>
        <a:blip r:embed="rId19" cstate="email"/>
        <a:stretch>
          <a:fillRect/>
        </a:stretch>
      </xdr:blipFill>
      <xdr:spPr>
        <a:xfrm>
          <a:off x="243840" y="13097510"/>
          <a:ext cx="0" cy="600710"/>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xdr:cNvPicPr>
          <a:picLocks noChangeAspect="1"/>
        </xdr:cNvPicPr>
      </xdr:nvPicPr>
      <xdr:blipFill>
        <a:blip r:embed="rId20" cstate="email"/>
        <a:stretch>
          <a:fillRect/>
        </a:stretch>
      </xdr:blipFill>
      <xdr:spPr>
        <a:xfrm>
          <a:off x="243840" y="13723620"/>
          <a:ext cx="0" cy="670560"/>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xdr:cNvPicPr>
          <a:picLocks noChangeAspect="1"/>
        </xdr:cNvPicPr>
      </xdr:nvPicPr>
      <xdr:blipFill>
        <a:blip r:embed="rId8" cstate="email"/>
        <a:stretch>
          <a:fillRect/>
        </a:stretch>
      </xdr:blipFill>
      <xdr:spPr>
        <a:xfrm>
          <a:off x="243840" y="14503400"/>
          <a:ext cx="0" cy="594360"/>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xdr:cNvPicPr>
          <a:picLocks noChangeAspect="1"/>
        </xdr:cNvPicPr>
      </xdr:nvPicPr>
      <xdr:blipFill>
        <a:blip r:embed="rId21" cstate="email"/>
        <a:stretch>
          <a:fillRect/>
        </a:stretch>
      </xdr:blipFill>
      <xdr:spPr>
        <a:xfrm>
          <a:off x="243840" y="15189200"/>
          <a:ext cx="0" cy="622300"/>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xdr:cNvPicPr>
          <a:picLocks noChangeAspect="1"/>
        </xdr:cNvPicPr>
      </xdr:nvPicPr>
      <xdr:blipFill>
        <a:blip r:embed="rId22" cstate="email"/>
        <a:stretch>
          <a:fillRect/>
        </a:stretch>
      </xdr:blipFill>
      <xdr:spPr>
        <a:xfrm>
          <a:off x="243840" y="15880715"/>
          <a:ext cx="0" cy="607060"/>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xdr:cNvPicPr>
          <a:picLocks noChangeAspect="1"/>
        </xdr:cNvPicPr>
      </xdr:nvPicPr>
      <xdr:blipFill>
        <a:blip r:embed="rId23" cstate="email"/>
        <a:stretch>
          <a:fillRect/>
        </a:stretch>
      </xdr:blipFill>
      <xdr:spPr>
        <a:xfrm>
          <a:off x="243840" y="16591915"/>
          <a:ext cx="0" cy="592455"/>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xdr:cNvPicPr>
          <a:picLocks noChangeAspect="1"/>
        </xdr:cNvPicPr>
      </xdr:nvPicPr>
      <xdr:blipFill>
        <a:blip r:embed="rId24" cstate="email"/>
        <a:stretch>
          <a:fillRect/>
        </a:stretch>
      </xdr:blipFill>
      <xdr:spPr>
        <a:xfrm>
          <a:off x="243840" y="17296130"/>
          <a:ext cx="0" cy="598170"/>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xdr:cNvPicPr>
          <a:picLocks noChangeAspect="1"/>
        </xdr:cNvPicPr>
      </xdr:nvPicPr>
      <xdr:blipFill>
        <a:blip r:embed="rId25" cstate="email"/>
        <a:stretch>
          <a:fillRect/>
        </a:stretch>
      </xdr:blipFill>
      <xdr:spPr>
        <a:xfrm>
          <a:off x="243840" y="18008600"/>
          <a:ext cx="0" cy="584200"/>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xdr:cNvPicPr>
          <a:picLocks noChangeAspect="1"/>
        </xdr:cNvPicPr>
      </xdr:nvPicPr>
      <xdr:blipFill>
        <a:blip r:embed="rId26" cstate="email"/>
        <a:stretch>
          <a:fillRect/>
        </a:stretch>
      </xdr:blipFill>
      <xdr:spPr>
        <a:xfrm>
          <a:off x="243840" y="18716625"/>
          <a:ext cx="0" cy="614680"/>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xdr:cNvPicPr>
          <a:picLocks noChangeAspect="1"/>
        </xdr:cNvPicPr>
      </xdr:nvPicPr>
      <xdr:blipFill>
        <a:blip r:embed="rId27" cstate="email"/>
        <a:stretch>
          <a:fillRect/>
        </a:stretch>
      </xdr:blipFill>
      <xdr:spPr>
        <a:xfrm>
          <a:off x="243840" y="19373215"/>
          <a:ext cx="0" cy="62928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xdr:cNvPicPr>
          <a:picLocks noChangeAspect="1"/>
        </xdr:cNvPicPr>
      </xdr:nvPicPr>
      <xdr:blipFill>
        <a:blip r:embed="rId28" cstate="email"/>
        <a:stretch>
          <a:fillRect/>
        </a:stretch>
      </xdr:blipFill>
      <xdr:spPr>
        <a:xfrm>
          <a:off x="243840" y="20053300"/>
          <a:ext cx="0"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xdr:cNvPicPr>
          <a:picLocks noChangeAspect="1"/>
        </xdr:cNvPicPr>
      </xdr:nvPicPr>
      <xdr:blipFill>
        <a:blip r:embed="rId29" cstate="email"/>
        <a:stretch>
          <a:fillRect/>
        </a:stretch>
      </xdr:blipFill>
      <xdr:spPr>
        <a:xfrm>
          <a:off x="243840" y="20763230"/>
          <a:ext cx="0" cy="636905"/>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xdr:cNvPicPr>
          <a:picLocks noChangeAspect="1"/>
        </xdr:cNvPicPr>
      </xdr:nvPicPr>
      <xdr:blipFill>
        <a:blip r:embed="rId30" cstate="email"/>
        <a:stretch>
          <a:fillRect/>
        </a:stretch>
      </xdr:blipFill>
      <xdr:spPr>
        <a:xfrm>
          <a:off x="243840" y="21456015"/>
          <a:ext cx="0" cy="654685"/>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xdr:cNvPicPr>
          <a:picLocks noChangeAspect="1"/>
        </xdr:cNvPicPr>
      </xdr:nvPicPr>
      <xdr:blipFill>
        <a:blip r:embed="rId31" cstate="email"/>
        <a:stretch>
          <a:fillRect/>
        </a:stretch>
      </xdr:blipFill>
      <xdr:spPr>
        <a:xfrm>
          <a:off x="243840" y="22157055"/>
          <a:ext cx="0" cy="643890"/>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xdr:cNvPicPr>
          <a:picLocks noChangeAspect="1"/>
        </xdr:cNvPicPr>
      </xdr:nvPicPr>
      <xdr:blipFill>
        <a:blip r:embed="rId32" cstate="email"/>
        <a:stretch>
          <a:fillRect/>
        </a:stretch>
      </xdr:blipFill>
      <xdr:spPr>
        <a:xfrm>
          <a:off x="243840" y="22853650"/>
          <a:ext cx="0" cy="640080"/>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xdr:cNvPicPr>
          <a:picLocks noChangeAspect="1"/>
        </xdr:cNvPicPr>
      </xdr:nvPicPr>
      <xdr:blipFill>
        <a:blip r:embed="rId33" cstate="email"/>
        <a:stretch>
          <a:fillRect/>
        </a:stretch>
      </xdr:blipFill>
      <xdr:spPr>
        <a:xfrm>
          <a:off x="243840" y="23552150"/>
          <a:ext cx="0" cy="645160"/>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xdr:cNvPicPr>
          <a:picLocks noChangeAspect="1"/>
        </xdr:cNvPicPr>
      </xdr:nvPicPr>
      <xdr:blipFill>
        <a:blip r:embed="rId34" cstate="email"/>
        <a:stretch>
          <a:fillRect/>
        </a:stretch>
      </xdr:blipFill>
      <xdr:spPr>
        <a:xfrm>
          <a:off x="243840" y="24297005"/>
          <a:ext cx="0" cy="535305"/>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xdr:cNvPicPr>
          <a:picLocks noChangeAspect="1"/>
        </xdr:cNvPicPr>
      </xdr:nvPicPr>
      <xdr:blipFill>
        <a:blip r:embed="rId35" cstate="email"/>
        <a:stretch>
          <a:fillRect/>
        </a:stretch>
      </xdr:blipFill>
      <xdr:spPr>
        <a:xfrm>
          <a:off x="243840" y="24995505"/>
          <a:ext cx="0" cy="527685"/>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xdr:cNvPicPr>
          <a:picLocks noChangeAspect="1"/>
        </xdr:cNvPicPr>
      </xdr:nvPicPr>
      <xdr:blipFill>
        <a:blip r:embed="rId36" cstate="email"/>
        <a:stretch>
          <a:fillRect/>
        </a:stretch>
      </xdr:blipFill>
      <xdr:spPr>
        <a:xfrm>
          <a:off x="243840" y="25649555"/>
          <a:ext cx="0" cy="647065"/>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xdr:cNvPicPr>
          <a:picLocks noChangeAspect="1"/>
        </xdr:cNvPicPr>
      </xdr:nvPicPr>
      <xdr:blipFill>
        <a:blip r:embed="rId36" cstate="email"/>
        <a:stretch>
          <a:fillRect/>
        </a:stretch>
      </xdr:blipFill>
      <xdr:spPr>
        <a:xfrm>
          <a:off x="243840" y="26348055"/>
          <a:ext cx="0" cy="645160"/>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xdr:cNvPicPr>
          <a:picLocks noChangeAspect="1"/>
        </xdr:cNvPicPr>
      </xdr:nvPicPr>
      <xdr:blipFill>
        <a:blip r:embed="rId37" cstate="email"/>
        <a:stretch>
          <a:fillRect/>
        </a:stretch>
      </xdr:blipFill>
      <xdr:spPr>
        <a:xfrm>
          <a:off x="243840" y="27057350"/>
          <a:ext cx="0" cy="632460"/>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xdr:cNvPicPr>
          <a:picLocks noChangeAspect="1"/>
        </xdr:cNvPicPr>
      </xdr:nvPicPr>
      <xdr:blipFill>
        <a:blip r:embed="rId38" cstate="email"/>
        <a:stretch>
          <a:fillRect/>
        </a:stretch>
      </xdr:blipFill>
      <xdr:spPr>
        <a:xfrm>
          <a:off x="243840" y="27768550"/>
          <a:ext cx="0" cy="628650"/>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xdr:cNvPicPr>
          <a:picLocks noChangeAspect="1"/>
        </xdr:cNvPicPr>
      </xdr:nvPicPr>
      <xdr:blipFill>
        <a:blip r:embed="rId39" cstate="email"/>
        <a:stretch>
          <a:fillRect/>
        </a:stretch>
      </xdr:blipFill>
      <xdr:spPr>
        <a:xfrm>
          <a:off x="234950" y="28455620"/>
          <a:ext cx="8890" cy="583565"/>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xdr:cNvPicPr>
          <a:picLocks noChangeAspect="1"/>
        </xdr:cNvPicPr>
      </xdr:nvPicPr>
      <xdr:blipFill>
        <a:blip r:embed="rId40" cstate="email"/>
        <a:stretch>
          <a:fillRect/>
        </a:stretch>
      </xdr:blipFill>
      <xdr:spPr>
        <a:xfrm>
          <a:off x="243840" y="29189680"/>
          <a:ext cx="0" cy="541655"/>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xdr:cNvPicPr>
          <a:picLocks noChangeAspect="1"/>
        </xdr:cNvPicPr>
      </xdr:nvPicPr>
      <xdr:blipFill>
        <a:blip r:embed="rId41" cstate="email"/>
        <a:stretch>
          <a:fillRect/>
        </a:stretch>
      </xdr:blipFill>
      <xdr:spPr>
        <a:xfrm>
          <a:off x="243840" y="29880560"/>
          <a:ext cx="0" cy="539750"/>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xdr:cNvPicPr>
          <a:picLocks noChangeAspect="1"/>
        </xdr:cNvPicPr>
      </xdr:nvPicPr>
      <xdr:blipFill>
        <a:blip r:embed="rId42" cstate="email"/>
        <a:stretch>
          <a:fillRect/>
        </a:stretch>
      </xdr:blipFill>
      <xdr:spPr>
        <a:xfrm>
          <a:off x="243840" y="30613350"/>
          <a:ext cx="0" cy="50736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xdr:cNvPicPr>
          <a:picLocks noChangeAspect="1"/>
        </xdr:cNvPicPr>
      </xdr:nvPicPr>
      <xdr:blipFill>
        <a:blip r:embed="rId43" cstate="email"/>
        <a:stretch>
          <a:fillRect/>
        </a:stretch>
      </xdr:blipFill>
      <xdr:spPr>
        <a:xfrm>
          <a:off x="243840" y="31322645"/>
          <a:ext cx="0" cy="58356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xdr:cNvPicPr>
          <a:picLocks noChangeAspect="1"/>
        </xdr:cNvPicPr>
      </xdr:nvPicPr>
      <xdr:blipFill>
        <a:blip r:embed="rId44" cstate="email"/>
        <a:stretch>
          <a:fillRect/>
        </a:stretch>
      </xdr:blipFill>
      <xdr:spPr>
        <a:xfrm>
          <a:off x="243840" y="32026860"/>
          <a:ext cx="0" cy="582930"/>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xdr:cNvPicPr>
          <a:picLocks noChangeAspect="1"/>
        </xdr:cNvPicPr>
      </xdr:nvPicPr>
      <xdr:blipFill>
        <a:blip r:embed="rId45" cstate="email"/>
        <a:stretch>
          <a:fillRect/>
        </a:stretch>
      </xdr:blipFill>
      <xdr:spPr>
        <a:xfrm>
          <a:off x="243840" y="32728535"/>
          <a:ext cx="0" cy="580390"/>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xdr:cNvPicPr>
          <a:picLocks noChangeAspect="1"/>
        </xdr:cNvPicPr>
      </xdr:nvPicPr>
      <xdr:blipFill>
        <a:blip r:embed="rId46" cstate="email"/>
        <a:stretch>
          <a:fillRect/>
        </a:stretch>
      </xdr:blipFill>
      <xdr:spPr>
        <a:xfrm>
          <a:off x="243840" y="33392745"/>
          <a:ext cx="0" cy="599440"/>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xdr:cNvPicPr>
          <a:picLocks noChangeAspect="1"/>
        </xdr:cNvPicPr>
      </xdr:nvPicPr>
      <xdr:blipFill>
        <a:blip r:embed="rId47" cstate="email"/>
        <a:stretch>
          <a:fillRect/>
        </a:stretch>
      </xdr:blipFill>
      <xdr:spPr>
        <a:xfrm>
          <a:off x="243840" y="34085530"/>
          <a:ext cx="0" cy="605790"/>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xdr:cNvPicPr>
          <a:picLocks noChangeAspect="1"/>
        </xdr:cNvPicPr>
      </xdr:nvPicPr>
      <xdr:blipFill>
        <a:blip r:embed="rId48" cstate="email"/>
        <a:stretch>
          <a:fillRect/>
        </a:stretch>
      </xdr:blipFill>
      <xdr:spPr>
        <a:xfrm>
          <a:off x="243840" y="34788475"/>
          <a:ext cx="0" cy="607695"/>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xdr:cNvPicPr>
          <a:picLocks noChangeAspect="1"/>
        </xdr:cNvPicPr>
      </xdr:nvPicPr>
      <xdr:blipFill>
        <a:blip r:embed="rId49" cstate="email"/>
        <a:stretch>
          <a:fillRect/>
        </a:stretch>
      </xdr:blipFill>
      <xdr:spPr>
        <a:xfrm>
          <a:off x="243840" y="35490785"/>
          <a:ext cx="0" cy="6057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xdr:cNvPicPr>
          <a:picLocks noChangeAspect="1"/>
        </xdr:cNvPicPr>
      </xdr:nvPicPr>
      <xdr:blipFill>
        <a:blip r:embed="rId50" cstate="email"/>
        <a:stretch>
          <a:fillRect/>
        </a:stretch>
      </xdr:blipFill>
      <xdr:spPr>
        <a:xfrm>
          <a:off x="243840" y="36189285"/>
          <a:ext cx="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xdr:cNvPicPr>
          <a:picLocks noChangeAspect="1"/>
        </xdr:cNvPicPr>
      </xdr:nvPicPr>
      <xdr:blipFill>
        <a:blip r:embed="rId51" cstate="email"/>
        <a:stretch>
          <a:fillRect/>
        </a:stretch>
      </xdr:blipFill>
      <xdr:spPr>
        <a:xfrm>
          <a:off x="243840" y="36891595"/>
          <a:ext cx="0" cy="591185"/>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xdr:cNvPicPr>
          <a:picLocks noChangeAspect="1"/>
        </xdr:cNvPicPr>
      </xdr:nvPicPr>
      <xdr:blipFill>
        <a:blip r:embed="rId52" cstate="email"/>
        <a:stretch>
          <a:fillRect/>
        </a:stretch>
      </xdr:blipFill>
      <xdr:spPr>
        <a:xfrm>
          <a:off x="243840" y="37645975"/>
          <a:ext cx="0" cy="554990"/>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xdr:cNvPicPr>
          <a:picLocks noChangeAspect="1"/>
        </xdr:cNvPicPr>
      </xdr:nvPicPr>
      <xdr:blipFill>
        <a:blip r:embed="rId53" cstate="email"/>
        <a:stretch>
          <a:fillRect/>
        </a:stretch>
      </xdr:blipFill>
      <xdr:spPr>
        <a:xfrm>
          <a:off x="243840" y="38282880"/>
          <a:ext cx="0" cy="598170"/>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xdr:cNvPicPr>
          <a:picLocks noChangeAspect="1"/>
        </xdr:cNvPicPr>
      </xdr:nvPicPr>
      <xdr:blipFill>
        <a:blip r:embed="rId53" cstate="email"/>
        <a:stretch>
          <a:fillRect/>
        </a:stretch>
      </xdr:blipFill>
      <xdr:spPr>
        <a:xfrm>
          <a:off x="243840" y="38981380"/>
          <a:ext cx="0" cy="598170"/>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xdr:cNvPicPr>
          <a:picLocks noChangeAspect="1"/>
        </xdr:cNvPicPr>
      </xdr:nvPicPr>
      <xdr:blipFill>
        <a:blip r:embed="rId54" cstate="email"/>
        <a:stretch>
          <a:fillRect/>
        </a:stretch>
      </xdr:blipFill>
      <xdr:spPr>
        <a:xfrm>
          <a:off x="243840" y="39682420"/>
          <a:ext cx="0" cy="601345"/>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xdr:cNvPicPr>
          <a:picLocks noChangeAspect="1"/>
        </xdr:cNvPicPr>
      </xdr:nvPicPr>
      <xdr:blipFill>
        <a:blip r:embed="rId55" cstate="email"/>
        <a:stretch>
          <a:fillRect/>
        </a:stretch>
      </xdr:blipFill>
      <xdr:spPr>
        <a:xfrm>
          <a:off x="243840" y="40380920"/>
          <a:ext cx="0" cy="59753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xdr:cNvPicPr>
          <a:picLocks noChangeAspect="1"/>
        </xdr:cNvPicPr>
      </xdr:nvPicPr>
      <xdr:blipFill>
        <a:blip r:embed="rId56" cstate="email"/>
        <a:stretch>
          <a:fillRect/>
        </a:stretch>
      </xdr:blipFill>
      <xdr:spPr>
        <a:xfrm>
          <a:off x="243840" y="41022905"/>
          <a:ext cx="0" cy="672465"/>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xdr:cNvPicPr>
          <a:picLocks noChangeAspect="1"/>
        </xdr:cNvPicPr>
      </xdr:nvPicPr>
      <xdr:blipFill>
        <a:blip r:embed="rId57" cstate="email"/>
        <a:stretch>
          <a:fillRect/>
        </a:stretch>
      </xdr:blipFill>
      <xdr:spPr>
        <a:xfrm>
          <a:off x="243840" y="41741725"/>
          <a:ext cx="0" cy="66484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xdr:cNvPicPr>
          <a:picLocks noChangeAspect="1"/>
        </xdr:cNvPicPr>
      </xdr:nvPicPr>
      <xdr:blipFill>
        <a:blip r:embed="rId58" cstate="email"/>
        <a:stretch>
          <a:fillRect/>
        </a:stretch>
      </xdr:blipFill>
      <xdr:spPr>
        <a:xfrm>
          <a:off x="243840" y="42386250"/>
          <a:ext cx="0" cy="676275"/>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xdr:cNvPicPr>
          <a:picLocks noChangeAspect="1"/>
        </xdr:cNvPicPr>
      </xdr:nvPicPr>
      <xdr:blipFill>
        <a:blip r:embed="rId59" cstate="email"/>
        <a:stretch>
          <a:fillRect/>
        </a:stretch>
      </xdr:blipFill>
      <xdr:spPr>
        <a:xfrm>
          <a:off x="243840" y="43079670"/>
          <a:ext cx="0" cy="702310"/>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xdr:cNvPicPr>
          <a:picLocks noChangeAspect="1"/>
        </xdr:cNvPicPr>
      </xdr:nvPicPr>
      <xdr:blipFill>
        <a:blip r:embed="rId60" cstate="email"/>
        <a:stretch>
          <a:fillRect/>
        </a:stretch>
      </xdr:blipFill>
      <xdr:spPr>
        <a:xfrm>
          <a:off x="243840" y="43816905"/>
          <a:ext cx="0" cy="681990"/>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xdr:cNvPicPr>
          <a:picLocks noChangeAspect="1"/>
        </xdr:cNvPicPr>
      </xdr:nvPicPr>
      <xdr:blipFill>
        <a:blip r:embed="rId61" cstate="email"/>
        <a:stretch>
          <a:fillRect/>
        </a:stretch>
      </xdr:blipFill>
      <xdr:spPr>
        <a:xfrm>
          <a:off x="243840" y="44495085"/>
          <a:ext cx="0" cy="701040"/>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xdr:cNvPicPr>
          <a:picLocks noChangeAspect="1"/>
        </xdr:cNvPicPr>
      </xdr:nvPicPr>
      <xdr:blipFill>
        <a:blip r:embed="rId62" cstate="email"/>
        <a:stretch>
          <a:fillRect/>
        </a:stretch>
      </xdr:blipFill>
      <xdr:spPr>
        <a:xfrm>
          <a:off x="243840" y="45202475"/>
          <a:ext cx="0" cy="688975"/>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xdr:cNvPicPr>
          <a:picLocks noChangeAspect="1"/>
        </xdr:cNvPicPr>
      </xdr:nvPicPr>
      <xdr:blipFill>
        <a:blip r:embed="rId63" cstate="email"/>
        <a:stretch>
          <a:fillRect/>
        </a:stretch>
      </xdr:blipFill>
      <xdr:spPr>
        <a:xfrm>
          <a:off x="243840" y="45878115"/>
          <a:ext cx="0" cy="717550"/>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xdr:cNvPicPr>
          <a:picLocks noChangeAspect="1"/>
        </xdr:cNvPicPr>
      </xdr:nvPicPr>
      <xdr:blipFill>
        <a:blip r:embed="rId64" cstate="email"/>
        <a:stretch>
          <a:fillRect/>
        </a:stretch>
      </xdr:blipFill>
      <xdr:spPr>
        <a:xfrm>
          <a:off x="243840" y="46642020"/>
          <a:ext cx="0" cy="542925"/>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xdr:cNvPicPr>
          <a:picLocks noChangeAspect="1"/>
        </xdr:cNvPicPr>
      </xdr:nvPicPr>
      <xdr:blipFill>
        <a:blip r:embed="rId64" cstate="email"/>
        <a:stretch>
          <a:fillRect/>
        </a:stretch>
      </xdr:blipFill>
      <xdr:spPr>
        <a:xfrm>
          <a:off x="243840" y="47340520"/>
          <a:ext cx="0" cy="542925"/>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xdr:cNvPicPr>
          <a:picLocks noChangeAspect="1"/>
        </xdr:cNvPicPr>
      </xdr:nvPicPr>
      <xdr:blipFill>
        <a:blip r:embed="rId65" cstate="email"/>
        <a:stretch>
          <a:fillRect/>
        </a:stretch>
      </xdr:blipFill>
      <xdr:spPr>
        <a:xfrm>
          <a:off x="243840" y="48034575"/>
          <a:ext cx="0" cy="575310"/>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xdr:cNvPicPr>
          <a:picLocks noChangeAspect="1"/>
        </xdr:cNvPicPr>
      </xdr:nvPicPr>
      <xdr:blipFill>
        <a:blip r:embed="rId66" cstate="email"/>
        <a:stretch>
          <a:fillRect/>
        </a:stretch>
      </xdr:blipFill>
      <xdr:spPr>
        <a:xfrm>
          <a:off x="243840" y="48733075"/>
          <a:ext cx="0" cy="573405"/>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xdr:cNvPicPr>
          <a:picLocks noChangeAspect="1"/>
        </xdr:cNvPicPr>
      </xdr:nvPicPr>
      <xdr:blipFill>
        <a:blip r:embed="rId67" cstate="email"/>
        <a:stretch>
          <a:fillRect/>
        </a:stretch>
      </xdr:blipFill>
      <xdr:spPr>
        <a:xfrm>
          <a:off x="243840" y="49399825"/>
          <a:ext cx="0" cy="645795"/>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xdr:cNvPicPr>
          <a:picLocks noChangeAspect="1"/>
        </xdr:cNvPicPr>
      </xdr:nvPicPr>
      <xdr:blipFill>
        <a:blip r:embed="rId68" cstate="email"/>
        <a:stretch>
          <a:fillRect/>
        </a:stretch>
      </xdr:blipFill>
      <xdr:spPr>
        <a:xfrm>
          <a:off x="243840" y="50118645"/>
          <a:ext cx="0" cy="647700"/>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xdr:cNvPicPr>
          <a:picLocks noChangeAspect="1"/>
        </xdr:cNvPicPr>
      </xdr:nvPicPr>
      <xdr:blipFill>
        <a:blip r:embed="rId69" cstate="email"/>
        <a:stretch>
          <a:fillRect/>
        </a:stretch>
      </xdr:blipFill>
      <xdr:spPr>
        <a:xfrm>
          <a:off x="243840" y="50816510"/>
          <a:ext cx="0" cy="646430"/>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xdr:cNvPicPr>
          <a:picLocks noChangeAspect="1"/>
        </xdr:cNvPicPr>
      </xdr:nvPicPr>
      <xdr:blipFill>
        <a:blip r:embed="rId70" cstate="email"/>
        <a:stretch>
          <a:fillRect/>
        </a:stretch>
      </xdr:blipFill>
      <xdr:spPr>
        <a:xfrm>
          <a:off x="243840" y="51517550"/>
          <a:ext cx="0" cy="571500"/>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xdr:cNvPicPr>
          <a:picLocks noChangeAspect="1"/>
        </xdr:cNvPicPr>
      </xdr:nvPicPr>
      <xdr:blipFill>
        <a:blip r:embed="rId70" cstate="email"/>
        <a:stretch>
          <a:fillRect/>
        </a:stretch>
      </xdr:blipFill>
      <xdr:spPr>
        <a:xfrm>
          <a:off x="243840" y="52216050"/>
          <a:ext cx="0" cy="569595"/>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xdr:cNvPicPr>
          <a:picLocks noChangeAspect="1"/>
        </xdr:cNvPicPr>
      </xdr:nvPicPr>
      <xdr:blipFill>
        <a:blip r:embed="rId70" cstate="email"/>
        <a:stretch>
          <a:fillRect/>
        </a:stretch>
      </xdr:blipFill>
      <xdr:spPr>
        <a:xfrm>
          <a:off x="243840" y="52914550"/>
          <a:ext cx="0" cy="569595"/>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xdr:cNvPicPr>
          <a:picLocks noChangeAspect="1"/>
        </xdr:cNvPicPr>
      </xdr:nvPicPr>
      <xdr:blipFill>
        <a:blip r:embed="rId71" cstate="email"/>
        <a:stretch>
          <a:fillRect/>
        </a:stretch>
      </xdr:blipFill>
      <xdr:spPr>
        <a:xfrm>
          <a:off x="243840" y="53609240"/>
          <a:ext cx="0" cy="553085"/>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xdr:cNvPicPr>
          <a:picLocks noChangeAspect="1"/>
        </xdr:cNvPicPr>
      </xdr:nvPicPr>
      <xdr:blipFill>
        <a:blip r:embed="rId71" cstate="email"/>
        <a:stretch>
          <a:fillRect/>
        </a:stretch>
      </xdr:blipFill>
      <xdr:spPr>
        <a:xfrm>
          <a:off x="243840" y="54307740"/>
          <a:ext cx="0" cy="553085"/>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xdr:cNvPicPr>
          <a:picLocks noChangeAspect="1"/>
        </xdr:cNvPicPr>
      </xdr:nvPicPr>
      <xdr:blipFill>
        <a:blip r:embed="rId72" cstate="email"/>
        <a:stretch>
          <a:fillRect/>
        </a:stretch>
      </xdr:blipFill>
      <xdr:spPr>
        <a:xfrm>
          <a:off x="243840" y="54978935"/>
          <a:ext cx="0" cy="588645"/>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xdr:cNvPicPr>
          <a:picLocks noChangeAspect="1"/>
        </xdr:cNvPicPr>
      </xdr:nvPicPr>
      <xdr:blipFill>
        <a:blip r:embed="rId73" cstate="email"/>
        <a:stretch>
          <a:fillRect/>
        </a:stretch>
      </xdr:blipFill>
      <xdr:spPr>
        <a:xfrm>
          <a:off x="243840" y="55679340"/>
          <a:ext cx="0" cy="582295"/>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xdr:cNvPicPr>
          <a:picLocks noChangeAspect="1"/>
        </xdr:cNvPicPr>
      </xdr:nvPicPr>
      <xdr:blipFill>
        <a:blip r:embed="rId73" cstate="email"/>
        <a:stretch>
          <a:fillRect/>
        </a:stretch>
      </xdr:blipFill>
      <xdr:spPr>
        <a:xfrm>
          <a:off x="243840" y="56377840"/>
          <a:ext cx="0" cy="582295"/>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xdr:cNvPicPr>
          <a:picLocks noChangeAspect="1"/>
        </xdr:cNvPicPr>
      </xdr:nvPicPr>
      <xdr:blipFill>
        <a:blip r:embed="rId74" cstate="email"/>
        <a:stretch>
          <a:fillRect/>
        </a:stretch>
      </xdr:blipFill>
      <xdr:spPr>
        <a:xfrm>
          <a:off x="243840" y="57102375"/>
          <a:ext cx="0" cy="55562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xdr:cNvPicPr>
          <a:picLocks noChangeAspect="1"/>
        </xdr:cNvPicPr>
      </xdr:nvPicPr>
      <xdr:blipFill>
        <a:blip r:embed="rId74" cstate="email"/>
        <a:stretch>
          <a:fillRect/>
        </a:stretch>
      </xdr:blipFill>
      <xdr:spPr>
        <a:xfrm>
          <a:off x="243840" y="57800875"/>
          <a:ext cx="0" cy="55562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xdr:cNvPicPr>
          <a:picLocks noChangeAspect="1"/>
        </xdr:cNvPicPr>
      </xdr:nvPicPr>
      <xdr:blipFill>
        <a:blip r:embed="rId74" cstate="email"/>
        <a:stretch>
          <a:fillRect/>
        </a:stretch>
      </xdr:blipFill>
      <xdr:spPr>
        <a:xfrm>
          <a:off x="243840" y="58499375"/>
          <a:ext cx="0" cy="555625"/>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xdr:cNvPicPr>
          <a:picLocks noChangeAspect="1"/>
        </xdr:cNvPicPr>
      </xdr:nvPicPr>
      <xdr:blipFill>
        <a:blip r:embed="rId75" cstate="email"/>
        <a:stretch>
          <a:fillRect/>
        </a:stretch>
      </xdr:blipFill>
      <xdr:spPr>
        <a:xfrm>
          <a:off x="243840" y="59198510"/>
          <a:ext cx="0" cy="557530"/>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xdr:cNvPicPr>
          <a:picLocks noChangeAspect="1"/>
        </xdr:cNvPicPr>
      </xdr:nvPicPr>
      <xdr:blipFill>
        <a:blip r:embed="rId75" cstate="email"/>
        <a:stretch>
          <a:fillRect/>
        </a:stretch>
      </xdr:blipFill>
      <xdr:spPr>
        <a:xfrm>
          <a:off x="243840" y="59897010"/>
          <a:ext cx="0" cy="557530"/>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xdr:cNvPicPr>
          <a:picLocks noChangeAspect="1"/>
        </xdr:cNvPicPr>
      </xdr:nvPicPr>
      <xdr:blipFill>
        <a:blip r:embed="rId76" cstate="email"/>
        <a:stretch>
          <a:fillRect/>
        </a:stretch>
      </xdr:blipFill>
      <xdr:spPr>
        <a:xfrm>
          <a:off x="243840" y="60594875"/>
          <a:ext cx="0" cy="556260"/>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xdr:cNvPicPr>
          <a:picLocks noChangeAspect="1"/>
        </xdr:cNvPicPr>
      </xdr:nvPicPr>
      <xdr:blipFill>
        <a:blip r:embed="rId77" cstate="email"/>
        <a:stretch>
          <a:fillRect/>
        </a:stretch>
      </xdr:blipFill>
      <xdr:spPr>
        <a:xfrm>
          <a:off x="243840" y="61295280"/>
          <a:ext cx="0" cy="557530"/>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xdr:cNvPicPr>
          <a:picLocks noChangeAspect="1"/>
        </xdr:cNvPicPr>
      </xdr:nvPicPr>
      <xdr:blipFill>
        <a:blip r:embed="rId78" cstate="email"/>
        <a:stretch>
          <a:fillRect/>
        </a:stretch>
      </xdr:blipFill>
      <xdr:spPr>
        <a:xfrm>
          <a:off x="243840" y="61960125"/>
          <a:ext cx="0" cy="596265"/>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xdr:cNvPicPr>
          <a:picLocks noChangeAspect="1"/>
        </xdr:cNvPicPr>
      </xdr:nvPicPr>
      <xdr:blipFill>
        <a:blip r:embed="rId79" cstate="email"/>
        <a:stretch>
          <a:fillRect/>
        </a:stretch>
      </xdr:blipFill>
      <xdr:spPr>
        <a:xfrm>
          <a:off x="243840" y="62706885"/>
          <a:ext cx="0" cy="539115"/>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xdr:cNvPicPr>
          <a:picLocks noChangeAspect="1"/>
        </xdr:cNvPicPr>
      </xdr:nvPicPr>
      <xdr:blipFill>
        <a:blip r:embed="rId80" cstate="email"/>
        <a:stretch>
          <a:fillRect/>
        </a:stretch>
      </xdr:blipFill>
      <xdr:spPr>
        <a:xfrm>
          <a:off x="243840" y="63372365"/>
          <a:ext cx="0" cy="574040"/>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xdr:cNvPicPr>
          <a:picLocks noChangeAspect="1"/>
        </xdr:cNvPicPr>
      </xdr:nvPicPr>
      <xdr:blipFill>
        <a:blip r:embed="rId81" cstate="email"/>
        <a:stretch>
          <a:fillRect/>
        </a:stretch>
      </xdr:blipFill>
      <xdr:spPr>
        <a:xfrm>
          <a:off x="243840" y="64079755"/>
          <a:ext cx="0" cy="563245"/>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xdr:cNvPicPr>
          <a:picLocks noChangeAspect="1"/>
        </xdr:cNvPicPr>
      </xdr:nvPicPr>
      <xdr:blipFill>
        <a:blip r:embed="rId82" cstate="email"/>
        <a:stretch>
          <a:fillRect/>
        </a:stretch>
      </xdr:blipFill>
      <xdr:spPr>
        <a:xfrm>
          <a:off x="243840" y="64752220"/>
          <a:ext cx="0" cy="589280"/>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xdr:cNvPicPr>
          <a:picLocks noChangeAspect="1"/>
        </xdr:cNvPicPr>
      </xdr:nvPicPr>
      <xdr:blipFill>
        <a:blip r:embed="rId83" cstate="email"/>
        <a:stretch>
          <a:fillRect/>
        </a:stretch>
      </xdr:blipFill>
      <xdr:spPr>
        <a:xfrm>
          <a:off x="243840" y="65451355"/>
          <a:ext cx="0" cy="590550"/>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xdr:cNvPicPr>
          <a:picLocks noChangeAspect="1"/>
        </xdr:cNvPicPr>
      </xdr:nvPicPr>
      <xdr:blipFill>
        <a:blip r:embed="rId84" cstate="email"/>
        <a:stretch>
          <a:fillRect/>
        </a:stretch>
      </xdr:blipFill>
      <xdr:spPr>
        <a:xfrm>
          <a:off x="243840" y="66200020"/>
          <a:ext cx="0" cy="542925"/>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xdr:cNvPicPr>
          <a:picLocks noChangeAspect="1"/>
        </xdr:cNvPicPr>
      </xdr:nvPicPr>
      <xdr:blipFill>
        <a:blip r:embed="rId84" cstate="email"/>
        <a:stretch>
          <a:fillRect/>
        </a:stretch>
      </xdr:blipFill>
      <xdr:spPr>
        <a:xfrm>
          <a:off x="243840" y="66898520"/>
          <a:ext cx="0" cy="542925"/>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xdr:cNvPicPr>
          <a:picLocks noChangeAspect="1"/>
        </xdr:cNvPicPr>
      </xdr:nvPicPr>
      <xdr:blipFill>
        <a:blip r:embed="rId85" cstate="email"/>
        <a:stretch>
          <a:fillRect/>
        </a:stretch>
      </xdr:blipFill>
      <xdr:spPr>
        <a:xfrm>
          <a:off x="243840" y="67565905"/>
          <a:ext cx="0" cy="586740"/>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xdr:cNvPicPr>
          <a:picLocks noChangeAspect="1"/>
        </xdr:cNvPicPr>
      </xdr:nvPicPr>
      <xdr:blipFill>
        <a:blip r:embed="rId86" cstate="email"/>
        <a:stretch>
          <a:fillRect/>
        </a:stretch>
      </xdr:blipFill>
      <xdr:spPr>
        <a:xfrm>
          <a:off x="243840" y="68261865"/>
          <a:ext cx="0" cy="574040"/>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xdr:cNvPicPr>
          <a:picLocks noChangeAspect="1"/>
        </xdr:cNvPicPr>
      </xdr:nvPicPr>
      <xdr:blipFill>
        <a:blip r:embed="rId87"/>
        <a:stretch>
          <a:fillRect/>
        </a:stretch>
      </xdr:blipFill>
      <xdr:spPr>
        <a:xfrm>
          <a:off x="243840" y="68922900"/>
          <a:ext cx="0" cy="3175"/>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xdr:cNvPicPr>
          <a:picLocks noChangeAspect="1"/>
        </xdr:cNvPicPr>
      </xdr:nvPicPr>
      <xdr:blipFill>
        <a:blip r:embed="rId88"/>
        <a:stretch>
          <a:fillRect/>
        </a:stretch>
      </xdr:blipFill>
      <xdr:spPr>
        <a:xfrm>
          <a:off x="243840" y="68922900"/>
          <a:ext cx="0" cy="12065"/>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xdr:cNvPicPr>
          <a:picLocks noChangeAspect="1"/>
        </xdr:cNvPicPr>
      </xdr:nvPicPr>
      <xdr:blipFill>
        <a:blip r:embed="rId89" cstate="email"/>
        <a:stretch>
          <a:fillRect/>
        </a:stretch>
      </xdr:blipFill>
      <xdr:spPr>
        <a:xfrm>
          <a:off x="243840" y="68961000"/>
          <a:ext cx="0" cy="577850"/>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xdr:cNvPicPr>
          <a:picLocks noChangeAspect="1"/>
        </xdr:cNvPicPr>
      </xdr:nvPicPr>
      <xdr:blipFill>
        <a:blip r:embed="rId90" cstate="email"/>
        <a:stretch>
          <a:fillRect/>
        </a:stretch>
      </xdr:blipFill>
      <xdr:spPr>
        <a:xfrm>
          <a:off x="243840" y="69649975"/>
          <a:ext cx="0" cy="588010"/>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xdr:cNvPicPr>
          <a:picLocks noChangeAspect="1"/>
        </xdr:cNvPicPr>
      </xdr:nvPicPr>
      <xdr:blipFill>
        <a:blip r:embed="rId91" cstate="email"/>
        <a:stretch>
          <a:fillRect/>
        </a:stretch>
      </xdr:blipFill>
      <xdr:spPr>
        <a:xfrm>
          <a:off x="243840" y="70286880"/>
          <a:ext cx="0" cy="650240"/>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xdr:cNvPicPr>
          <a:picLocks noChangeAspect="1"/>
        </xdr:cNvPicPr>
      </xdr:nvPicPr>
      <xdr:blipFill>
        <a:blip r:embed="rId92" cstate="email"/>
        <a:stretch>
          <a:fillRect/>
        </a:stretch>
      </xdr:blipFill>
      <xdr:spPr>
        <a:xfrm>
          <a:off x="243840" y="71089520"/>
          <a:ext cx="0" cy="542925"/>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xdr:cNvPicPr>
          <a:picLocks noChangeAspect="1"/>
        </xdr:cNvPicPr>
      </xdr:nvPicPr>
      <xdr:blipFill>
        <a:blip r:embed="rId93" cstate="email"/>
        <a:stretch>
          <a:fillRect/>
        </a:stretch>
      </xdr:blipFill>
      <xdr:spPr>
        <a:xfrm>
          <a:off x="243840" y="71770240"/>
          <a:ext cx="0" cy="55308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xdr:cNvPicPr>
          <a:picLocks noChangeAspect="1"/>
        </xdr:cNvPicPr>
      </xdr:nvPicPr>
      <xdr:blipFill>
        <a:blip r:embed="rId93" cstate="email"/>
        <a:stretch>
          <a:fillRect/>
        </a:stretch>
      </xdr:blipFill>
      <xdr:spPr>
        <a:xfrm>
          <a:off x="243840" y="72468740"/>
          <a:ext cx="0" cy="55308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xdr:cNvPicPr>
          <a:picLocks noChangeAspect="1"/>
        </xdr:cNvPicPr>
      </xdr:nvPicPr>
      <xdr:blipFill>
        <a:blip r:embed="rId94" cstate="email"/>
        <a:stretch>
          <a:fillRect/>
        </a:stretch>
      </xdr:blipFill>
      <xdr:spPr>
        <a:xfrm>
          <a:off x="243840" y="73157080"/>
          <a:ext cx="0" cy="564515"/>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xdr:cNvPicPr>
          <a:picLocks noChangeAspect="1"/>
        </xdr:cNvPicPr>
      </xdr:nvPicPr>
      <xdr:blipFill>
        <a:blip r:embed="rId95" cstate="email"/>
        <a:stretch>
          <a:fillRect/>
        </a:stretch>
      </xdr:blipFill>
      <xdr:spPr>
        <a:xfrm>
          <a:off x="243840" y="73867645"/>
          <a:ext cx="0" cy="560705"/>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xdr:cNvPicPr>
          <a:picLocks noChangeAspect="1"/>
        </xdr:cNvPicPr>
      </xdr:nvPicPr>
      <xdr:blipFill>
        <a:blip r:embed="rId95" cstate="email"/>
        <a:stretch>
          <a:fillRect/>
        </a:stretch>
      </xdr:blipFill>
      <xdr:spPr>
        <a:xfrm>
          <a:off x="243840" y="74566145"/>
          <a:ext cx="0" cy="560705"/>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xdr:cNvPicPr>
          <a:picLocks noChangeAspect="1"/>
        </xdr:cNvPicPr>
      </xdr:nvPicPr>
      <xdr:blipFill>
        <a:blip r:embed="rId96" cstate="email"/>
        <a:stretch>
          <a:fillRect/>
        </a:stretch>
      </xdr:blipFill>
      <xdr:spPr>
        <a:xfrm>
          <a:off x="243840" y="75279250"/>
          <a:ext cx="0" cy="536575"/>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xdr:cNvPicPr>
          <a:picLocks noChangeAspect="1"/>
        </xdr:cNvPicPr>
      </xdr:nvPicPr>
      <xdr:blipFill>
        <a:blip r:embed="rId97" cstate="email"/>
        <a:stretch>
          <a:fillRect/>
        </a:stretch>
      </xdr:blipFill>
      <xdr:spPr>
        <a:xfrm>
          <a:off x="243840" y="75979655"/>
          <a:ext cx="0" cy="546100"/>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xdr:cNvPicPr>
          <a:picLocks noChangeAspect="1"/>
        </xdr:cNvPicPr>
      </xdr:nvPicPr>
      <xdr:blipFill>
        <a:blip r:embed="rId97" cstate="email"/>
        <a:stretch>
          <a:fillRect/>
        </a:stretch>
      </xdr:blipFill>
      <xdr:spPr>
        <a:xfrm>
          <a:off x="243840" y="76678155"/>
          <a:ext cx="0" cy="544195"/>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xdr:cNvPicPr>
          <a:picLocks noChangeAspect="1"/>
        </xdr:cNvPicPr>
      </xdr:nvPicPr>
      <xdr:blipFill>
        <a:blip r:embed="rId97" cstate="email"/>
        <a:stretch>
          <a:fillRect/>
        </a:stretch>
      </xdr:blipFill>
      <xdr:spPr>
        <a:xfrm>
          <a:off x="243840" y="77376655"/>
          <a:ext cx="0" cy="544195"/>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xdr:cNvPicPr>
          <a:picLocks noChangeAspect="1"/>
        </xdr:cNvPicPr>
      </xdr:nvPicPr>
      <xdr:blipFill>
        <a:blip r:embed="rId98" cstate="email"/>
        <a:stretch>
          <a:fillRect/>
        </a:stretch>
      </xdr:blipFill>
      <xdr:spPr>
        <a:xfrm>
          <a:off x="243840" y="78074520"/>
          <a:ext cx="0" cy="542925"/>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xdr:cNvPicPr>
          <a:picLocks noChangeAspect="1"/>
        </xdr:cNvPicPr>
      </xdr:nvPicPr>
      <xdr:blipFill>
        <a:blip r:embed="rId99" cstate="email"/>
        <a:stretch>
          <a:fillRect/>
        </a:stretch>
      </xdr:blipFill>
      <xdr:spPr>
        <a:xfrm>
          <a:off x="243840" y="78738730"/>
          <a:ext cx="0" cy="572135"/>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xdr:cNvPicPr>
          <a:picLocks noChangeAspect="1"/>
        </xdr:cNvPicPr>
      </xdr:nvPicPr>
      <xdr:blipFill>
        <a:blip r:embed="rId99" cstate="email"/>
        <a:stretch>
          <a:fillRect/>
        </a:stretch>
      </xdr:blipFill>
      <xdr:spPr>
        <a:xfrm>
          <a:off x="243840" y="79437230"/>
          <a:ext cx="0" cy="572135"/>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xdr:cNvPicPr>
          <a:picLocks noChangeAspect="1"/>
        </xdr:cNvPicPr>
      </xdr:nvPicPr>
      <xdr:blipFill>
        <a:blip r:embed="rId100" cstate="email"/>
        <a:stretch>
          <a:fillRect/>
        </a:stretch>
      </xdr:blipFill>
      <xdr:spPr>
        <a:xfrm>
          <a:off x="243840" y="80136365"/>
          <a:ext cx="0" cy="575310"/>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xdr:cNvPicPr>
          <a:picLocks noChangeAspect="1"/>
        </xdr:cNvPicPr>
      </xdr:nvPicPr>
      <xdr:blipFill>
        <a:blip r:embed="rId100" cstate="email"/>
        <a:stretch>
          <a:fillRect/>
        </a:stretch>
      </xdr:blipFill>
      <xdr:spPr>
        <a:xfrm>
          <a:off x="243840" y="80834865"/>
          <a:ext cx="0" cy="575310"/>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xdr:cNvPicPr>
          <a:picLocks noChangeAspect="1"/>
        </xdr:cNvPicPr>
      </xdr:nvPicPr>
      <xdr:blipFill>
        <a:blip r:embed="rId101" cstate="email"/>
        <a:stretch>
          <a:fillRect/>
        </a:stretch>
      </xdr:blipFill>
      <xdr:spPr>
        <a:xfrm>
          <a:off x="243840" y="81549240"/>
          <a:ext cx="0" cy="551180"/>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xdr:cNvPicPr>
          <a:picLocks noChangeAspect="1"/>
        </xdr:cNvPicPr>
      </xdr:nvPicPr>
      <xdr:blipFill>
        <a:blip r:embed="rId102" cstate="email"/>
        <a:stretch>
          <a:fillRect/>
        </a:stretch>
      </xdr:blipFill>
      <xdr:spPr>
        <a:xfrm>
          <a:off x="243840" y="82240755"/>
          <a:ext cx="0" cy="562610"/>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xdr:cNvPicPr>
          <a:picLocks noChangeAspect="1"/>
        </xdr:cNvPicPr>
      </xdr:nvPicPr>
      <xdr:blipFill>
        <a:blip r:embed="rId103" cstate="email"/>
        <a:stretch>
          <a:fillRect/>
        </a:stretch>
      </xdr:blipFill>
      <xdr:spPr>
        <a:xfrm>
          <a:off x="243840" y="82919570"/>
          <a:ext cx="0" cy="603250"/>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xdr:cNvPicPr>
          <a:picLocks noChangeAspect="1"/>
        </xdr:cNvPicPr>
      </xdr:nvPicPr>
      <xdr:blipFill>
        <a:blip r:embed="rId104" cstate="email"/>
        <a:stretch>
          <a:fillRect/>
        </a:stretch>
      </xdr:blipFill>
      <xdr:spPr>
        <a:xfrm>
          <a:off x="243840" y="83628230"/>
          <a:ext cx="0" cy="570230"/>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xdr:cNvPicPr>
          <a:picLocks noChangeAspect="1"/>
        </xdr:cNvPicPr>
      </xdr:nvPicPr>
      <xdr:blipFill>
        <a:blip r:embed="rId105" cstate="email"/>
        <a:stretch>
          <a:fillRect/>
        </a:stretch>
      </xdr:blipFill>
      <xdr:spPr>
        <a:xfrm>
          <a:off x="243840" y="84328000"/>
          <a:ext cx="0" cy="577215"/>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xdr:cNvPicPr>
          <a:picLocks noChangeAspect="1"/>
        </xdr:cNvPicPr>
      </xdr:nvPicPr>
      <xdr:blipFill>
        <a:blip r:embed="rId106" cstate="email"/>
        <a:stretch>
          <a:fillRect/>
        </a:stretch>
      </xdr:blipFill>
      <xdr:spPr>
        <a:xfrm>
          <a:off x="243840" y="85026500"/>
          <a:ext cx="0" cy="574675"/>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xdr:cNvPicPr>
          <a:picLocks noChangeAspect="1"/>
        </xdr:cNvPicPr>
      </xdr:nvPicPr>
      <xdr:blipFill>
        <a:blip r:embed="rId107" cstate="email"/>
        <a:stretch>
          <a:fillRect/>
        </a:stretch>
      </xdr:blipFill>
      <xdr:spPr>
        <a:xfrm>
          <a:off x="243840" y="85741510"/>
          <a:ext cx="0" cy="560070"/>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xdr:cNvPicPr>
          <a:picLocks noChangeAspect="1"/>
        </xdr:cNvPicPr>
      </xdr:nvPicPr>
      <xdr:blipFill>
        <a:blip r:embed="rId107" cstate="email"/>
        <a:stretch>
          <a:fillRect/>
        </a:stretch>
      </xdr:blipFill>
      <xdr:spPr>
        <a:xfrm>
          <a:off x="243840" y="86440010"/>
          <a:ext cx="0" cy="560070"/>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xdr:cNvPicPr>
          <a:picLocks noChangeAspect="1"/>
        </xdr:cNvPicPr>
      </xdr:nvPicPr>
      <xdr:blipFill>
        <a:blip r:embed="rId108" cstate="email"/>
        <a:stretch>
          <a:fillRect/>
        </a:stretch>
      </xdr:blipFill>
      <xdr:spPr>
        <a:xfrm>
          <a:off x="243840" y="87137240"/>
          <a:ext cx="0" cy="553085"/>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xdr:cNvPicPr>
          <a:picLocks noChangeAspect="1"/>
        </xdr:cNvPicPr>
      </xdr:nvPicPr>
      <xdr:blipFill>
        <a:blip r:embed="rId109" cstate="email"/>
        <a:stretch>
          <a:fillRect/>
        </a:stretch>
      </xdr:blipFill>
      <xdr:spPr>
        <a:xfrm>
          <a:off x="243840" y="87837010"/>
          <a:ext cx="0" cy="55880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xdr:cNvPicPr>
          <a:picLocks noChangeAspect="1"/>
        </xdr:cNvPicPr>
      </xdr:nvPicPr>
      <xdr:blipFill>
        <a:blip r:embed="rId110" cstate="email"/>
        <a:stretch>
          <a:fillRect/>
        </a:stretch>
      </xdr:blipFill>
      <xdr:spPr>
        <a:xfrm>
          <a:off x="243840" y="88518365"/>
          <a:ext cx="0" cy="57404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xdr:cNvPicPr>
          <a:picLocks noChangeAspect="1"/>
        </xdr:cNvPicPr>
      </xdr:nvPicPr>
      <xdr:blipFill>
        <a:blip r:embed="rId111" cstate="email"/>
        <a:stretch>
          <a:fillRect/>
        </a:stretch>
      </xdr:blipFill>
      <xdr:spPr>
        <a:xfrm>
          <a:off x="243840" y="89216230"/>
          <a:ext cx="0" cy="571500"/>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xdr:cNvPicPr>
          <a:picLocks noChangeAspect="1"/>
        </xdr:cNvPicPr>
      </xdr:nvPicPr>
      <xdr:blipFill>
        <a:blip r:embed="rId111" cstate="email"/>
        <a:stretch>
          <a:fillRect/>
        </a:stretch>
      </xdr:blipFill>
      <xdr:spPr>
        <a:xfrm>
          <a:off x="243840" y="89914730"/>
          <a:ext cx="0" cy="571500"/>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xdr:cNvPicPr>
          <a:picLocks noChangeAspect="1"/>
        </xdr:cNvPicPr>
      </xdr:nvPicPr>
      <xdr:blipFill>
        <a:blip r:embed="rId111" cstate="email"/>
        <a:stretch>
          <a:fillRect/>
        </a:stretch>
      </xdr:blipFill>
      <xdr:spPr>
        <a:xfrm>
          <a:off x="243840" y="90613230"/>
          <a:ext cx="0" cy="571500"/>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xdr:cNvPicPr>
          <a:picLocks noChangeAspect="1"/>
        </xdr:cNvPicPr>
      </xdr:nvPicPr>
      <xdr:blipFill>
        <a:blip r:embed="rId112" cstate="email"/>
        <a:stretch>
          <a:fillRect/>
        </a:stretch>
      </xdr:blipFill>
      <xdr:spPr>
        <a:xfrm>
          <a:off x="243840" y="91306650"/>
          <a:ext cx="0" cy="582295"/>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xdr:cNvPicPr>
          <a:picLocks noChangeAspect="1"/>
        </xdr:cNvPicPr>
      </xdr:nvPicPr>
      <xdr:blipFill>
        <a:blip r:embed="rId112" cstate="email"/>
        <a:stretch>
          <a:fillRect/>
        </a:stretch>
      </xdr:blipFill>
      <xdr:spPr>
        <a:xfrm>
          <a:off x="243840" y="92005785"/>
          <a:ext cx="0" cy="582295"/>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xdr:cNvPicPr>
          <a:picLocks noChangeAspect="1"/>
        </xdr:cNvPicPr>
      </xdr:nvPicPr>
      <xdr:blipFill>
        <a:blip r:embed="rId113" cstate="email"/>
        <a:stretch>
          <a:fillRect/>
        </a:stretch>
      </xdr:blipFill>
      <xdr:spPr>
        <a:xfrm>
          <a:off x="243840" y="92727780"/>
          <a:ext cx="0" cy="650875"/>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xdr:cNvPicPr>
          <a:picLocks noChangeAspect="1"/>
        </xdr:cNvPicPr>
      </xdr:nvPicPr>
      <xdr:blipFill>
        <a:blip r:embed="rId114" cstate="email"/>
        <a:stretch>
          <a:fillRect/>
        </a:stretch>
      </xdr:blipFill>
      <xdr:spPr>
        <a:xfrm>
          <a:off x="243840" y="93440885"/>
          <a:ext cx="0" cy="540385"/>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xdr:cNvPicPr>
          <a:picLocks noChangeAspect="1"/>
        </xdr:cNvPicPr>
      </xdr:nvPicPr>
      <xdr:blipFill>
        <a:blip r:embed="rId115" cstate="email"/>
        <a:stretch>
          <a:fillRect/>
        </a:stretch>
      </xdr:blipFill>
      <xdr:spPr>
        <a:xfrm>
          <a:off x="243840" y="94138750"/>
          <a:ext cx="0" cy="534035"/>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xdr:cNvPicPr>
          <a:picLocks noChangeAspect="1"/>
        </xdr:cNvPicPr>
      </xdr:nvPicPr>
      <xdr:blipFill>
        <a:blip r:embed="rId116" cstate="email"/>
        <a:stretch>
          <a:fillRect/>
        </a:stretch>
      </xdr:blipFill>
      <xdr:spPr>
        <a:xfrm>
          <a:off x="243840" y="94822645"/>
          <a:ext cx="0" cy="561975"/>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xdr:cNvPicPr>
          <a:picLocks noChangeAspect="1"/>
        </xdr:cNvPicPr>
      </xdr:nvPicPr>
      <xdr:blipFill>
        <a:blip r:embed="rId117" cstate="email"/>
        <a:stretch>
          <a:fillRect/>
        </a:stretch>
      </xdr:blipFill>
      <xdr:spPr>
        <a:xfrm>
          <a:off x="243840" y="95519875"/>
          <a:ext cx="0" cy="554990"/>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xdr:cNvPicPr>
          <a:picLocks noChangeAspect="1"/>
        </xdr:cNvPicPr>
      </xdr:nvPicPr>
      <xdr:blipFill>
        <a:blip r:embed="rId118" cstate="email"/>
        <a:stretch>
          <a:fillRect/>
        </a:stretch>
      </xdr:blipFill>
      <xdr:spPr>
        <a:xfrm>
          <a:off x="243840" y="96218375"/>
          <a:ext cx="0" cy="55689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xdr:cNvPicPr>
          <a:picLocks noChangeAspect="1"/>
        </xdr:cNvPicPr>
      </xdr:nvPicPr>
      <xdr:blipFill>
        <a:blip r:embed="rId119" cstate="email"/>
        <a:stretch>
          <a:fillRect/>
        </a:stretch>
      </xdr:blipFill>
      <xdr:spPr>
        <a:xfrm>
          <a:off x="243840" y="96934020"/>
          <a:ext cx="0" cy="542925"/>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xdr:cNvPicPr>
          <a:picLocks noChangeAspect="1"/>
        </xdr:cNvPicPr>
      </xdr:nvPicPr>
      <xdr:blipFill>
        <a:blip r:embed="rId120" cstate="email"/>
        <a:stretch>
          <a:fillRect/>
        </a:stretch>
      </xdr:blipFill>
      <xdr:spPr>
        <a:xfrm>
          <a:off x="243840" y="97616010"/>
          <a:ext cx="0" cy="557530"/>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xdr:cNvPicPr>
          <a:picLocks noChangeAspect="1"/>
        </xdr:cNvPicPr>
      </xdr:nvPicPr>
      <xdr:blipFill>
        <a:blip r:embed="rId121" cstate="email"/>
        <a:stretch>
          <a:fillRect/>
        </a:stretch>
      </xdr:blipFill>
      <xdr:spPr>
        <a:xfrm>
          <a:off x="243840" y="98296095"/>
          <a:ext cx="0" cy="571500"/>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xdr:cNvPicPr>
          <a:picLocks noChangeAspect="1" noChangeArrowheads="1"/>
        </xdr:cNvPicPr>
      </xdr:nvPicPr>
      <xdr:blipFill>
        <a:blip r:embed="rId122" cstate="print"/>
        <a:srcRect/>
        <a:stretch>
          <a:fillRect/>
        </a:stretch>
      </xdr:blipFill>
      <xdr:spPr>
        <a:xfrm>
          <a:off x="121920" y="13458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xdr:cNvPicPr>
          <a:picLocks noChangeAspect="1" noChangeArrowheads="1"/>
        </xdr:cNvPicPr>
      </xdr:nvPicPr>
      <xdr:blipFill>
        <a:blip r:embed="rId123" cstate="print"/>
        <a:srcRect/>
        <a:stretch>
          <a:fillRect/>
        </a:stretch>
      </xdr:blipFill>
      <xdr:spPr>
        <a:xfrm>
          <a:off x="121920" y="13458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xdr:cNvPicPr>
          <a:picLocks noChangeAspect="1" noChangeArrowheads="1"/>
        </xdr:cNvPicPr>
      </xdr:nvPicPr>
      <xdr:blipFill>
        <a:blip r:embed="rId124" cstate="print"/>
        <a:srcRect/>
        <a:stretch>
          <a:fillRect/>
        </a:stretch>
      </xdr:blipFill>
      <xdr:spPr>
        <a:xfrm>
          <a:off x="121920" y="1356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xdr:cNvPicPr>
          <a:picLocks noChangeAspect="1" noChangeArrowheads="1"/>
        </xdr:cNvPicPr>
      </xdr:nvPicPr>
      <xdr:blipFill>
        <a:blip r:embed="rId125" cstate="print"/>
        <a:srcRect/>
        <a:stretch>
          <a:fillRect/>
        </a:stretch>
      </xdr:blipFill>
      <xdr:spPr>
        <a:xfrm>
          <a:off x="121920" y="1368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xdr:cNvPicPr>
          <a:picLocks noChangeAspect="1" noChangeArrowheads="1"/>
        </xdr:cNvPicPr>
      </xdr:nvPicPr>
      <xdr:blipFill>
        <a:blip r:embed="rId125" cstate="print"/>
        <a:srcRect/>
        <a:stretch>
          <a:fillRect/>
        </a:stretch>
      </xdr:blipFill>
      <xdr:spPr>
        <a:xfrm>
          <a:off x="121920" y="1378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xdr:cNvPicPr>
          <a:picLocks noChangeAspect="1" noChangeArrowheads="1"/>
        </xdr:cNvPicPr>
      </xdr:nvPicPr>
      <xdr:blipFill>
        <a:blip r:embed="rId126" cstate="print"/>
        <a:srcRect/>
        <a:stretch>
          <a:fillRect/>
        </a:stretch>
      </xdr:blipFill>
      <xdr:spPr>
        <a:xfrm>
          <a:off x="121920" y="1390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xdr:cNvPicPr>
          <a:picLocks noChangeAspect="1" noChangeArrowheads="1"/>
        </xdr:cNvPicPr>
      </xdr:nvPicPr>
      <xdr:blipFill>
        <a:blip r:embed="rId126" cstate="print"/>
        <a:srcRect/>
        <a:stretch>
          <a:fillRect/>
        </a:stretch>
      </xdr:blipFill>
      <xdr:spPr>
        <a:xfrm>
          <a:off x="121920" y="13947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xdr:cNvPicPr>
          <a:picLocks noChangeAspect="1" noChangeArrowheads="1"/>
        </xdr:cNvPicPr>
      </xdr:nvPicPr>
      <xdr:blipFill>
        <a:blip r:embed="rId127" cstate="print"/>
        <a:srcRect/>
        <a:stretch>
          <a:fillRect/>
        </a:stretch>
      </xdr:blipFill>
      <xdr:spPr>
        <a:xfrm>
          <a:off x="121920" y="13985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xdr:cNvPicPr>
          <a:picLocks noChangeAspect="1" noChangeArrowheads="1"/>
        </xdr:cNvPicPr>
      </xdr:nvPicPr>
      <xdr:blipFill>
        <a:blip r:embed="rId128" cstate="print"/>
        <a:srcRect/>
        <a:stretch>
          <a:fillRect/>
        </a:stretch>
      </xdr:blipFill>
      <xdr:spPr>
        <a:xfrm>
          <a:off x="121920" y="14029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xdr:cNvPicPr>
          <a:picLocks noChangeAspect="1" noChangeArrowheads="1"/>
        </xdr:cNvPicPr>
      </xdr:nvPicPr>
      <xdr:blipFill>
        <a:blip r:embed="rId128" cstate="print"/>
        <a:srcRect/>
        <a:stretch>
          <a:fillRect/>
        </a:stretch>
      </xdr:blipFill>
      <xdr:spPr>
        <a:xfrm>
          <a:off x="121920" y="14137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xdr:cNvPicPr>
          <a:picLocks noChangeAspect="1" noChangeArrowheads="1"/>
        </xdr:cNvPicPr>
      </xdr:nvPicPr>
      <xdr:blipFill>
        <a:blip r:embed="rId129" cstate="print"/>
        <a:srcRect/>
        <a:stretch>
          <a:fillRect/>
        </a:stretch>
      </xdr:blipFill>
      <xdr:spPr>
        <a:xfrm>
          <a:off x="243840" y="13466635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xdr:cNvPicPr>
          <a:picLocks noChangeAspect="1" noChangeArrowheads="1"/>
        </xdr:cNvPicPr>
      </xdr:nvPicPr>
      <xdr:blipFill>
        <a:blip r:embed="rId130" cstate="print"/>
        <a:srcRect/>
        <a:stretch>
          <a:fillRect/>
        </a:stretch>
      </xdr:blipFill>
      <xdr:spPr>
        <a:xfrm>
          <a:off x="243840" y="13536485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xdr:cNvPicPr>
          <a:picLocks noChangeAspect="1" noChangeArrowheads="1"/>
        </xdr:cNvPicPr>
      </xdr:nvPicPr>
      <xdr:blipFill>
        <a:blip r:embed="rId131" cstate="print"/>
        <a:srcRect/>
        <a:stretch>
          <a:fillRect/>
        </a:stretch>
      </xdr:blipFill>
      <xdr:spPr>
        <a:xfrm>
          <a:off x="243840" y="136086850"/>
          <a:ext cx="0"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xdr:cNvPicPr>
          <a:picLocks noChangeAspect="1" noChangeArrowheads="1"/>
        </xdr:cNvPicPr>
      </xdr:nvPicPr>
      <xdr:blipFill>
        <a:blip r:embed="rId132" cstate="print"/>
        <a:srcRect/>
        <a:stretch>
          <a:fillRect/>
        </a:stretch>
      </xdr:blipFill>
      <xdr:spPr>
        <a:xfrm>
          <a:off x="243840" y="136762490"/>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xdr:cNvPicPr>
          <a:picLocks noChangeAspect="1" noChangeArrowheads="1"/>
        </xdr:cNvPicPr>
      </xdr:nvPicPr>
      <xdr:blipFill>
        <a:blip r:embed="rId133" cstate="print"/>
        <a:srcRect/>
        <a:stretch>
          <a:fillRect/>
        </a:stretch>
      </xdr:blipFill>
      <xdr:spPr>
        <a:xfrm>
          <a:off x="243840" y="137460990"/>
          <a:ext cx="0" cy="54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xdr:cNvPicPr>
          <a:picLocks noChangeAspect="1" noChangeArrowheads="1"/>
        </xdr:cNvPicPr>
      </xdr:nvPicPr>
      <xdr:blipFill>
        <a:blip r:embed="rId134" cstate="print"/>
        <a:srcRect/>
        <a:stretch>
          <a:fillRect/>
        </a:stretch>
      </xdr:blipFill>
      <xdr:spPr>
        <a:xfrm flipH="1">
          <a:off x="243840" y="138169650"/>
          <a:ext cx="0" cy="464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xdr:cNvPicPr>
          <a:picLocks noChangeAspect="1" noChangeArrowheads="1"/>
        </xdr:cNvPicPr>
      </xdr:nvPicPr>
      <xdr:blipFill>
        <a:blip r:embed="rId135" cstate="print"/>
        <a:srcRect/>
        <a:stretch>
          <a:fillRect/>
        </a:stretch>
      </xdr:blipFill>
      <xdr:spPr>
        <a:xfrm>
          <a:off x="243840" y="138906250"/>
          <a:ext cx="0" cy="43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xdr:cNvPicPr>
          <a:picLocks noChangeAspect="1" noChangeArrowheads="1"/>
        </xdr:cNvPicPr>
      </xdr:nvPicPr>
      <xdr:blipFill>
        <a:blip r:embed="rId136" cstate="print"/>
        <a:srcRect/>
        <a:stretch>
          <a:fillRect/>
        </a:stretch>
      </xdr:blipFill>
      <xdr:spPr>
        <a:xfrm>
          <a:off x="243840" y="13955776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xdr:cNvPicPr>
          <a:picLocks noChangeAspect="1" noChangeArrowheads="1"/>
        </xdr:cNvPicPr>
      </xdr:nvPicPr>
      <xdr:blipFill>
        <a:blip r:embed="rId137" cstate="email"/>
        <a:srcRect/>
        <a:stretch>
          <a:fillRect/>
        </a:stretch>
      </xdr:blipFill>
      <xdr:spPr>
        <a:xfrm>
          <a:off x="243840" y="140277850"/>
          <a:ext cx="0" cy="456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xdr:cNvPicPr>
          <a:picLocks noChangeAspect="1" noChangeArrowheads="1"/>
        </xdr:cNvPicPr>
      </xdr:nvPicPr>
      <xdr:blipFill>
        <a:blip r:embed="rId138" cstate="email"/>
        <a:srcRect/>
        <a:stretch>
          <a:fillRect/>
        </a:stretch>
      </xdr:blipFill>
      <xdr:spPr>
        <a:xfrm>
          <a:off x="243840" y="140955395"/>
          <a:ext cx="0"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xdr:cNvPicPr>
          <a:picLocks noChangeAspect="1" noChangeArrowheads="1"/>
        </xdr:cNvPicPr>
      </xdr:nvPicPr>
      <xdr:blipFill>
        <a:blip r:embed="rId139" cstate="print"/>
        <a:srcRect/>
        <a:stretch>
          <a:fillRect/>
        </a:stretch>
      </xdr:blipFill>
      <xdr:spPr>
        <a:xfrm>
          <a:off x="243840" y="1416621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xdr:cNvPicPr>
          <a:picLocks noChangeAspect="1" noChangeArrowheads="1"/>
        </xdr:cNvPicPr>
      </xdr:nvPicPr>
      <xdr:blipFill>
        <a:blip r:embed="rId140" cstate="email"/>
        <a:srcRect/>
        <a:stretch>
          <a:fillRect/>
        </a:stretch>
      </xdr:blipFill>
      <xdr:spPr>
        <a:xfrm>
          <a:off x="243840" y="142368905"/>
          <a:ext cx="0" cy="528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xdr:cNvPicPr>
          <a:picLocks noChangeAspect="1" noChangeArrowheads="1"/>
        </xdr:cNvPicPr>
      </xdr:nvPicPr>
      <xdr:blipFill>
        <a:blip r:embed="rId141" cstate="print"/>
        <a:srcRect/>
        <a:stretch>
          <a:fillRect/>
        </a:stretch>
      </xdr:blipFill>
      <xdr:spPr>
        <a:xfrm>
          <a:off x="243840" y="143054705"/>
          <a:ext cx="0"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xdr:cNvPicPr>
          <a:picLocks noChangeAspect="1" noChangeArrowheads="1"/>
        </xdr:cNvPicPr>
      </xdr:nvPicPr>
      <xdr:blipFill>
        <a:blip r:embed="rId142" cstate="print"/>
        <a:srcRect/>
        <a:stretch>
          <a:fillRect/>
        </a:stretch>
      </xdr:blipFill>
      <xdr:spPr>
        <a:xfrm>
          <a:off x="243840" y="143753840"/>
          <a:ext cx="0" cy="537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xdr:cNvPicPr>
          <a:picLocks noChangeAspect="1" noChangeArrowheads="1"/>
        </xdr:cNvPicPr>
      </xdr:nvPicPr>
      <xdr:blipFill>
        <a:blip r:embed="rId143" cstate="email"/>
        <a:srcRect/>
        <a:stretch>
          <a:fillRect/>
        </a:stretch>
      </xdr:blipFill>
      <xdr:spPr>
        <a:xfrm>
          <a:off x="243840" y="144452975"/>
          <a:ext cx="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xdr:cNvPicPr>
          <a:picLocks noChangeAspect="1" noChangeArrowheads="1"/>
        </xdr:cNvPicPr>
      </xdr:nvPicPr>
      <xdr:blipFill>
        <a:blip r:embed="rId144" cstate="email"/>
        <a:srcRect/>
        <a:stretch>
          <a:fillRect/>
        </a:stretch>
      </xdr:blipFill>
      <xdr:spPr>
        <a:xfrm>
          <a:off x="243840" y="145153380"/>
          <a:ext cx="0"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xdr:cNvPicPr>
          <a:picLocks noChangeAspect="1" noChangeArrowheads="1"/>
        </xdr:cNvPicPr>
      </xdr:nvPicPr>
      <xdr:blipFill>
        <a:blip r:embed="rId144" cstate="email"/>
        <a:srcRect/>
        <a:stretch>
          <a:fillRect/>
        </a:stretch>
      </xdr:blipFill>
      <xdr:spPr>
        <a:xfrm>
          <a:off x="243840" y="145852515"/>
          <a:ext cx="0" cy="5353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xdr:cNvPicPr>
          <a:picLocks noChangeAspect="1" noChangeArrowheads="1"/>
        </xdr:cNvPicPr>
      </xdr:nvPicPr>
      <xdr:blipFill>
        <a:blip r:embed="rId145" cstate="email"/>
        <a:srcRect/>
        <a:stretch>
          <a:fillRect/>
        </a:stretch>
      </xdr:blipFill>
      <xdr:spPr>
        <a:xfrm>
          <a:off x="243840" y="146551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xdr:cNvPicPr>
          <a:picLocks noChangeAspect="1" noChangeArrowheads="1"/>
        </xdr:cNvPicPr>
      </xdr:nvPicPr>
      <xdr:blipFill>
        <a:blip r:embed="rId146" cstate="email"/>
        <a:srcRect/>
        <a:stretch>
          <a:fillRect/>
        </a:stretch>
      </xdr:blipFill>
      <xdr:spPr>
        <a:xfrm>
          <a:off x="243840" y="147252690"/>
          <a:ext cx="0" cy="572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xdr:cNvPicPr>
          <a:picLocks noChangeAspect="1" noChangeArrowheads="1"/>
        </xdr:cNvPicPr>
      </xdr:nvPicPr>
      <xdr:blipFill>
        <a:blip r:embed="rId147" cstate="email"/>
        <a:srcRect/>
        <a:stretch>
          <a:fillRect/>
        </a:stretch>
      </xdr:blipFill>
      <xdr:spPr>
        <a:xfrm>
          <a:off x="243840" y="147986750"/>
          <a:ext cx="0"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xdr:cNvPicPr>
          <a:picLocks noChangeAspect="1" noChangeArrowheads="1"/>
        </xdr:cNvPicPr>
      </xdr:nvPicPr>
      <xdr:blipFill>
        <a:blip r:embed="rId148" cstate="email"/>
        <a:srcRect/>
        <a:stretch>
          <a:fillRect/>
        </a:stretch>
      </xdr:blipFill>
      <xdr:spPr>
        <a:xfrm>
          <a:off x="243840" y="148634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xdr:cNvPicPr>
          <a:picLocks noChangeAspect="1" noChangeArrowheads="1"/>
        </xdr:cNvPicPr>
      </xdr:nvPicPr>
      <xdr:blipFill>
        <a:blip r:embed="rId149" cstate="print"/>
        <a:srcRect/>
        <a:stretch>
          <a:fillRect/>
        </a:stretch>
      </xdr:blipFill>
      <xdr:spPr>
        <a:xfrm>
          <a:off x="243840" y="149358350"/>
          <a:ext cx="0" cy="525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xdr:cNvPicPr>
          <a:picLocks noChangeAspect="1" noChangeArrowheads="1"/>
        </xdr:cNvPicPr>
      </xdr:nvPicPr>
      <xdr:blipFill>
        <a:blip r:embed="rId150" cstate="email"/>
        <a:srcRect/>
        <a:stretch>
          <a:fillRect/>
        </a:stretch>
      </xdr:blipFill>
      <xdr:spPr>
        <a:xfrm>
          <a:off x="243840" y="150031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xdr:cNvPicPr>
          <a:picLocks noChangeAspect="1" noChangeArrowheads="1"/>
        </xdr:cNvPicPr>
      </xdr:nvPicPr>
      <xdr:blipFill>
        <a:blip r:embed="rId150" cstate="email"/>
        <a:srcRect/>
        <a:stretch>
          <a:fillRect/>
        </a:stretch>
      </xdr:blipFill>
      <xdr:spPr>
        <a:xfrm>
          <a:off x="243840" y="150729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xdr:cNvPicPr>
          <a:picLocks noChangeAspect="1" noChangeArrowheads="1"/>
        </xdr:cNvPicPr>
      </xdr:nvPicPr>
      <xdr:blipFill>
        <a:blip r:embed="rId151" cstate="email"/>
        <a:srcRect/>
        <a:stretch>
          <a:fillRect/>
        </a:stretch>
      </xdr:blipFill>
      <xdr:spPr>
        <a:xfrm>
          <a:off x="243840" y="151428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xdr:cNvPicPr>
          <a:picLocks noChangeAspect="1" noChangeArrowheads="1"/>
        </xdr:cNvPicPr>
      </xdr:nvPicPr>
      <xdr:blipFill>
        <a:blip r:embed="rId151" cstate="email"/>
        <a:srcRect/>
        <a:stretch>
          <a:fillRect/>
        </a:stretch>
      </xdr:blipFill>
      <xdr:spPr>
        <a:xfrm>
          <a:off x="243840" y="152126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xdr:cNvPicPr>
          <a:picLocks noChangeAspect="1" noChangeArrowheads="1"/>
        </xdr:cNvPicPr>
      </xdr:nvPicPr>
      <xdr:blipFill>
        <a:blip r:embed="rId152" cstate="email"/>
        <a:srcRect/>
        <a:stretch>
          <a:fillRect/>
        </a:stretch>
      </xdr:blipFill>
      <xdr:spPr>
        <a:xfrm>
          <a:off x="243840" y="152825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xdr:cNvPicPr>
          <a:picLocks noChangeAspect="1" noChangeArrowheads="1"/>
        </xdr:cNvPicPr>
      </xdr:nvPicPr>
      <xdr:blipFill>
        <a:blip r:embed="rId153" cstate="email"/>
        <a:srcRect/>
        <a:stretch>
          <a:fillRect/>
        </a:stretch>
      </xdr:blipFill>
      <xdr:spPr>
        <a:xfrm>
          <a:off x="243840" y="153523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xdr:cNvPicPr>
          <a:picLocks noChangeAspect="1" noChangeArrowheads="1"/>
        </xdr:cNvPicPr>
      </xdr:nvPicPr>
      <xdr:blipFill>
        <a:blip r:embed="rId154" cstate="print"/>
        <a:srcRect/>
        <a:stretch>
          <a:fillRect/>
        </a:stretch>
      </xdr:blipFill>
      <xdr:spPr>
        <a:xfrm>
          <a:off x="243840" y="154260550"/>
          <a:ext cx="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xdr:cNvPicPr>
          <a:picLocks noChangeAspect="1" noChangeArrowheads="1"/>
        </xdr:cNvPicPr>
      </xdr:nvPicPr>
      <xdr:blipFill>
        <a:blip r:embed="rId155" cstate="email"/>
        <a:srcRect/>
        <a:stretch>
          <a:fillRect/>
        </a:stretch>
      </xdr:blipFill>
      <xdr:spPr>
        <a:xfrm>
          <a:off x="243840" y="154920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xdr:cNvPicPr>
          <a:picLocks noChangeAspect="1" noChangeArrowheads="1"/>
        </xdr:cNvPicPr>
      </xdr:nvPicPr>
      <xdr:blipFill>
        <a:blip r:embed="rId156" cstate="email"/>
        <a:srcRect/>
        <a:stretch>
          <a:fillRect/>
        </a:stretch>
      </xdr:blipFill>
      <xdr:spPr>
        <a:xfrm>
          <a:off x="243840" y="155619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xdr:cNvPicPr>
          <a:picLocks noChangeAspect="1" noChangeArrowheads="1"/>
        </xdr:cNvPicPr>
      </xdr:nvPicPr>
      <xdr:blipFill>
        <a:blip r:embed="rId156" cstate="email"/>
        <a:srcRect/>
        <a:stretch>
          <a:fillRect/>
        </a:stretch>
      </xdr:blipFill>
      <xdr:spPr>
        <a:xfrm>
          <a:off x="243840" y="156317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xdr:cNvPicPr>
          <a:picLocks noChangeAspect="1" noChangeArrowheads="1"/>
        </xdr:cNvPicPr>
      </xdr:nvPicPr>
      <xdr:blipFill>
        <a:blip r:embed="rId157" cstate="email"/>
        <a:srcRect/>
        <a:stretch>
          <a:fillRect/>
        </a:stretch>
      </xdr:blipFill>
      <xdr:spPr>
        <a:xfrm>
          <a:off x="243840" y="157016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xdr:cNvPicPr>
          <a:picLocks noChangeAspect="1" noChangeArrowheads="1"/>
        </xdr:cNvPicPr>
      </xdr:nvPicPr>
      <xdr:blipFill>
        <a:blip r:embed="rId158" cstate="email"/>
        <a:srcRect/>
        <a:stretch>
          <a:fillRect/>
        </a:stretch>
      </xdr:blipFill>
      <xdr:spPr>
        <a:xfrm>
          <a:off x="243840" y="157714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xdr:cNvPicPr>
          <a:picLocks noChangeAspect="1" noChangeArrowheads="1"/>
        </xdr:cNvPicPr>
      </xdr:nvPicPr>
      <xdr:blipFill>
        <a:blip r:embed="rId159" cstate="email"/>
        <a:srcRect/>
        <a:stretch>
          <a:fillRect/>
        </a:stretch>
      </xdr:blipFill>
      <xdr:spPr>
        <a:xfrm>
          <a:off x="243840" y="158413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xdr:cNvPicPr>
          <a:picLocks noChangeAspect="1" noChangeArrowheads="1"/>
        </xdr:cNvPicPr>
      </xdr:nvPicPr>
      <xdr:blipFill>
        <a:blip r:embed="rId160" cstate="email"/>
        <a:srcRect/>
        <a:stretch>
          <a:fillRect/>
        </a:stretch>
      </xdr:blipFill>
      <xdr:spPr>
        <a:xfrm>
          <a:off x="243840" y="159111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xdr:cNvPicPr>
          <a:picLocks noChangeAspect="1" noChangeArrowheads="1"/>
        </xdr:cNvPicPr>
      </xdr:nvPicPr>
      <xdr:blipFill>
        <a:blip r:embed="rId160" cstate="email"/>
        <a:srcRect/>
        <a:stretch>
          <a:fillRect/>
        </a:stretch>
      </xdr:blipFill>
      <xdr:spPr>
        <a:xfrm>
          <a:off x="243840" y="159810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xdr:cNvPicPr>
          <a:picLocks noChangeAspect="1" noChangeArrowheads="1"/>
        </xdr:cNvPicPr>
      </xdr:nvPicPr>
      <xdr:blipFill>
        <a:blip r:embed="rId156" cstate="email"/>
        <a:srcRect/>
        <a:stretch>
          <a:fillRect/>
        </a:stretch>
      </xdr:blipFill>
      <xdr:spPr>
        <a:xfrm>
          <a:off x="243840" y="160508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xdr:cNvPicPr>
          <a:picLocks noChangeAspect="1" noChangeArrowheads="1"/>
        </xdr:cNvPicPr>
      </xdr:nvPicPr>
      <xdr:blipFill>
        <a:blip r:embed="rId161" cstate="email"/>
        <a:srcRect/>
        <a:stretch>
          <a:fillRect/>
        </a:stretch>
      </xdr:blipFill>
      <xdr:spPr>
        <a:xfrm>
          <a:off x="243840" y="161207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xdr:cNvPicPr>
          <a:picLocks noChangeAspect="1" noChangeArrowheads="1"/>
        </xdr:cNvPicPr>
      </xdr:nvPicPr>
      <xdr:blipFill>
        <a:blip r:embed="rId162" cstate="print"/>
        <a:srcRect/>
        <a:stretch>
          <a:fillRect/>
        </a:stretch>
      </xdr:blipFill>
      <xdr:spPr>
        <a:xfrm>
          <a:off x="243840" y="161905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xdr:cNvPicPr>
          <a:picLocks noChangeAspect="1" noChangeArrowheads="1"/>
        </xdr:cNvPicPr>
      </xdr:nvPicPr>
      <xdr:blipFill>
        <a:blip r:embed="rId163" cstate="print"/>
        <a:srcRect/>
        <a:stretch>
          <a:fillRect/>
        </a:stretch>
      </xdr:blipFill>
      <xdr:spPr>
        <a:xfrm>
          <a:off x="243840" y="16260635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xdr:cNvPicPr>
          <a:picLocks noChangeAspect="1" noChangeArrowheads="1"/>
        </xdr:cNvPicPr>
      </xdr:nvPicPr>
      <xdr:blipFill>
        <a:blip r:embed="rId164" cstate="print">
          <a:extLst>
            <a:ext uri="{28A0092B-C50C-407E-A947-70E740481C1C}">
              <a14:useLocalDpi xmlns:a14="http://schemas.microsoft.com/office/drawing/2010/main" val="0"/>
            </a:ext>
          </a:extLst>
        </a:blip>
        <a:srcRect/>
        <a:stretch>
          <a:fillRect/>
        </a:stretch>
      </xdr:blipFill>
      <xdr:spPr>
        <a:xfrm>
          <a:off x="121920" y="163220400"/>
          <a:ext cx="121920" cy="19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xdr:cNvPicPr>
          <a:picLocks noChangeAspect="1" noChangeArrowheads="1"/>
        </xdr:cNvPicPr>
      </xdr:nvPicPr>
      <xdr:blipFill>
        <a:blip r:embed="rId165" cstate="print"/>
        <a:srcRect/>
        <a:stretch>
          <a:fillRect/>
        </a:stretch>
      </xdr:blipFill>
      <xdr:spPr>
        <a:xfrm>
          <a:off x="243840" y="163307395"/>
          <a:ext cx="0"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xdr:cNvPicPr>
          <a:picLocks noChangeAspect="1" noChangeArrowheads="1"/>
        </xdr:cNvPicPr>
      </xdr:nvPicPr>
      <xdr:blipFill>
        <a:blip r:embed="rId166" cstate="print"/>
        <a:srcRect/>
        <a:stretch>
          <a:fillRect/>
        </a:stretch>
      </xdr:blipFill>
      <xdr:spPr>
        <a:xfrm>
          <a:off x="243840" y="164009070"/>
          <a:ext cx="0"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xdr:cNvPicPr>
          <a:picLocks noChangeAspect="1" noChangeArrowheads="1"/>
        </xdr:cNvPicPr>
      </xdr:nvPicPr>
      <xdr:blipFill>
        <a:blip r:embed="rId167" cstate="print"/>
        <a:srcRect/>
        <a:stretch>
          <a:fillRect/>
        </a:stretch>
      </xdr:blipFill>
      <xdr:spPr>
        <a:xfrm>
          <a:off x="243840" y="164709475"/>
          <a:ext cx="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xdr:cNvPicPr>
          <a:picLocks noChangeAspect="1" noChangeArrowheads="1"/>
        </xdr:cNvPicPr>
      </xdr:nvPicPr>
      <xdr:blipFill>
        <a:blip r:embed="rId168" cstate="print"/>
        <a:srcRect/>
        <a:stretch>
          <a:fillRect/>
        </a:stretch>
      </xdr:blipFill>
      <xdr:spPr>
        <a:xfrm>
          <a:off x="243840" y="165409880"/>
          <a:ext cx="0"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xdr:cNvPicPr>
          <a:picLocks noChangeAspect="1" noChangeArrowheads="1"/>
        </xdr:cNvPicPr>
      </xdr:nvPicPr>
      <xdr:blipFill>
        <a:blip r:embed="rId169" cstate="email"/>
        <a:srcRect/>
        <a:stretch>
          <a:fillRect/>
        </a:stretch>
      </xdr:blipFill>
      <xdr:spPr>
        <a:xfrm>
          <a:off x="243840" y="16609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xdr:cNvPicPr>
          <a:picLocks noChangeAspect="1" noChangeArrowheads="1"/>
        </xdr:cNvPicPr>
      </xdr:nvPicPr>
      <xdr:blipFill>
        <a:blip r:embed="rId170" cstate="email"/>
        <a:srcRect/>
        <a:stretch>
          <a:fillRect/>
        </a:stretch>
      </xdr:blipFill>
      <xdr:spPr>
        <a:xfrm>
          <a:off x="243840" y="16679735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xdr:cNvPicPr>
          <a:picLocks noChangeAspect="1" noChangeArrowheads="1"/>
        </xdr:cNvPicPr>
      </xdr:nvPicPr>
      <xdr:blipFill>
        <a:blip r:embed="rId171" cstate="email"/>
        <a:srcRect/>
        <a:stretch>
          <a:fillRect/>
        </a:stretch>
      </xdr:blipFill>
      <xdr:spPr>
        <a:xfrm>
          <a:off x="243840" y="16749839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xdr:cNvPicPr>
          <a:picLocks noChangeAspect="1" noChangeArrowheads="1"/>
        </xdr:cNvPicPr>
      </xdr:nvPicPr>
      <xdr:blipFill>
        <a:blip r:embed="rId172" cstate="email"/>
        <a:srcRect/>
        <a:stretch>
          <a:fillRect/>
        </a:stretch>
      </xdr:blipFill>
      <xdr:spPr>
        <a:xfrm>
          <a:off x="243840" y="16819880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xdr:cNvPicPr>
          <a:picLocks noChangeAspect="1" noChangeArrowheads="1"/>
        </xdr:cNvPicPr>
      </xdr:nvPicPr>
      <xdr:blipFill>
        <a:blip r:embed="rId173" cstate="print"/>
        <a:srcRect/>
        <a:stretch>
          <a:fillRect/>
        </a:stretch>
      </xdr:blipFill>
      <xdr:spPr>
        <a:xfrm>
          <a:off x="243840" y="16889920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xdr:cNvPicPr>
          <a:picLocks noChangeAspect="1" noChangeArrowheads="1"/>
        </xdr:cNvPicPr>
      </xdr:nvPicPr>
      <xdr:blipFill>
        <a:blip r:embed="rId174" cstate="email"/>
        <a:srcRect/>
        <a:stretch>
          <a:fillRect/>
        </a:stretch>
      </xdr:blipFill>
      <xdr:spPr>
        <a:xfrm>
          <a:off x="243840" y="16960024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xdr:cNvPicPr>
          <a:picLocks noChangeAspect="1" noChangeArrowheads="1"/>
        </xdr:cNvPicPr>
      </xdr:nvPicPr>
      <xdr:blipFill>
        <a:blip r:embed="rId175" cstate="email"/>
        <a:srcRect/>
        <a:stretch>
          <a:fillRect/>
        </a:stretch>
      </xdr:blipFill>
      <xdr:spPr>
        <a:xfrm>
          <a:off x="243840" y="170300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xdr:cNvPicPr>
          <a:picLocks noChangeAspect="1" noChangeArrowheads="1"/>
        </xdr:cNvPicPr>
      </xdr:nvPicPr>
      <xdr:blipFill>
        <a:blip r:embed="rId176" cstate="email"/>
        <a:srcRect/>
        <a:stretch>
          <a:fillRect/>
        </a:stretch>
      </xdr:blipFill>
      <xdr:spPr>
        <a:xfrm>
          <a:off x="243840" y="1709864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xdr:cNvPicPr>
          <a:picLocks noChangeAspect="1" noChangeArrowheads="1"/>
        </xdr:cNvPicPr>
      </xdr:nvPicPr>
      <xdr:blipFill>
        <a:blip r:embed="rId177" cstate="print"/>
        <a:srcRect/>
        <a:stretch>
          <a:fillRect/>
        </a:stretch>
      </xdr:blipFill>
      <xdr:spPr>
        <a:xfrm>
          <a:off x="243840" y="171710350"/>
          <a:ext cx="0" cy="521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xdr:cNvPicPr>
          <a:picLocks noChangeAspect="1" noChangeArrowheads="1"/>
        </xdr:cNvPicPr>
      </xdr:nvPicPr>
      <xdr:blipFill>
        <a:blip r:embed="rId178" cstate="email"/>
        <a:srcRect/>
        <a:stretch>
          <a:fillRect/>
        </a:stretch>
      </xdr:blipFill>
      <xdr:spPr>
        <a:xfrm>
          <a:off x="243840" y="1723834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xdr:cNvPicPr>
          <a:picLocks noChangeAspect="1" noChangeArrowheads="1"/>
        </xdr:cNvPicPr>
      </xdr:nvPicPr>
      <xdr:blipFill>
        <a:blip r:embed="rId179" cstate="email"/>
        <a:srcRect/>
        <a:stretch>
          <a:fillRect/>
        </a:stretch>
      </xdr:blipFill>
      <xdr:spPr>
        <a:xfrm>
          <a:off x="243840" y="1730819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xdr:cNvPicPr>
          <a:picLocks noChangeAspect="1" noChangeArrowheads="1"/>
        </xdr:cNvPicPr>
      </xdr:nvPicPr>
      <xdr:blipFill>
        <a:blip r:embed="rId180" cstate="email"/>
        <a:srcRect/>
        <a:stretch>
          <a:fillRect/>
        </a:stretch>
      </xdr:blipFill>
      <xdr:spPr>
        <a:xfrm>
          <a:off x="243840" y="173780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xdr:cNvPicPr>
          <a:picLocks noChangeAspect="1" noChangeArrowheads="1"/>
        </xdr:cNvPicPr>
      </xdr:nvPicPr>
      <xdr:blipFill>
        <a:blip r:embed="rId181" cstate="email"/>
        <a:srcRect/>
        <a:stretch>
          <a:fillRect/>
        </a:stretch>
      </xdr:blipFill>
      <xdr:spPr>
        <a:xfrm>
          <a:off x="243840" y="174478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xdr:cNvPicPr>
          <a:picLocks noChangeAspect="1" noChangeArrowheads="1"/>
        </xdr:cNvPicPr>
      </xdr:nvPicPr>
      <xdr:blipFill>
        <a:blip r:embed="rId182" cstate="email"/>
        <a:srcRect/>
        <a:stretch>
          <a:fillRect/>
        </a:stretch>
      </xdr:blipFill>
      <xdr:spPr>
        <a:xfrm>
          <a:off x="243840" y="175177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xdr:cNvPicPr>
          <a:picLocks noChangeAspect="1" noChangeArrowheads="1"/>
        </xdr:cNvPicPr>
      </xdr:nvPicPr>
      <xdr:blipFill>
        <a:blip r:embed="rId183" cstate="email"/>
        <a:srcRect/>
        <a:stretch>
          <a:fillRect/>
        </a:stretch>
      </xdr:blipFill>
      <xdr:spPr>
        <a:xfrm>
          <a:off x="243840" y="175875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xdr:cNvPicPr>
          <a:picLocks noChangeAspect="1" noChangeArrowheads="1"/>
        </xdr:cNvPicPr>
      </xdr:nvPicPr>
      <xdr:blipFill>
        <a:blip r:embed="rId184" cstate="email"/>
        <a:srcRect/>
        <a:stretch>
          <a:fillRect/>
        </a:stretch>
      </xdr:blipFill>
      <xdr:spPr>
        <a:xfrm>
          <a:off x="243840" y="176574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xdr:cNvPicPr>
          <a:picLocks noChangeAspect="1" noChangeArrowheads="1"/>
        </xdr:cNvPicPr>
      </xdr:nvPicPr>
      <xdr:blipFill>
        <a:blip r:embed="rId185" cstate="email"/>
        <a:srcRect/>
        <a:stretch>
          <a:fillRect/>
        </a:stretch>
      </xdr:blipFill>
      <xdr:spPr>
        <a:xfrm>
          <a:off x="243840" y="177272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xdr:cNvPicPr>
          <a:picLocks noChangeAspect="1" noChangeArrowheads="1"/>
        </xdr:cNvPicPr>
      </xdr:nvPicPr>
      <xdr:blipFill>
        <a:blip r:embed="rId186" cstate="email"/>
        <a:srcRect/>
        <a:stretch>
          <a:fillRect/>
        </a:stretch>
      </xdr:blipFill>
      <xdr:spPr>
        <a:xfrm>
          <a:off x="243840" y="177971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xdr:cNvPicPr>
          <a:picLocks noChangeAspect="1" noChangeArrowheads="1"/>
        </xdr:cNvPicPr>
      </xdr:nvPicPr>
      <xdr:blipFill>
        <a:blip r:embed="rId187" cstate="email"/>
        <a:srcRect/>
        <a:stretch>
          <a:fillRect/>
        </a:stretch>
      </xdr:blipFill>
      <xdr:spPr>
        <a:xfrm>
          <a:off x="243840" y="178682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xdr:cNvPicPr>
          <a:picLocks noChangeAspect="1" noChangeArrowheads="1"/>
        </xdr:cNvPicPr>
      </xdr:nvPicPr>
      <xdr:blipFill>
        <a:blip r:embed="rId188" cstate="email"/>
        <a:srcRect/>
        <a:stretch>
          <a:fillRect/>
        </a:stretch>
      </xdr:blipFill>
      <xdr:spPr>
        <a:xfrm>
          <a:off x="243840" y="179368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xdr:cNvPicPr>
          <a:picLocks noChangeAspect="1" noChangeArrowheads="1"/>
        </xdr:cNvPicPr>
      </xdr:nvPicPr>
      <xdr:blipFill>
        <a:blip r:embed="rId189" cstate="email"/>
        <a:srcRect/>
        <a:stretch>
          <a:fillRect/>
        </a:stretch>
      </xdr:blipFill>
      <xdr:spPr>
        <a:xfrm>
          <a:off x="243840" y="180066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xdr:cNvPicPr>
          <a:picLocks noChangeAspect="1" noChangeArrowheads="1"/>
        </xdr:cNvPicPr>
      </xdr:nvPicPr>
      <xdr:blipFill>
        <a:blip r:embed="rId190" cstate="print"/>
        <a:srcRect/>
        <a:stretch>
          <a:fillRect/>
        </a:stretch>
      </xdr:blipFill>
      <xdr:spPr>
        <a:xfrm>
          <a:off x="121920" y="10003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xdr:cNvPicPr>
          <a:picLocks noChangeAspect="1" noChangeArrowheads="1"/>
        </xdr:cNvPicPr>
      </xdr:nvPicPr>
      <xdr:blipFill>
        <a:blip r:embed="rId191" cstate="print"/>
        <a:srcRect/>
        <a:stretch>
          <a:fillRect/>
        </a:stretch>
      </xdr:blipFill>
      <xdr:spPr>
        <a:xfrm>
          <a:off x="121920" y="10118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xdr:cNvPicPr>
          <a:picLocks noChangeAspect="1" noChangeArrowheads="1"/>
        </xdr:cNvPicPr>
      </xdr:nvPicPr>
      <xdr:blipFill>
        <a:blip r:embed="rId191" cstate="print"/>
        <a:srcRect/>
        <a:stretch>
          <a:fillRect/>
        </a:stretch>
      </xdr:blipFill>
      <xdr:spPr>
        <a:xfrm>
          <a:off x="121920" y="10226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xdr:cNvPicPr>
          <a:picLocks noChangeAspect="1" noChangeArrowheads="1"/>
        </xdr:cNvPicPr>
      </xdr:nvPicPr>
      <xdr:blipFill>
        <a:blip r:embed="rId192" cstate="print"/>
        <a:srcRect/>
        <a:stretch>
          <a:fillRect/>
        </a:stretch>
      </xdr:blipFill>
      <xdr:spPr>
        <a:xfrm>
          <a:off x="121920" y="10340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xdr:cNvPicPr>
          <a:picLocks noChangeAspect="1" noChangeArrowheads="1"/>
        </xdr:cNvPicPr>
      </xdr:nvPicPr>
      <xdr:blipFill>
        <a:blip r:embed="rId193" cstate="print"/>
        <a:srcRect/>
        <a:stretch>
          <a:fillRect/>
        </a:stretch>
      </xdr:blipFill>
      <xdr:spPr>
        <a:xfrm>
          <a:off x="121920" y="10454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xdr:cNvPicPr>
          <a:picLocks noChangeAspect="1" noChangeArrowheads="1"/>
        </xdr:cNvPicPr>
      </xdr:nvPicPr>
      <xdr:blipFill>
        <a:blip r:embed="rId193" cstate="print"/>
        <a:srcRect/>
        <a:stretch>
          <a:fillRect/>
        </a:stretch>
      </xdr:blipFill>
      <xdr:spPr>
        <a:xfrm>
          <a:off x="121920" y="10562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xdr:cNvPicPr>
          <a:picLocks noChangeAspect="1" noChangeArrowheads="1"/>
        </xdr:cNvPicPr>
      </xdr:nvPicPr>
      <xdr:blipFill>
        <a:blip r:embed="rId194" cstate="print"/>
        <a:srcRect/>
        <a:stretch>
          <a:fillRect/>
        </a:stretch>
      </xdr:blipFill>
      <xdr:spPr>
        <a:xfrm>
          <a:off x="121920" y="10714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xdr:cNvPicPr>
          <a:picLocks noChangeAspect="1" noChangeArrowheads="1"/>
        </xdr:cNvPicPr>
      </xdr:nvPicPr>
      <xdr:blipFill>
        <a:blip r:embed="rId194" cstate="print"/>
        <a:srcRect/>
        <a:stretch>
          <a:fillRect/>
        </a:stretch>
      </xdr:blipFill>
      <xdr:spPr>
        <a:xfrm>
          <a:off x="121920" y="10759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xdr:cNvPicPr>
          <a:picLocks noChangeAspect="1" noChangeArrowheads="1"/>
        </xdr:cNvPicPr>
      </xdr:nvPicPr>
      <xdr:blipFill>
        <a:blip r:embed="rId195" cstate="print"/>
        <a:srcRect/>
        <a:stretch>
          <a:fillRect/>
        </a:stretch>
      </xdr:blipFill>
      <xdr:spPr>
        <a:xfrm>
          <a:off x="121920" y="1087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xdr:cNvPicPr>
          <a:picLocks noChangeAspect="1" noChangeArrowheads="1"/>
        </xdr:cNvPicPr>
      </xdr:nvPicPr>
      <xdr:blipFill>
        <a:blip r:embed="rId195" cstate="print"/>
        <a:srcRect/>
        <a:stretch>
          <a:fillRect/>
        </a:stretch>
      </xdr:blipFill>
      <xdr:spPr>
        <a:xfrm>
          <a:off x="121920" y="1098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xdr:cNvPicPr>
          <a:picLocks noChangeAspect="1" noChangeArrowheads="1"/>
        </xdr:cNvPicPr>
      </xdr:nvPicPr>
      <xdr:blipFill>
        <a:blip r:embed="rId196" cstate="print"/>
        <a:srcRect/>
        <a:stretch>
          <a:fillRect/>
        </a:stretch>
      </xdr:blipFill>
      <xdr:spPr>
        <a:xfrm>
          <a:off x="121920" y="1109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xdr:cNvPicPr>
          <a:picLocks noChangeAspect="1" noChangeArrowheads="1"/>
        </xdr:cNvPicPr>
      </xdr:nvPicPr>
      <xdr:blipFill>
        <a:blip r:embed="rId197" cstate="print"/>
        <a:srcRect/>
        <a:stretch>
          <a:fillRect/>
        </a:stretch>
      </xdr:blipFill>
      <xdr:spPr>
        <a:xfrm>
          <a:off x="121920" y="1120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xdr:cNvPicPr>
          <a:picLocks noChangeAspect="1" noChangeArrowheads="1"/>
        </xdr:cNvPicPr>
      </xdr:nvPicPr>
      <xdr:blipFill>
        <a:blip r:embed="rId198" cstate="print"/>
        <a:srcRect/>
        <a:stretch>
          <a:fillRect/>
        </a:stretch>
      </xdr:blipFill>
      <xdr:spPr>
        <a:xfrm>
          <a:off x="121920" y="1131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xdr:cNvPicPr>
          <a:picLocks noChangeAspect="1" noChangeArrowheads="1"/>
        </xdr:cNvPicPr>
      </xdr:nvPicPr>
      <xdr:blipFill>
        <a:blip r:embed="rId199" cstate="print"/>
        <a:srcRect/>
        <a:stretch>
          <a:fillRect/>
        </a:stretch>
      </xdr:blipFill>
      <xdr:spPr>
        <a:xfrm>
          <a:off x="121920" y="1143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xdr:cNvPicPr>
          <a:picLocks noChangeAspect="1" noChangeArrowheads="1"/>
        </xdr:cNvPicPr>
      </xdr:nvPicPr>
      <xdr:blipFill>
        <a:blip r:embed="rId200" cstate="print"/>
        <a:srcRect/>
        <a:stretch>
          <a:fillRect/>
        </a:stretch>
      </xdr:blipFill>
      <xdr:spPr>
        <a:xfrm>
          <a:off x="121920" y="1154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xdr:cNvPicPr>
          <a:picLocks noChangeAspect="1" noChangeArrowheads="1"/>
        </xdr:cNvPicPr>
      </xdr:nvPicPr>
      <xdr:blipFill>
        <a:blip r:embed="rId201" cstate="print"/>
        <a:srcRect/>
        <a:stretch>
          <a:fillRect/>
        </a:stretch>
      </xdr:blipFill>
      <xdr:spPr>
        <a:xfrm>
          <a:off x="121920" y="1165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xdr:cNvPicPr>
          <a:picLocks noChangeAspect="1" noChangeArrowheads="1"/>
        </xdr:cNvPicPr>
      </xdr:nvPicPr>
      <xdr:blipFill>
        <a:blip r:embed="rId202" cstate="print"/>
        <a:srcRect/>
        <a:stretch>
          <a:fillRect/>
        </a:stretch>
      </xdr:blipFill>
      <xdr:spPr>
        <a:xfrm>
          <a:off x="121920" y="11737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xdr:cNvPicPr>
          <a:picLocks noChangeAspect="1" noChangeArrowheads="1"/>
        </xdr:cNvPicPr>
      </xdr:nvPicPr>
      <xdr:blipFill>
        <a:blip r:embed="rId203" cstate="print"/>
        <a:srcRect/>
        <a:stretch>
          <a:fillRect/>
        </a:stretch>
      </xdr:blipFill>
      <xdr:spPr>
        <a:xfrm>
          <a:off x="121920" y="11851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xdr:cNvPicPr>
          <a:picLocks noChangeAspect="1" noChangeArrowheads="1"/>
        </xdr:cNvPicPr>
      </xdr:nvPicPr>
      <xdr:blipFill>
        <a:blip r:embed="rId203" cstate="print"/>
        <a:srcRect/>
        <a:stretch>
          <a:fillRect/>
        </a:stretch>
      </xdr:blipFill>
      <xdr:spPr>
        <a:xfrm>
          <a:off x="121920" y="11889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xdr:cNvPicPr>
          <a:picLocks noChangeAspect="1" noChangeArrowheads="1"/>
        </xdr:cNvPicPr>
      </xdr:nvPicPr>
      <xdr:blipFill>
        <a:blip r:embed="rId204" cstate="print"/>
        <a:srcRect/>
        <a:stretch>
          <a:fillRect/>
        </a:stretch>
      </xdr:blipFill>
      <xdr:spPr>
        <a:xfrm>
          <a:off x="121920" y="11934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xdr:cNvPicPr>
          <a:picLocks noChangeAspect="1" noChangeArrowheads="1"/>
        </xdr:cNvPicPr>
      </xdr:nvPicPr>
      <xdr:blipFill>
        <a:blip r:embed="rId205" cstate="print"/>
        <a:srcRect/>
        <a:stretch>
          <a:fillRect/>
        </a:stretch>
      </xdr:blipFill>
      <xdr:spPr>
        <a:xfrm>
          <a:off x="121920" y="1206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xdr:cNvPicPr>
          <a:picLocks noChangeAspect="1" noChangeArrowheads="1"/>
        </xdr:cNvPicPr>
      </xdr:nvPicPr>
      <xdr:blipFill>
        <a:blip r:embed="rId206" cstate="print"/>
        <a:srcRect/>
        <a:stretch>
          <a:fillRect/>
        </a:stretch>
      </xdr:blipFill>
      <xdr:spPr>
        <a:xfrm>
          <a:off x="121920" y="12169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xdr:cNvPicPr>
          <a:picLocks noChangeAspect="1" noChangeArrowheads="1"/>
        </xdr:cNvPicPr>
      </xdr:nvPicPr>
      <xdr:blipFill>
        <a:blip r:embed="rId207" cstate="print"/>
        <a:srcRect/>
        <a:stretch>
          <a:fillRect/>
        </a:stretch>
      </xdr:blipFill>
      <xdr:spPr>
        <a:xfrm>
          <a:off x="121920" y="12213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xdr:cNvPicPr>
          <a:picLocks noChangeAspect="1" noChangeArrowheads="1"/>
        </xdr:cNvPicPr>
      </xdr:nvPicPr>
      <xdr:blipFill>
        <a:blip r:embed="rId208" cstate="print"/>
        <a:srcRect/>
        <a:stretch>
          <a:fillRect/>
        </a:stretch>
      </xdr:blipFill>
      <xdr:spPr>
        <a:xfrm>
          <a:off x="121920" y="12321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xdr:cNvPicPr>
          <a:picLocks noChangeAspect="1" noChangeArrowheads="1"/>
        </xdr:cNvPicPr>
      </xdr:nvPicPr>
      <xdr:blipFill>
        <a:blip r:embed="rId209" cstate="print"/>
        <a:srcRect/>
        <a:stretch>
          <a:fillRect/>
        </a:stretch>
      </xdr:blipFill>
      <xdr:spPr>
        <a:xfrm>
          <a:off x="121920" y="12435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xdr:cNvPicPr>
          <a:picLocks noChangeAspect="1" noChangeArrowheads="1"/>
        </xdr:cNvPicPr>
      </xdr:nvPicPr>
      <xdr:blipFill>
        <a:blip r:embed="rId210" cstate="print"/>
        <a:srcRect/>
        <a:stretch>
          <a:fillRect/>
        </a:stretch>
      </xdr:blipFill>
      <xdr:spPr>
        <a:xfrm>
          <a:off x="121920" y="12480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xdr:cNvPicPr>
          <a:picLocks noChangeAspect="1" noChangeArrowheads="1"/>
        </xdr:cNvPicPr>
      </xdr:nvPicPr>
      <xdr:blipFill>
        <a:blip r:embed="rId210" cstate="print"/>
        <a:srcRect/>
        <a:stretch>
          <a:fillRect/>
        </a:stretch>
      </xdr:blipFill>
      <xdr:spPr>
        <a:xfrm>
          <a:off x="121920" y="1258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xdr:cNvPicPr>
          <a:picLocks noChangeAspect="1" noChangeArrowheads="1"/>
        </xdr:cNvPicPr>
      </xdr:nvPicPr>
      <xdr:blipFill>
        <a:blip r:embed="rId211" cstate="print"/>
        <a:srcRect/>
        <a:stretch>
          <a:fillRect/>
        </a:stretch>
      </xdr:blipFill>
      <xdr:spPr>
        <a:xfrm>
          <a:off x="121920" y="12772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xdr:cNvPicPr>
          <a:picLocks noChangeAspect="1" noChangeArrowheads="1"/>
        </xdr:cNvPicPr>
      </xdr:nvPicPr>
      <xdr:blipFill>
        <a:blip r:embed="rId212" cstate="print"/>
        <a:srcRect/>
        <a:stretch>
          <a:fillRect/>
        </a:stretch>
      </xdr:blipFill>
      <xdr:spPr>
        <a:xfrm>
          <a:off x="121920" y="12880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xdr:cNvPicPr>
          <a:picLocks noChangeAspect="1" noChangeArrowheads="1"/>
        </xdr:cNvPicPr>
      </xdr:nvPicPr>
      <xdr:blipFill>
        <a:blip r:embed="rId213" cstate="print"/>
        <a:srcRect/>
        <a:stretch>
          <a:fillRect/>
        </a:stretch>
      </xdr:blipFill>
      <xdr:spPr>
        <a:xfrm>
          <a:off x="121920" y="12994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xdr:cNvPicPr>
          <a:picLocks noChangeAspect="1" noChangeArrowheads="1"/>
        </xdr:cNvPicPr>
      </xdr:nvPicPr>
      <xdr:blipFill>
        <a:blip r:embed="rId123" cstate="print"/>
        <a:srcRect/>
        <a:stretch>
          <a:fillRect/>
        </a:stretch>
      </xdr:blipFill>
      <xdr:spPr>
        <a:xfrm>
          <a:off x="121920" y="13108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xdr:cNvPicPr>
          <a:picLocks noChangeAspect="1" noChangeArrowheads="1"/>
        </xdr:cNvPicPr>
      </xdr:nvPicPr>
      <xdr:blipFill>
        <a:blip r:embed="rId124" cstate="print"/>
        <a:srcRect/>
        <a:stretch>
          <a:fillRect/>
        </a:stretch>
      </xdr:blipFill>
      <xdr:spPr>
        <a:xfrm>
          <a:off x="121920" y="13216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xdr:cNvPicPr>
          <a:picLocks noChangeAspect="1" noChangeArrowheads="1"/>
        </xdr:cNvPicPr>
      </xdr:nvPicPr>
      <xdr:blipFill>
        <a:blip r:embed="rId125" cstate="print"/>
        <a:srcRect/>
        <a:stretch>
          <a:fillRect/>
        </a:stretch>
      </xdr:blipFill>
      <xdr:spPr>
        <a:xfrm>
          <a:off x="121920" y="13401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xdr:cNvPicPr>
          <a:picLocks noChangeAspect="1" noChangeArrowheads="1"/>
        </xdr:cNvPicPr>
      </xdr:nvPicPr>
      <xdr:blipFill>
        <a:blip r:embed="rId214" cstate="email"/>
        <a:srcRect/>
        <a:stretch>
          <a:fillRect/>
        </a:stretch>
      </xdr:blipFill>
      <xdr:spPr>
        <a:xfrm>
          <a:off x="243840" y="98979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xdr:cNvPicPr>
          <a:picLocks noChangeAspect="1" noChangeArrowheads="1"/>
        </xdr:cNvPicPr>
      </xdr:nvPicPr>
      <xdr:blipFill>
        <a:blip r:embed="rId215" cstate="email"/>
        <a:srcRect/>
        <a:stretch>
          <a:fillRect/>
        </a:stretch>
      </xdr:blipFill>
      <xdr:spPr>
        <a:xfrm>
          <a:off x="243840" y="99677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xdr:cNvPicPr>
          <a:picLocks noChangeAspect="1" noChangeArrowheads="1"/>
        </xdr:cNvPicPr>
      </xdr:nvPicPr>
      <xdr:blipFill>
        <a:blip r:embed="rId216" cstate="email"/>
        <a:srcRect/>
        <a:stretch>
          <a:fillRect/>
        </a:stretch>
      </xdr:blipFill>
      <xdr:spPr>
        <a:xfrm>
          <a:off x="243840" y="100376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xdr:cNvPicPr>
          <a:picLocks noChangeAspect="1" noChangeArrowheads="1"/>
        </xdr:cNvPicPr>
      </xdr:nvPicPr>
      <xdr:blipFill>
        <a:blip r:embed="rId216" cstate="email"/>
        <a:srcRect/>
        <a:stretch>
          <a:fillRect/>
        </a:stretch>
      </xdr:blipFill>
      <xdr:spPr>
        <a:xfrm>
          <a:off x="243840" y="101074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xdr:cNvPicPr>
          <a:picLocks noChangeAspect="1" noChangeArrowheads="1"/>
        </xdr:cNvPicPr>
      </xdr:nvPicPr>
      <xdr:blipFill>
        <a:blip r:embed="rId217" cstate="email"/>
        <a:srcRect/>
        <a:stretch>
          <a:fillRect/>
        </a:stretch>
      </xdr:blipFill>
      <xdr:spPr>
        <a:xfrm>
          <a:off x="243840" y="101773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xdr:cNvPicPr>
          <a:picLocks noChangeAspect="1" noChangeArrowheads="1"/>
        </xdr:cNvPicPr>
      </xdr:nvPicPr>
      <xdr:blipFill>
        <a:blip r:embed="rId218" cstate="email"/>
        <a:srcRect/>
        <a:stretch>
          <a:fillRect/>
        </a:stretch>
      </xdr:blipFill>
      <xdr:spPr>
        <a:xfrm>
          <a:off x="243840" y="102471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xdr:cNvPicPr>
          <a:picLocks noChangeAspect="1" noChangeArrowheads="1"/>
        </xdr:cNvPicPr>
      </xdr:nvPicPr>
      <xdr:blipFill>
        <a:blip r:embed="rId218" cstate="email"/>
        <a:srcRect/>
        <a:stretch>
          <a:fillRect/>
        </a:stretch>
      </xdr:blipFill>
      <xdr:spPr>
        <a:xfrm>
          <a:off x="243840" y="103170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xdr:cNvPicPr>
          <a:picLocks noChangeAspect="1" noChangeArrowheads="1"/>
        </xdr:cNvPicPr>
      </xdr:nvPicPr>
      <xdr:blipFill>
        <a:blip r:embed="rId219" cstate="email"/>
        <a:srcRect/>
        <a:stretch>
          <a:fillRect/>
        </a:stretch>
      </xdr:blipFill>
      <xdr:spPr>
        <a:xfrm>
          <a:off x="243840" y="103868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xdr:cNvPicPr>
          <a:picLocks noChangeAspect="1" noChangeArrowheads="1"/>
        </xdr:cNvPicPr>
      </xdr:nvPicPr>
      <xdr:blipFill>
        <a:blip r:embed="rId219" cstate="email"/>
        <a:srcRect/>
        <a:stretch>
          <a:fillRect/>
        </a:stretch>
      </xdr:blipFill>
      <xdr:spPr>
        <a:xfrm>
          <a:off x="243840" y="1046181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xdr:cNvPicPr>
          <a:picLocks noChangeAspect="1" noChangeArrowheads="1"/>
        </xdr:cNvPicPr>
      </xdr:nvPicPr>
      <xdr:blipFill>
        <a:blip r:embed="rId219" cstate="email"/>
        <a:srcRect/>
        <a:stretch>
          <a:fillRect/>
        </a:stretch>
      </xdr:blipFill>
      <xdr:spPr>
        <a:xfrm>
          <a:off x="243840" y="105316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xdr:cNvPicPr>
          <a:picLocks noChangeAspect="1" noChangeArrowheads="1"/>
        </xdr:cNvPicPr>
      </xdr:nvPicPr>
      <xdr:blipFill>
        <a:blip r:embed="rId220" cstate="email"/>
        <a:srcRect/>
        <a:stretch>
          <a:fillRect/>
        </a:stretch>
      </xdr:blipFill>
      <xdr:spPr>
        <a:xfrm>
          <a:off x="243840" y="10598086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xdr:cNvPicPr>
          <a:picLocks noChangeAspect="1" noChangeArrowheads="1"/>
        </xdr:cNvPicPr>
      </xdr:nvPicPr>
      <xdr:blipFill>
        <a:blip r:embed="rId221" cstate="print"/>
        <a:srcRect/>
        <a:stretch>
          <a:fillRect/>
        </a:stretch>
      </xdr:blipFill>
      <xdr:spPr>
        <a:xfrm>
          <a:off x="243840" y="106692700"/>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xdr:cNvPicPr>
          <a:picLocks noChangeAspect="1" noChangeArrowheads="1"/>
        </xdr:cNvPicPr>
      </xdr:nvPicPr>
      <xdr:blipFill>
        <a:blip r:embed="rId222" cstate="email"/>
        <a:srcRect/>
        <a:stretch>
          <a:fillRect/>
        </a:stretch>
      </xdr:blipFill>
      <xdr:spPr>
        <a:xfrm>
          <a:off x="243840" y="107395010"/>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xdr:cNvPicPr>
          <a:picLocks noChangeAspect="1" noChangeArrowheads="1"/>
        </xdr:cNvPicPr>
      </xdr:nvPicPr>
      <xdr:blipFill>
        <a:blip r:embed="rId223" cstate="email"/>
        <a:srcRect/>
        <a:stretch>
          <a:fillRect/>
        </a:stretch>
      </xdr:blipFill>
      <xdr:spPr>
        <a:xfrm>
          <a:off x="243840" y="108059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xdr:cNvPicPr>
          <a:picLocks noChangeAspect="1" noChangeArrowheads="1"/>
        </xdr:cNvPicPr>
      </xdr:nvPicPr>
      <xdr:blipFill>
        <a:blip r:embed="rId224" cstate="email"/>
        <a:srcRect/>
        <a:stretch>
          <a:fillRect/>
        </a:stretch>
      </xdr:blipFill>
      <xdr:spPr>
        <a:xfrm>
          <a:off x="243840" y="108758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xdr:cNvPicPr>
          <a:picLocks noChangeAspect="1" noChangeArrowheads="1"/>
        </xdr:cNvPicPr>
      </xdr:nvPicPr>
      <xdr:blipFill>
        <a:blip r:embed="rId225" cstate="print"/>
        <a:srcRect/>
        <a:stretch>
          <a:fillRect/>
        </a:stretch>
      </xdr:blipFill>
      <xdr:spPr>
        <a:xfrm>
          <a:off x="243840" y="109467015"/>
          <a:ext cx="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xdr:cNvPicPr>
          <a:picLocks noChangeAspect="1" noChangeArrowheads="1"/>
        </xdr:cNvPicPr>
      </xdr:nvPicPr>
      <xdr:blipFill>
        <a:blip r:embed="rId226" cstate="email"/>
        <a:srcRect/>
        <a:stretch>
          <a:fillRect/>
        </a:stretch>
      </xdr:blipFill>
      <xdr:spPr>
        <a:xfrm>
          <a:off x="243840" y="110155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xdr:cNvPicPr>
          <a:picLocks noChangeAspect="1" noChangeArrowheads="1"/>
        </xdr:cNvPicPr>
      </xdr:nvPicPr>
      <xdr:blipFill>
        <a:blip r:embed="rId227" cstate="email"/>
        <a:srcRect/>
        <a:stretch>
          <a:fillRect/>
        </a:stretch>
      </xdr:blipFill>
      <xdr:spPr>
        <a:xfrm>
          <a:off x="243840" y="110853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xdr:cNvPicPr>
          <a:picLocks noChangeAspect="1" noChangeArrowheads="1"/>
        </xdr:cNvPicPr>
      </xdr:nvPicPr>
      <xdr:blipFill>
        <a:blip r:embed="rId228" cstate="email"/>
        <a:srcRect/>
        <a:stretch>
          <a:fillRect/>
        </a:stretch>
      </xdr:blipFill>
      <xdr:spPr>
        <a:xfrm>
          <a:off x="243840" y="11161966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xdr:cNvPicPr>
          <a:picLocks noChangeAspect="1" noChangeArrowheads="1"/>
        </xdr:cNvPicPr>
      </xdr:nvPicPr>
      <xdr:blipFill>
        <a:blip r:embed="rId228" cstate="email"/>
        <a:srcRect/>
        <a:stretch>
          <a:fillRect/>
        </a:stretch>
      </xdr:blipFill>
      <xdr:spPr>
        <a:xfrm>
          <a:off x="243840" y="112301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xdr:cNvPicPr>
          <a:picLocks noChangeAspect="1" noChangeArrowheads="1"/>
        </xdr:cNvPicPr>
      </xdr:nvPicPr>
      <xdr:blipFill>
        <a:blip r:embed="rId229" cstate="email"/>
        <a:srcRect/>
        <a:stretch>
          <a:fillRect/>
        </a:stretch>
      </xdr:blipFill>
      <xdr:spPr>
        <a:xfrm>
          <a:off x="243840" y="112970310"/>
          <a:ext cx="0"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xdr:cNvPicPr>
          <a:picLocks noChangeAspect="1" noChangeArrowheads="1"/>
        </xdr:cNvPicPr>
      </xdr:nvPicPr>
      <xdr:blipFill>
        <a:blip r:embed="rId230" cstate="email"/>
        <a:srcRect/>
        <a:stretch>
          <a:fillRect/>
        </a:stretch>
      </xdr:blipFill>
      <xdr:spPr>
        <a:xfrm>
          <a:off x="243840" y="113698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xdr:cNvPicPr>
          <a:picLocks noChangeAspect="1" noChangeArrowheads="1"/>
        </xdr:cNvPicPr>
      </xdr:nvPicPr>
      <xdr:blipFill>
        <a:blip r:embed="rId231" cstate="email"/>
        <a:srcRect/>
        <a:stretch>
          <a:fillRect/>
        </a:stretch>
      </xdr:blipFill>
      <xdr:spPr>
        <a:xfrm>
          <a:off x="243840" y="114380010"/>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xdr:cNvPicPr>
          <a:picLocks noChangeAspect="1" noChangeArrowheads="1"/>
        </xdr:cNvPicPr>
      </xdr:nvPicPr>
      <xdr:blipFill>
        <a:blip r:embed="rId232" cstate="email"/>
        <a:srcRect/>
        <a:stretch>
          <a:fillRect/>
        </a:stretch>
      </xdr:blipFill>
      <xdr:spPr>
        <a:xfrm>
          <a:off x="243840" y="115044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xdr:cNvPicPr>
          <a:picLocks noChangeAspect="1" noChangeArrowheads="1"/>
        </xdr:cNvPicPr>
      </xdr:nvPicPr>
      <xdr:blipFill>
        <a:blip r:embed="rId233" cstate="email"/>
        <a:srcRect/>
        <a:stretch>
          <a:fillRect/>
        </a:stretch>
      </xdr:blipFill>
      <xdr:spPr>
        <a:xfrm>
          <a:off x="243840" y="115743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xdr:cNvPicPr>
          <a:picLocks noChangeAspect="1" noChangeArrowheads="1"/>
        </xdr:cNvPicPr>
      </xdr:nvPicPr>
      <xdr:blipFill>
        <a:blip r:embed="rId234" cstate="email"/>
        <a:srcRect/>
        <a:stretch>
          <a:fillRect/>
        </a:stretch>
      </xdr:blipFill>
      <xdr:spPr>
        <a:xfrm>
          <a:off x="243840" y="116441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xdr:cNvPicPr>
          <a:picLocks noChangeAspect="1" noChangeArrowheads="1"/>
        </xdr:cNvPicPr>
      </xdr:nvPicPr>
      <xdr:blipFill>
        <a:blip r:embed="rId235" cstate="print"/>
        <a:srcRect/>
        <a:stretch>
          <a:fillRect/>
        </a:stretch>
      </xdr:blipFill>
      <xdr:spPr>
        <a:xfrm>
          <a:off x="243840" y="117150515"/>
          <a:ext cx="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xdr:cNvPicPr>
          <a:picLocks noChangeAspect="1" noChangeArrowheads="1"/>
        </xdr:cNvPicPr>
      </xdr:nvPicPr>
      <xdr:blipFill>
        <a:blip r:embed="rId236" cstate="email"/>
        <a:srcRect/>
        <a:stretch>
          <a:fillRect/>
        </a:stretch>
      </xdr:blipFill>
      <xdr:spPr>
        <a:xfrm>
          <a:off x="243840" y="117838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xdr:cNvPicPr>
          <a:picLocks noChangeAspect="1" noChangeArrowheads="1"/>
        </xdr:cNvPicPr>
      </xdr:nvPicPr>
      <xdr:blipFill>
        <a:blip r:embed="rId237" cstate="email"/>
        <a:srcRect/>
        <a:stretch>
          <a:fillRect/>
        </a:stretch>
      </xdr:blipFill>
      <xdr:spPr>
        <a:xfrm>
          <a:off x="243840" y="118537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xdr:cNvPicPr>
          <a:picLocks noChangeAspect="1" noChangeArrowheads="1"/>
        </xdr:cNvPicPr>
      </xdr:nvPicPr>
      <xdr:blipFill>
        <a:blip r:embed="rId238" cstate="email"/>
        <a:srcRect/>
        <a:stretch>
          <a:fillRect/>
        </a:stretch>
      </xdr:blipFill>
      <xdr:spPr>
        <a:xfrm>
          <a:off x="243840" y="119235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xdr:cNvPicPr>
          <a:picLocks noChangeAspect="1" noChangeArrowheads="1"/>
        </xdr:cNvPicPr>
      </xdr:nvPicPr>
      <xdr:blipFill>
        <a:blip r:embed="rId239" cstate="email"/>
        <a:srcRect/>
        <a:stretch>
          <a:fillRect/>
        </a:stretch>
      </xdr:blipFill>
      <xdr:spPr>
        <a:xfrm>
          <a:off x="243840" y="119931180"/>
          <a:ext cx="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xdr:cNvPicPr>
          <a:picLocks noChangeAspect="1" noChangeArrowheads="1"/>
        </xdr:cNvPicPr>
      </xdr:nvPicPr>
      <xdr:blipFill>
        <a:blip r:embed="rId240" cstate="email"/>
        <a:srcRect/>
        <a:stretch>
          <a:fillRect/>
        </a:stretch>
      </xdr:blipFill>
      <xdr:spPr>
        <a:xfrm>
          <a:off x="243840" y="120616980"/>
          <a:ext cx="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xdr:cNvPicPr>
          <a:picLocks noChangeAspect="1" noChangeArrowheads="1"/>
        </xdr:cNvPicPr>
      </xdr:nvPicPr>
      <xdr:blipFill>
        <a:blip r:embed="rId241" cstate="email"/>
        <a:srcRect/>
        <a:stretch>
          <a:fillRect/>
        </a:stretch>
      </xdr:blipFill>
      <xdr:spPr>
        <a:xfrm>
          <a:off x="243840" y="121331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xdr:cNvPicPr>
          <a:picLocks noChangeAspect="1" noChangeArrowheads="1"/>
        </xdr:cNvPicPr>
      </xdr:nvPicPr>
      <xdr:blipFill>
        <a:blip r:embed="rId242" cstate="email"/>
        <a:srcRect/>
        <a:stretch>
          <a:fillRect/>
        </a:stretch>
      </xdr:blipFill>
      <xdr:spPr>
        <a:xfrm>
          <a:off x="243840" y="122094625"/>
          <a:ext cx="0" cy="508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xdr:cNvPicPr>
          <a:picLocks noChangeAspect="1" noChangeArrowheads="1"/>
        </xdr:cNvPicPr>
      </xdr:nvPicPr>
      <xdr:blipFill>
        <a:blip r:embed="rId243" cstate="email"/>
        <a:srcRect/>
        <a:stretch>
          <a:fillRect/>
        </a:stretch>
      </xdr:blipFill>
      <xdr:spPr>
        <a:xfrm>
          <a:off x="243840" y="122748675"/>
          <a:ext cx="0" cy="621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xdr:cNvPicPr>
          <a:picLocks noChangeAspect="1" noChangeArrowheads="1"/>
        </xdr:cNvPicPr>
      </xdr:nvPicPr>
      <xdr:blipFill>
        <a:blip r:embed="rId244" cstate="email"/>
        <a:srcRect/>
        <a:stretch>
          <a:fillRect/>
        </a:stretch>
      </xdr:blipFill>
      <xdr:spPr>
        <a:xfrm>
          <a:off x="243840" y="123526550"/>
          <a:ext cx="0"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xdr:cNvPicPr>
          <a:picLocks noChangeAspect="1" noChangeArrowheads="1"/>
        </xdr:cNvPicPr>
      </xdr:nvPicPr>
      <xdr:blipFill>
        <a:blip r:embed="rId245" cstate="email"/>
        <a:srcRect/>
        <a:stretch>
          <a:fillRect/>
        </a:stretch>
      </xdr:blipFill>
      <xdr:spPr>
        <a:xfrm>
          <a:off x="243840" y="12418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xdr:cNvPicPr>
          <a:picLocks noChangeAspect="1" noChangeArrowheads="1"/>
        </xdr:cNvPicPr>
      </xdr:nvPicPr>
      <xdr:blipFill>
        <a:blip r:embed="rId246" cstate="email"/>
        <a:srcRect/>
        <a:stretch>
          <a:fillRect/>
        </a:stretch>
      </xdr:blipFill>
      <xdr:spPr>
        <a:xfrm>
          <a:off x="243840" y="12488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xdr:cNvPicPr>
          <a:picLocks noChangeAspect="1" noChangeArrowheads="1"/>
        </xdr:cNvPicPr>
      </xdr:nvPicPr>
      <xdr:blipFill>
        <a:blip r:embed="rId247" cstate="email"/>
        <a:srcRect/>
        <a:stretch>
          <a:fillRect/>
        </a:stretch>
      </xdr:blipFill>
      <xdr:spPr>
        <a:xfrm>
          <a:off x="243840" y="12558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xdr:cNvPicPr>
          <a:picLocks noChangeAspect="1"/>
        </xdr:cNvPicPr>
      </xdr:nvPicPr>
      <xdr:blipFill>
        <a:blip r:embed="rId248" cstate="email"/>
        <a:stretch>
          <a:fillRect/>
        </a:stretch>
      </xdr:blipFill>
      <xdr:spPr>
        <a:xfrm>
          <a:off x="243840" y="126213870"/>
          <a:ext cx="0" cy="684530"/>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xdr:cNvPicPr>
          <a:picLocks noChangeAspect="1"/>
        </xdr:cNvPicPr>
      </xdr:nvPicPr>
      <xdr:blipFill>
        <a:blip r:embed="rId249" cstate="email"/>
        <a:stretch>
          <a:fillRect/>
        </a:stretch>
      </xdr:blipFill>
      <xdr:spPr>
        <a:xfrm>
          <a:off x="243840" y="126917450"/>
          <a:ext cx="0" cy="654050"/>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xdr:cNvPicPr>
          <a:picLocks noChangeAspect="1"/>
        </xdr:cNvPicPr>
      </xdr:nvPicPr>
      <xdr:blipFill>
        <a:blip r:embed="rId250" cstate="email"/>
        <a:stretch>
          <a:fillRect/>
        </a:stretch>
      </xdr:blipFill>
      <xdr:spPr>
        <a:xfrm>
          <a:off x="243840" y="127641350"/>
          <a:ext cx="0" cy="618490"/>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xdr:cNvPicPr>
          <a:picLocks noChangeAspect="1"/>
        </xdr:cNvPicPr>
      </xdr:nvPicPr>
      <xdr:blipFill>
        <a:blip r:embed="rId251" cstate="email"/>
        <a:stretch>
          <a:fillRect/>
        </a:stretch>
      </xdr:blipFill>
      <xdr:spPr>
        <a:xfrm>
          <a:off x="243840" y="128339850"/>
          <a:ext cx="0" cy="624840"/>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xdr:cNvPicPr>
          <a:picLocks noChangeAspect="1"/>
        </xdr:cNvPicPr>
      </xdr:nvPicPr>
      <xdr:blipFill>
        <a:blip r:embed="rId252" cstate="email"/>
        <a:stretch>
          <a:fillRect/>
        </a:stretch>
      </xdr:blipFill>
      <xdr:spPr>
        <a:xfrm>
          <a:off x="243840" y="129025650"/>
          <a:ext cx="0" cy="654050"/>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xdr:cNvPicPr>
          <a:picLocks noChangeAspect="1"/>
        </xdr:cNvPicPr>
      </xdr:nvPicPr>
      <xdr:blipFill>
        <a:blip r:embed="rId253" cstate="email"/>
        <a:stretch>
          <a:fillRect/>
        </a:stretch>
      </xdr:blipFill>
      <xdr:spPr>
        <a:xfrm>
          <a:off x="243840" y="129745105"/>
          <a:ext cx="0" cy="60769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xdr:cNvPicPr>
          <a:picLocks noChangeAspect="1"/>
        </xdr:cNvPicPr>
      </xdr:nvPicPr>
      <xdr:blipFill>
        <a:blip r:embed="rId254" cstate="email"/>
        <a:stretch>
          <a:fillRect/>
        </a:stretch>
      </xdr:blipFill>
      <xdr:spPr>
        <a:xfrm>
          <a:off x="243840" y="130473450"/>
          <a:ext cx="0" cy="5346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xdr:cNvPicPr>
          <a:picLocks noChangeAspect="1"/>
        </xdr:cNvPicPr>
      </xdr:nvPicPr>
      <xdr:blipFill>
        <a:blip r:embed="rId254" cstate="email"/>
        <a:stretch>
          <a:fillRect/>
        </a:stretch>
      </xdr:blipFill>
      <xdr:spPr>
        <a:xfrm>
          <a:off x="243840" y="131171950"/>
          <a:ext cx="0" cy="534670"/>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xdr:cNvPicPr>
          <a:picLocks noChangeAspect="1"/>
        </xdr:cNvPicPr>
      </xdr:nvPicPr>
      <xdr:blipFill>
        <a:blip r:embed="rId254" cstate="email"/>
        <a:stretch>
          <a:fillRect/>
        </a:stretch>
      </xdr:blipFill>
      <xdr:spPr>
        <a:xfrm>
          <a:off x="243840" y="131870450"/>
          <a:ext cx="0" cy="5346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xdr:cNvPicPr>
          <a:picLocks noChangeAspect="1"/>
        </xdr:cNvPicPr>
      </xdr:nvPicPr>
      <xdr:blipFill>
        <a:blip r:embed="rId255" cstate="email"/>
        <a:stretch>
          <a:fillRect/>
        </a:stretch>
      </xdr:blipFill>
      <xdr:spPr>
        <a:xfrm>
          <a:off x="243840" y="132506720"/>
          <a:ext cx="0" cy="669290"/>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xdr:cNvPicPr>
          <a:picLocks noChangeAspect="1"/>
        </xdr:cNvPicPr>
      </xdr:nvPicPr>
      <xdr:blipFill>
        <a:blip r:embed="rId256" cstate="email"/>
        <a:stretch>
          <a:fillRect/>
        </a:stretch>
      </xdr:blipFill>
      <xdr:spPr>
        <a:xfrm>
          <a:off x="243840" y="133210935"/>
          <a:ext cx="0" cy="653415"/>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xdr:cNvPicPr>
          <a:picLocks noChangeAspect="1"/>
        </xdr:cNvPicPr>
      </xdr:nvPicPr>
      <xdr:blipFill>
        <a:blip r:embed="rId255" cstate="email"/>
        <a:stretch>
          <a:fillRect/>
        </a:stretch>
      </xdr:blipFill>
      <xdr:spPr>
        <a:xfrm>
          <a:off x="243840" y="133903720"/>
          <a:ext cx="0" cy="669290"/>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xdr:cNvPicPr>
          <a:picLocks noChangeAspect="1" noChangeArrowheads="1"/>
        </xdr:cNvPicPr>
      </xdr:nvPicPr>
      <xdr:blipFill>
        <a:blip r:embed="rId257" cstate="email"/>
        <a:srcRect/>
        <a:stretch>
          <a:fillRect/>
        </a:stretch>
      </xdr:blipFill>
      <xdr:spPr>
        <a:xfrm>
          <a:off x="243840" y="18076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xdr:cNvPicPr>
          <a:picLocks noChangeAspect="1" noChangeArrowheads="1"/>
        </xdr:cNvPicPr>
      </xdr:nvPicPr>
      <xdr:blipFill>
        <a:blip r:embed="rId257" cstate="email"/>
        <a:srcRect/>
        <a:stretch>
          <a:fillRect/>
        </a:stretch>
      </xdr:blipFill>
      <xdr:spPr>
        <a:xfrm>
          <a:off x="243840" y="18146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xdr:cNvPicPr>
          <a:picLocks noChangeAspect="1" noChangeArrowheads="1"/>
        </xdr:cNvPicPr>
      </xdr:nvPicPr>
      <xdr:blipFill>
        <a:blip r:embed="rId258" cstate="email"/>
        <a:srcRect/>
        <a:stretch>
          <a:fillRect/>
        </a:stretch>
      </xdr:blipFill>
      <xdr:spPr>
        <a:xfrm>
          <a:off x="243840" y="18216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xdr:cNvPicPr>
          <a:picLocks noChangeAspect="1" noChangeArrowheads="1"/>
        </xdr:cNvPicPr>
      </xdr:nvPicPr>
      <xdr:blipFill>
        <a:blip r:embed="rId258" cstate="email"/>
        <a:srcRect/>
        <a:stretch>
          <a:fillRect/>
        </a:stretch>
      </xdr:blipFill>
      <xdr:spPr>
        <a:xfrm>
          <a:off x="243840" y="18286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xdr:cNvPicPr>
          <a:picLocks noChangeAspect="1" noChangeArrowheads="1"/>
        </xdr:cNvPicPr>
      </xdr:nvPicPr>
      <xdr:blipFill>
        <a:blip r:embed="rId258" cstate="email"/>
        <a:srcRect/>
        <a:stretch>
          <a:fillRect/>
        </a:stretch>
      </xdr:blipFill>
      <xdr:spPr>
        <a:xfrm>
          <a:off x="243840" y="18355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xdr:cNvPicPr>
          <a:picLocks noChangeAspect="1" noChangeArrowheads="1"/>
        </xdr:cNvPicPr>
      </xdr:nvPicPr>
      <xdr:blipFill>
        <a:blip r:embed="rId258" cstate="email"/>
        <a:srcRect/>
        <a:stretch>
          <a:fillRect/>
        </a:stretch>
      </xdr:blipFill>
      <xdr:spPr>
        <a:xfrm>
          <a:off x="243840" y="18425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xdr:cNvPicPr>
          <a:picLocks noChangeAspect="1" noChangeArrowheads="1"/>
        </xdr:cNvPicPr>
      </xdr:nvPicPr>
      <xdr:blipFill>
        <a:blip r:embed="rId259" cstate="print"/>
        <a:srcRect/>
        <a:stretch>
          <a:fillRect/>
        </a:stretch>
      </xdr:blipFill>
      <xdr:spPr>
        <a:xfrm>
          <a:off x="243840" y="18495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xdr:cNvPicPr>
          <a:picLocks noChangeAspect="1" noChangeArrowheads="1"/>
        </xdr:cNvPicPr>
      </xdr:nvPicPr>
      <xdr:blipFill>
        <a:blip r:embed="rId260" cstate="print"/>
        <a:srcRect/>
        <a:stretch>
          <a:fillRect/>
        </a:stretch>
      </xdr:blipFill>
      <xdr:spPr>
        <a:xfrm>
          <a:off x="243840" y="18565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xdr:cNvPicPr>
          <a:picLocks noChangeAspect="1" noChangeArrowheads="1"/>
        </xdr:cNvPicPr>
      </xdr:nvPicPr>
      <xdr:blipFill>
        <a:blip r:embed="rId260" cstate="print"/>
        <a:srcRect/>
        <a:stretch>
          <a:fillRect/>
        </a:stretch>
      </xdr:blipFill>
      <xdr:spPr>
        <a:xfrm>
          <a:off x="243840" y="18635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xdr:cNvPicPr>
          <a:picLocks noChangeAspect="1" noChangeArrowheads="1"/>
        </xdr:cNvPicPr>
      </xdr:nvPicPr>
      <xdr:blipFill>
        <a:blip r:embed="rId260" cstate="print"/>
        <a:srcRect/>
        <a:stretch>
          <a:fillRect/>
        </a:stretch>
      </xdr:blipFill>
      <xdr:spPr>
        <a:xfrm>
          <a:off x="243840" y="18705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xdr:cNvPicPr>
          <a:picLocks noChangeAspect="1" noChangeArrowheads="1"/>
        </xdr:cNvPicPr>
      </xdr:nvPicPr>
      <xdr:blipFill>
        <a:blip r:embed="rId261" cstate="print"/>
        <a:srcRect/>
        <a:stretch>
          <a:fillRect/>
        </a:stretch>
      </xdr:blipFill>
      <xdr:spPr>
        <a:xfrm>
          <a:off x="243840" y="18775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xdr:cNvPicPr>
          <a:picLocks noChangeAspect="1" noChangeArrowheads="1"/>
        </xdr:cNvPicPr>
      </xdr:nvPicPr>
      <xdr:blipFill>
        <a:blip r:embed="rId261" cstate="print"/>
        <a:srcRect/>
        <a:stretch>
          <a:fillRect/>
        </a:stretch>
      </xdr:blipFill>
      <xdr:spPr>
        <a:xfrm>
          <a:off x="243840" y="188448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xdr:cNvPicPr>
          <a:picLocks noChangeAspect="1" noChangeArrowheads="1"/>
        </xdr:cNvPicPr>
      </xdr:nvPicPr>
      <xdr:blipFill>
        <a:blip r:embed="rId262" cstate="print"/>
        <a:srcRect/>
        <a:stretch>
          <a:fillRect/>
        </a:stretch>
      </xdr:blipFill>
      <xdr:spPr>
        <a:xfrm>
          <a:off x="243840" y="18914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xdr:cNvPicPr>
          <a:picLocks noChangeAspect="1" noChangeArrowheads="1"/>
        </xdr:cNvPicPr>
      </xdr:nvPicPr>
      <xdr:blipFill>
        <a:blip r:embed="rId262" cstate="print"/>
        <a:srcRect/>
        <a:stretch>
          <a:fillRect/>
        </a:stretch>
      </xdr:blipFill>
      <xdr:spPr>
        <a:xfrm>
          <a:off x="243840" y="18984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xdr:cNvPicPr>
          <a:picLocks noChangeAspect="1" noChangeArrowheads="1"/>
        </xdr:cNvPicPr>
      </xdr:nvPicPr>
      <xdr:blipFill>
        <a:blip r:embed="rId262" cstate="print"/>
        <a:srcRect/>
        <a:stretch>
          <a:fillRect/>
        </a:stretch>
      </xdr:blipFill>
      <xdr:spPr>
        <a:xfrm>
          <a:off x="243840" y="19054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xdr:cNvPicPr>
          <a:picLocks noChangeAspect="1" noChangeArrowheads="1"/>
        </xdr:cNvPicPr>
      </xdr:nvPicPr>
      <xdr:blipFill>
        <a:blip r:embed="rId263" cstate="print"/>
        <a:srcRect/>
        <a:stretch>
          <a:fillRect/>
        </a:stretch>
      </xdr:blipFill>
      <xdr:spPr>
        <a:xfrm>
          <a:off x="243840" y="19124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xdr:cNvPicPr>
          <a:picLocks noChangeAspect="1" noChangeArrowheads="1"/>
        </xdr:cNvPicPr>
      </xdr:nvPicPr>
      <xdr:blipFill>
        <a:blip r:embed="rId263" cstate="print"/>
        <a:srcRect/>
        <a:stretch>
          <a:fillRect/>
        </a:stretch>
      </xdr:blipFill>
      <xdr:spPr>
        <a:xfrm>
          <a:off x="243840" y="19194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xdr:cNvPicPr>
          <a:picLocks noChangeAspect="1" noChangeArrowheads="1"/>
        </xdr:cNvPicPr>
      </xdr:nvPicPr>
      <xdr:blipFill>
        <a:blip r:embed="rId263" cstate="print"/>
        <a:srcRect/>
        <a:stretch>
          <a:fillRect/>
        </a:stretch>
      </xdr:blipFill>
      <xdr:spPr>
        <a:xfrm>
          <a:off x="243840" y="19263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xdr:cNvPicPr>
          <a:picLocks noChangeAspect="1" noChangeArrowheads="1"/>
        </xdr:cNvPicPr>
      </xdr:nvPicPr>
      <xdr:blipFill>
        <a:blip r:embed="rId264" cstate="print"/>
        <a:srcRect/>
        <a:stretch>
          <a:fillRect/>
        </a:stretch>
      </xdr:blipFill>
      <xdr:spPr>
        <a:xfrm>
          <a:off x="243840" y="19333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xdr:cNvPicPr>
          <a:picLocks noChangeAspect="1" noChangeArrowheads="1"/>
        </xdr:cNvPicPr>
      </xdr:nvPicPr>
      <xdr:blipFill>
        <a:blip r:embed="rId264" cstate="print"/>
        <a:srcRect/>
        <a:stretch>
          <a:fillRect/>
        </a:stretch>
      </xdr:blipFill>
      <xdr:spPr>
        <a:xfrm>
          <a:off x="243840" y="19403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xdr:cNvPicPr>
          <a:picLocks noChangeAspect="1" noChangeArrowheads="1"/>
        </xdr:cNvPicPr>
      </xdr:nvPicPr>
      <xdr:blipFill>
        <a:blip r:embed="rId264" cstate="print"/>
        <a:srcRect/>
        <a:stretch>
          <a:fillRect/>
        </a:stretch>
      </xdr:blipFill>
      <xdr:spPr>
        <a:xfrm>
          <a:off x="243840" y="19473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xdr:cNvPicPr>
          <a:picLocks noChangeAspect="1" noChangeArrowheads="1"/>
        </xdr:cNvPicPr>
      </xdr:nvPicPr>
      <xdr:blipFill>
        <a:blip r:embed="rId265" cstate="email"/>
        <a:srcRect/>
        <a:stretch>
          <a:fillRect/>
        </a:stretch>
      </xdr:blipFill>
      <xdr:spPr>
        <a:xfrm>
          <a:off x="243840" y="19613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xdr:cNvPicPr>
          <a:picLocks noChangeAspect="1" noChangeArrowheads="1"/>
        </xdr:cNvPicPr>
      </xdr:nvPicPr>
      <xdr:blipFill>
        <a:blip r:embed="rId265" cstate="email"/>
        <a:srcRect/>
        <a:stretch>
          <a:fillRect/>
        </a:stretch>
      </xdr:blipFill>
      <xdr:spPr>
        <a:xfrm>
          <a:off x="243840" y="19683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xdr:cNvPicPr>
          <a:picLocks noChangeAspect="1" noChangeArrowheads="1"/>
        </xdr:cNvPicPr>
      </xdr:nvPicPr>
      <xdr:blipFill>
        <a:blip r:embed="rId265" cstate="email"/>
        <a:srcRect/>
        <a:stretch>
          <a:fillRect/>
        </a:stretch>
      </xdr:blipFill>
      <xdr:spPr>
        <a:xfrm>
          <a:off x="243840" y="19752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xdr:cNvPicPr>
          <a:picLocks noChangeAspect="1" noChangeArrowheads="1"/>
        </xdr:cNvPicPr>
      </xdr:nvPicPr>
      <xdr:blipFill>
        <a:blip r:embed="rId266" cstate="print"/>
        <a:srcRect/>
        <a:stretch>
          <a:fillRect/>
        </a:stretch>
      </xdr:blipFill>
      <xdr:spPr>
        <a:xfrm>
          <a:off x="243840" y="19822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xdr:cNvPicPr>
          <a:picLocks noChangeAspect="1" noChangeArrowheads="1"/>
        </xdr:cNvPicPr>
      </xdr:nvPicPr>
      <xdr:blipFill>
        <a:blip r:embed="rId267" cstate="print"/>
        <a:srcRect/>
        <a:stretch>
          <a:fillRect/>
        </a:stretch>
      </xdr:blipFill>
      <xdr:spPr>
        <a:xfrm>
          <a:off x="243840" y="199650350"/>
          <a:ext cx="0" cy="452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xdr:cNvPicPr>
          <a:picLocks noChangeAspect="1" noChangeArrowheads="1"/>
        </xdr:cNvPicPr>
      </xdr:nvPicPr>
      <xdr:blipFill>
        <a:blip r:embed="rId268" cstate="email"/>
        <a:srcRect/>
        <a:stretch>
          <a:fillRect/>
        </a:stretch>
      </xdr:blipFill>
      <xdr:spPr>
        <a:xfrm>
          <a:off x="243840" y="20032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xdr:cNvPicPr>
          <a:picLocks noChangeAspect="1" noChangeArrowheads="1"/>
        </xdr:cNvPicPr>
      </xdr:nvPicPr>
      <xdr:blipFill>
        <a:blip r:embed="rId268" cstate="email"/>
        <a:srcRect/>
        <a:stretch>
          <a:fillRect/>
        </a:stretch>
      </xdr:blipFill>
      <xdr:spPr>
        <a:xfrm>
          <a:off x="243840" y="20102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xdr:cNvPicPr>
          <a:picLocks noChangeAspect="1" noChangeArrowheads="1"/>
        </xdr:cNvPicPr>
      </xdr:nvPicPr>
      <xdr:blipFill>
        <a:blip r:embed="rId269" cstate="email"/>
        <a:srcRect/>
        <a:stretch>
          <a:fillRect/>
        </a:stretch>
      </xdr:blipFill>
      <xdr:spPr>
        <a:xfrm>
          <a:off x="243840" y="20172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xdr:cNvPicPr>
          <a:picLocks noChangeAspect="1" noChangeArrowheads="1"/>
        </xdr:cNvPicPr>
      </xdr:nvPicPr>
      <xdr:blipFill>
        <a:blip r:embed="rId270" cstate="email"/>
        <a:srcRect/>
        <a:stretch>
          <a:fillRect/>
        </a:stretch>
      </xdr:blipFill>
      <xdr:spPr>
        <a:xfrm>
          <a:off x="243840" y="202457050"/>
          <a:ext cx="0"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xdr:cNvPicPr>
          <a:picLocks noChangeAspect="1" noChangeArrowheads="1"/>
        </xdr:cNvPicPr>
      </xdr:nvPicPr>
      <xdr:blipFill>
        <a:blip r:embed="rId271" cstate="email"/>
        <a:srcRect/>
        <a:stretch>
          <a:fillRect/>
        </a:stretch>
      </xdr:blipFill>
      <xdr:spPr>
        <a:xfrm>
          <a:off x="243840" y="20311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xdr:cNvPicPr>
          <a:picLocks noChangeAspect="1" noChangeArrowheads="1"/>
        </xdr:cNvPicPr>
      </xdr:nvPicPr>
      <xdr:blipFill>
        <a:blip r:embed="rId271" cstate="email"/>
        <a:srcRect/>
        <a:stretch>
          <a:fillRect/>
        </a:stretch>
      </xdr:blipFill>
      <xdr:spPr>
        <a:xfrm>
          <a:off x="243840" y="20381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xdr:cNvPicPr>
          <a:picLocks noChangeAspect="1" noChangeArrowheads="1"/>
        </xdr:cNvPicPr>
      </xdr:nvPicPr>
      <xdr:blipFill>
        <a:blip r:embed="rId271" cstate="email"/>
        <a:srcRect/>
        <a:stretch>
          <a:fillRect/>
        </a:stretch>
      </xdr:blipFill>
      <xdr:spPr>
        <a:xfrm>
          <a:off x="243840" y="20451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xdr:cNvPicPr>
          <a:picLocks noChangeAspect="1" noChangeArrowheads="1"/>
        </xdr:cNvPicPr>
      </xdr:nvPicPr>
      <xdr:blipFill>
        <a:blip r:embed="rId272" cstate="email"/>
        <a:srcRect/>
        <a:stretch>
          <a:fillRect/>
        </a:stretch>
      </xdr:blipFill>
      <xdr:spPr>
        <a:xfrm>
          <a:off x="243840" y="20521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xdr:cNvPicPr>
          <a:picLocks noChangeAspect="1" noChangeArrowheads="1"/>
        </xdr:cNvPicPr>
      </xdr:nvPicPr>
      <xdr:blipFill>
        <a:blip r:embed="rId273" cstate="email"/>
        <a:srcRect/>
        <a:stretch>
          <a:fillRect/>
        </a:stretch>
      </xdr:blipFill>
      <xdr:spPr>
        <a:xfrm>
          <a:off x="243840" y="20591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xdr:cNvPicPr>
          <a:picLocks noChangeAspect="1" noChangeArrowheads="1"/>
        </xdr:cNvPicPr>
      </xdr:nvPicPr>
      <xdr:blipFill>
        <a:blip r:embed="rId274" cstate="email"/>
        <a:srcRect/>
        <a:stretch>
          <a:fillRect/>
        </a:stretch>
      </xdr:blipFill>
      <xdr:spPr>
        <a:xfrm>
          <a:off x="243840" y="20660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xdr:cNvPicPr>
          <a:picLocks noChangeAspect="1" noChangeArrowheads="1"/>
        </xdr:cNvPicPr>
      </xdr:nvPicPr>
      <xdr:blipFill>
        <a:blip r:embed="rId274" cstate="email"/>
        <a:srcRect/>
        <a:stretch>
          <a:fillRect/>
        </a:stretch>
      </xdr:blipFill>
      <xdr:spPr>
        <a:xfrm>
          <a:off x="243840" y="20730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xdr:cNvPicPr>
          <a:picLocks noChangeAspect="1" noChangeArrowheads="1"/>
        </xdr:cNvPicPr>
      </xdr:nvPicPr>
      <xdr:blipFill>
        <a:blip r:embed="rId274" cstate="email"/>
        <a:srcRect/>
        <a:stretch>
          <a:fillRect/>
        </a:stretch>
      </xdr:blipFill>
      <xdr:spPr>
        <a:xfrm>
          <a:off x="243840" y="20800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xdr:cNvPicPr>
          <a:picLocks noChangeAspect="1" noChangeArrowheads="1"/>
        </xdr:cNvPicPr>
      </xdr:nvPicPr>
      <xdr:blipFill>
        <a:blip r:embed="rId275" cstate="email"/>
        <a:srcRect/>
        <a:stretch>
          <a:fillRect/>
        </a:stretch>
      </xdr:blipFill>
      <xdr:spPr>
        <a:xfrm>
          <a:off x="243840" y="20870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xdr:cNvPicPr>
          <a:picLocks noChangeAspect="1" noChangeArrowheads="1"/>
        </xdr:cNvPicPr>
      </xdr:nvPicPr>
      <xdr:blipFill>
        <a:blip r:embed="rId275" cstate="email"/>
        <a:srcRect/>
        <a:stretch>
          <a:fillRect/>
        </a:stretch>
      </xdr:blipFill>
      <xdr:spPr>
        <a:xfrm>
          <a:off x="243840" y="20940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xdr:cNvPicPr>
          <a:picLocks noChangeAspect="1" noChangeArrowheads="1"/>
        </xdr:cNvPicPr>
      </xdr:nvPicPr>
      <xdr:blipFill>
        <a:blip r:embed="rId276" cstate="email"/>
        <a:srcRect/>
        <a:stretch>
          <a:fillRect/>
        </a:stretch>
      </xdr:blipFill>
      <xdr:spPr>
        <a:xfrm>
          <a:off x="243840" y="21010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xdr:cNvPicPr>
          <a:picLocks noChangeAspect="1" noChangeArrowheads="1"/>
        </xdr:cNvPicPr>
      </xdr:nvPicPr>
      <xdr:blipFill>
        <a:blip r:embed="rId276" cstate="email"/>
        <a:srcRect/>
        <a:stretch>
          <a:fillRect/>
        </a:stretch>
      </xdr:blipFill>
      <xdr:spPr>
        <a:xfrm>
          <a:off x="243840" y="21080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xdr:cNvPicPr>
          <a:picLocks noChangeAspect="1" noChangeArrowheads="1"/>
        </xdr:cNvPicPr>
      </xdr:nvPicPr>
      <xdr:blipFill>
        <a:blip r:embed="rId276" cstate="email"/>
        <a:srcRect/>
        <a:stretch>
          <a:fillRect/>
        </a:stretch>
      </xdr:blipFill>
      <xdr:spPr>
        <a:xfrm>
          <a:off x="243840" y="21149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xdr:cNvPicPr>
          <a:picLocks noChangeAspect="1" noChangeArrowheads="1"/>
        </xdr:cNvPicPr>
      </xdr:nvPicPr>
      <xdr:blipFill>
        <a:blip r:embed="rId277" cstate="email"/>
        <a:srcRect/>
        <a:stretch>
          <a:fillRect/>
        </a:stretch>
      </xdr:blipFill>
      <xdr:spPr>
        <a:xfrm>
          <a:off x="243840" y="21219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xdr:cNvPicPr>
          <a:picLocks noChangeAspect="1" noChangeArrowheads="1"/>
        </xdr:cNvPicPr>
      </xdr:nvPicPr>
      <xdr:blipFill>
        <a:blip r:embed="rId278" cstate="email"/>
        <a:srcRect/>
        <a:stretch>
          <a:fillRect/>
        </a:stretch>
      </xdr:blipFill>
      <xdr:spPr>
        <a:xfrm>
          <a:off x="243840" y="21289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xdr:cNvPicPr>
          <a:picLocks noChangeAspect="1" noChangeArrowheads="1"/>
        </xdr:cNvPicPr>
      </xdr:nvPicPr>
      <xdr:blipFill>
        <a:blip r:embed="rId278" cstate="email"/>
        <a:srcRect/>
        <a:stretch>
          <a:fillRect/>
        </a:stretch>
      </xdr:blipFill>
      <xdr:spPr>
        <a:xfrm>
          <a:off x="243840" y="21359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xdr:cNvPicPr>
          <a:picLocks noChangeAspect="1" noChangeArrowheads="1"/>
        </xdr:cNvPicPr>
      </xdr:nvPicPr>
      <xdr:blipFill>
        <a:blip r:embed="rId278" cstate="email"/>
        <a:srcRect/>
        <a:stretch>
          <a:fillRect/>
        </a:stretch>
      </xdr:blipFill>
      <xdr:spPr>
        <a:xfrm>
          <a:off x="243840" y="21429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xdr:cNvPicPr>
          <a:picLocks noChangeAspect="1" noChangeArrowheads="1"/>
        </xdr:cNvPicPr>
      </xdr:nvPicPr>
      <xdr:blipFill>
        <a:blip r:embed="rId279" cstate="email"/>
        <a:srcRect/>
        <a:stretch>
          <a:fillRect/>
        </a:stretch>
      </xdr:blipFill>
      <xdr:spPr>
        <a:xfrm>
          <a:off x="243840" y="21499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xdr:cNvPicPr>
          <a:picLocks noChangeAspect="1" noChangeArrowheads="1"/>
        </xdr:cNvPicPr>
      </xdr:nvPicPr>
      <xdr:blipFill>
        <a:blip r:embed="rId279" cstate="email"/>
        <a:srcRect/>
        <a:stretch>
          <a:fillRect/>
        </a:stretch>
      </xdr:blipFill>
      <xdr:spPr>
        <a:xfrm>
          <a:off x="243840" y="21569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xdr:cNvPicPr>
          <a:picLocks noChangeAspect="1" noChangeArrowheads="1"/>
        </xdr:cNvPicPr>
      </xdr:nvPicPr>
      <xdr:blipFill>
        <a:blip r:embed="rId279" cstate="email"/>
        <a:srcRect/>
        <a:stretch>
          <a:fillRect/>
        </a:stretch>
      </xdr:blipFill>
      <xdr:spPr>
        <a:xfrm>
          <a:off x="243840" y="216388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xdr:cNvPicPr>
          <a:picLocks noChangeAspect="1" noChangeArrowheads="1"/>
        </xdr:cNvPicPr>
      </xdr:nvPicPr>
      <xdr:blipFill>
        <a:blip r:embed="rId279" cstate="email"/>
        <a:srcRect/>
        <a:stretch>
          <a:fillRect/>
        </a:stretch>
      </xdr:blipFill>
      <xdr:spPr>
        <a:xfrm>
          <a:off x="243840" y="21708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xdr:cNvPicPr>
          <a:picLocks noChangeAspect="1" noChangeArrowheads="1"/>
        </xdr:cNvPicPr>
      </xdr:nvPicPr>
      <xdr:blipFill>
        <a:blip r:embed="rId280" cstate="email"/>
        <a:srcRect/>
        <a:stretch>
          <a:fillRect/>
        </a:stretch>
      </xdr:blipFill>
      <xdr:spPr>
        <a:xfrm>
          <a:off x="243840" y="21778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xdr:cNvPicPr>
          <a:picLocks noChangeAspect="1" noChangeArrowheads="1"/>
        </xdr:cNvPicPr>
      </xdr:nvPicPr>
      <xdr:blipFill>
        <a:blip r:embed="rId280" cstate="email"/>
        <a:srcRect/>
        <a:stretch>
          <a:fillRect/>
        </a:stretch>
      </xdr:blipFill>
      <xdr:spPr>
        <a:xfrm>
          <a:off x="243840" y="21848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xdr:cNvPicPr>
          <a:picLocks noChangeAspect="1" noChangeArrowheads="1"/>
        </xdr:cNvPicPr>
      </xdr:nvPicPr>
      <xdr:blipFill>
        <a:blip r:embed="rId281" cstate="print"/>
        <a:srcRect/>
        <a:stretch>
          <a:fillRect/>
        </a:stretch>
      </xdr:blipFill>
      <xdr:spPr>
        <a:xfrm>
          <a:off x="243840" y="21918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xdr:cNvPicPr>
          <a:picLocks noChangeAspect="1" noChangeArrowheads="1"/>
        </xdr:cNvPicPr>
      </xdr:nvPicPr>
      <xdr:blipFill>
        <a:blip r:embed="rId281" cstate="print"/>
        <a:srcRect/>
        <a:stretch>
          <a:fillRect/>
        </a:stretch>
      </xdr:blipFill>
      <xdr:spPr>
        <a:xfrm>
          <a:off x="243840" y="21988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xdr:cNvPicPr>
          <a:picLocks noChangeAspect="1" noChangeArrowheads="1"/>
        </xdr:cNvPicPr>
      </xdr:nvPicPr>
      <xdr:blipFill>
        <a:blip r:embed="rId281" cstate="print"/>
        <a:srcRect/>
        <a:stretch>
          <a:fillRect/>
        </a:stretch>
      </xdr:blipFill>
      <xdr:spPr>
        <a:xfrm>
          <a:off x="243840" y="22057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xdr:cNvPicPr>
          <a:picLocks noChangeAspect="1" noChangeArrowheads="1"/>
        </xdr:cNvPicPr>
      </xdr:nvPicPr>
      <xdr:blipFill>
        <a:blip r:embed="rId282" cstate="print"/>
        <a:srcRect/>
        <a:stretch>
          <a:fillRect/>
        </a:stretch>
      </xdr:blipFill>
      <xdr:spPr>
        <a:xfrm>
          <a:off x="243840" y="22127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xdr:cNvPicPr>
          <a:picLocks noChangeAspect="1" noChangeArrowheads="1"/>
        </xdr:cNvPicPr>
      </xdr:nvPicPr>
      <xdr:blipFill>
        <a:blip r:embed="rId282" cstate="print"/>
        <a:srcRect/>
        <a:stretch>
          <a:fillRect/>
        </a:stretch>
      </xdr:blipFill>
      <xdr:spPr>
        <a:xfrm>
          <a:off x="243840" y="22197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xdr:cNvPicPr>
          <a:picLocks noChangeAspect="1" noChangeArrowheads="1"/>
        </xdr:cNvPicPr>
      </xdr:nvPicPr>
      <xdr:blipFill>
        <a:blip r:embed="rId282" cstate="print"/>
        <a:srcRect/>
        <a:stretch>
          <a:fillRect/>
        </a:stretch>
      </xdr:blipFill>
      <xdr:spPr>
        <a:xfrm>
          <a:off x="243840" y="22267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xdr:cNvPicPr>
          <a:picLocks noChangeAspect="1" noChangeArrowheads="1"/>
        </xdr:cNvPicPr>
      </xdr:nvPicPr>
      <xdr:blipFill>
        <a:blip r:embed="rId283" cstate="print"/>
        <a:srcRect/>
        <a:stretch>
          <a:fillRect/>
        </a:stretch>
      </xdr:blipFill>
      <xdr:spPr>
        <a:xfrm>
          <a:off x="243840" y="22337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xdr:cNvPicPr>
          <a:picLocks noChangeAspect="1" noChangeArrowheads="1"/>
        </xdr:cNvPicPr>
      </xdr:nvPicPr>
      <xdr:blipFill>
        <a:blip r:embed="rId283" cstate="print"/>
        <a:srcRect/>
        <a:stretch>
          <a:fillRect/>
        </a:stretch>
      </xdr:blipFill>
      <xdr:spPr>
        <a:xfrm>
          <a:off x="243840" y="22407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xdr:cNvPicPr>
          <a:picLocks noChangeAspect="1" noChangeArrowheads="1"/>
        </xdr:cNvPicPr>
      </xdr:nvPicPr>
      <xdr:blipFill>
        <a:blip r:embed="rId284" cstate="email"/>
        <a:srcRect/>
        <a:stretch>
          <a:fillRect/>
        </a:stretch>
      </xdr:blipFill>
      <xdr:spPr>
        <a:xfrm>
          <a:off x="243840" y="22477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xdr:cNvPicPr>
          <a:picLocks noChangeAspect="1" noChangeArrowheads="1"/>
        </xdr:cNvPicPr>
      </xdr:nvPicPr>
      <xdr:blipFill>
        <a:blip r:embed="rId285" cstate="email"/>
        <a:srcRect/>
        <a:stretch>
          <a:fillRect/>
        </a:stretch>
      </xdr:blipFill>
      <xdr:spPr>
        <a:xfrm>
          <a:off x="243840" y="22546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xdr:cNvPicPr>
          <a:picLocks noChangeAspect="1" noChangeArrowheads="1"/>
        </xdr:cNvPicPr>
      </xdr:nvPicPr>
      <xdr:blipFill>
        <a:blip r:embed="rId285" cstate="email"/>
        <a:srcRect/>
        <a:stretch>
          <a:fillRect/>
        </a:stretch>
      </xdr:blipFill>
      <xdr:spPr>
        <a:xfrm>
          <a:off x="243840" y="22616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xdr:cNvPicPr>
          <a:picLocks noChangeAspect="1" noChangeArrowheads="1"/>
        </xdr:cNvPicPr>
      </xdr:nvPicPr>
      <xdr:blipFill>
        <a:blip r:embed="rId257" cstate="email"/>
        <a:srcRect/>
        <a:stretch>
          <a:fillRect/>
        </a:stretch>
      </xdr:blipFill>
      <xdr:spPr>
        <a:xfrm>
          <a:off x="243840" y="22756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xdr:cNvPicPr>
          <a:picLocks noChangeAspect="1" noChangeArrowheads="1"/>
        </xdr:cNvPicPr>
      </xdr:nvPicPr>
      <xdr:blipFill>
        <a:blip r:embed="rId286" cstate="print"/>
        <a:srcRect/>
        <a:stretch>
          <a:fillRect/>
        </a:stretch>
      </xdr:blipFill>
      <xdr:spPr>
        <a:xfrm>
          <a:off x="243840" y="19543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xdr:cNvPicPr>
          <a:picLocks noChangeAspect="1" noChangeArrowheads="1"/>
        </xdr:cNvPicPr>
      </xdr:nvPicPr>
      <xdr:blipFill>
        <a:blip r:embed="rId287" cstate="email"/>
        <a:srcRect/>
        <a:stretch>
          <a:fillRect/>
        </a:stretch>
      </xdr:blipFill>
      <xdr:spPr>
        <a:xfrm>
          <a:off x="243840" y="1989391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xdr:cNvPicPr>
          <a:picLocks noChangeAspect="1" noChangeArrowheads="1"/>
        </xdr:cNvPicPr>
      </xdr:nvPicPr>
      <xdr:blipFill>
        <a:blip r:embed="rId288" cstate="print"/>
        <a:srcRect/>
        <a:stretch>
          <a:fillRect/>
        </a:stretch>
      </xdr:blipFill>
      <xdr:spPr>
        <a:xfrm>
          <a:off x="243840" y="22686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xdr:cNvPicPr>
          <a:picLocks noChangeAspect="1" noChangeArrowheads="1"/>
        </xdr:cNvPicPr>
      </xdr:nvPicPr>
      <xdr:blipFill>
        <a:blip r:embed="rId289" cstate="email"/>
        <a:srcRect/>
        <a:stretch>
          <a:fillRect/>
        </a:stretch>
      </xdr:blipFill>
      <xdr:spPr>
        <a:xfrm>
          <a:off x="243840" y="2282761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xdr:cNvPicPr>
          <a:picLocks noChangeAspect="1"/>
        </xdr:cNvPicPr>
      </xdr:nvPicPr>
      <xdr:blipFill>
        <a:blip r:embed="rId290" cstate="email"/>
        <a:stretch>
          <a:fillRect/>
        </a:stretch>
      </xdr:blipFill>
      <xdr:spPr>
        <a:xfrm>
          <a:off x="243840" y="229000050"/>
          <a:ext cx="0" cy="514985"/>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xdr:cNvPicPr>
          <a:picLocks noChangeAspect="1"/>
        </xdr:cNvPicPr>
      </xdr:nvPicPr>
      <xdr:blipFill>
        <a:blip r:embed="rId291" cstate="email"/>
        <a:stretch>
          <a:fillRect/>
        </a:stretch>
      </xdr:blipFill>
      <xdr:spPr>
        <a:xfrm>
          <a:off x="243840" y="229723950"/>
          <a:ext cx="0" cy="495300"/>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xdr:cNvPicPr>
          <a:picLocks noChangeAspect="1"/>
        </xdr:cNvPicPr>
      </xdr:nvPicPr>
      <xdr:blipFill>
        <a:blip r:embed="rId292" cstate="email"/>
        <a:stretch>
          <a:fillRect/>
        </a:stretch>
      </xdr:blipFill>
      <xdr:spPr>
        <a:xfrm>
          <a:off x="243840" y="230396415"/>
          <a:ext cx="0" cy="518795"/>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xdr:cNvPicPr>
          <a:picLocks noChangeAspect="1"/>
        </xdr:cNvPicPr>
      </xdr:nvPicPr>
      <xdr:blipFill>
        <a:blip r:embed="rId293" cstate="email"/>
        <a:stretch>
          <a:fillRect/>
        </a:stretch>
      </xdr:blipFill>
      <xdr:spPr>
        <a:xfrm>
          <a:off x="243840" y="231082850"/>
          <a:ext cx="0" cy="525780"/>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xdr:cNvPicPr>
          <a:picLocks noChangeAspect="1"/>
        </xdr:cNvPicPr>
      </xdr:nvPicPr>
      <xdr:blipFill>
        <a:blip r:embed="rId294" cstate="email"/>
        <a:stretch>
          <a:fillRect/>
        </a:stretch>
      </xdr:blipFill>
      <xdr:spPr>
        <a:xfrm>
          <a:off x="243840" y="231782620"/>
          <a:ext cx="0" cy="525780"/>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xdr:cNvPicPr>
          <a:picLocks noChangeAspect="1"/>
        </xdr:cNvPicPr>
      </xdr:nvPicPr>
      <xdr:blipFill>
        <a:blip r:embed="rId295" cstate="email"/>
        <a:stretch>
          <a:fillRect/>
        </a:stretch>
      </xdr:blipFill>
      <xdr:spPr>
        <a:xfrm>
          <a:off x="243840" y="232473500"/>
          <a:ext cx="0" cy="537210"/>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xdr:cNvPicPr>
          <a:picLocks noChangeAspect="1"/>
        </xdr:cNvPicPr>
      </xdr:nvPicPr>
      <xdr:blipFill>
        <a:blip r:embed="rId296" cstate="email"/>
        <a:stretch>
          <a:fillRect/>
        </a:stretch>
      </xdr:blipFill>
      <xdr:spPr>
        <a:xfrm>
          <a:off x="243840" y="233185970"/>
          <a:ext cx="0" cy="521335"/>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xdr:cNvPicPr>
          <a:picLocks noChangeAspect="1"/>
        </xdr:cNvPicPr>
      </xdr:nvPicPr>
      <xdr:blipFill>
        <a:blip r:embed="rId297" cstate="email"/>
        <a:stretch>
          <a:fillRect/>
        </a:stretch>
      </xdr:blipFill>
      <xdr:spPr>
        <a:xfrm>
          <a:off x="243840" y="233888915"/>
          <a:ext cx="0" cy="518795"/>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xdr:cNvPicPr>
          <a:picLocks noChangeAspect="1"/>
        </xdr:cNvPicPr>
      </xdr:nvPicPr>
      <xdr:blipFill>
        <a:blip r:embed="rId298" cstate="email"/>
        <a:stretch>
          <a:fillRect/>
        </a:stretch>
      </xdr:blipFill>
      <xdr:spPr>
        <a:xfrm>
          <a:off x="243840" y="234587415"/>
          <a:ext cx="0" cy="520065"/>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xdr:cNvPicPr>
          <a:picLocks noChangeAspect="1"/>
        </xdr:cNvPicPr>
      </xdr:nvPicPr>
      <xdr:blipFill>
        <a:blip r:embed="rId299" cstate="email"/>
        <a:stretch>
          <a:fillRect/>
        </a:stretch>
      </xdr:blipFill>
      <xdr:spPr>
        <a:xfrm>
          <a:off x="243840" y="235279565"/>
          <a:ext cx="0" cy="509905"/>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xdr:cNvPicPr>
          <a:picLocks noChangeAspect="1"/>
        </xdr:cNvPicPr>
      </xdr:nvPicPr>
      <xdr:blipFill>
        <a:blip r:embed="rId300" cstate="email"/>
        <a:stretch>
          <a:fillRect/>
        </a:stretch>
      </xdr:blipFill>
      <xdr:spPr>
        <a:xfrm>
          <a:off x="243840" y="235971080"/>
          <a:ext cx="0" cy="530860"/>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xdr:cNvPicPr>
          <a:picLocks noChangeAspect="1"/>
        </xdr:cNvPicPr>
      </xdr:nvPicPr>
      <xdr:blipFill>
        <a:blip r:embed="rId301" cstate="email"/>
        <a:stretch>
          <a:fillRect/>
        </a:stretch>
      </xdr:blipFill>
      <xdr:spPr>
        <a:xfrm>
          <a:off x="243840" y="236645450"/>
          <a:ext cx="0" cy="474980"/>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xdr:cNvPicPr>
          <a:picLocks noChangeAspect="1"/>
        </xdr:cNvPicPr>
      </xdr:nvPicPr>
      <xdr:blipFill>
        <a:blip r:embed="rId302" cstate="email"/>
        <a:stretch>
          <a:fillRect/>
        </a:stretch>
      </xdr:blipFill>
      <xdr:spPr>
        <a:xfrm>
          <a:off x="243840" y="237369350"/>
          <a:ext cx="0" cy="520065"/>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xdr:cNvPicPr>
          <a:picLocks noChangeAspect="1"/>
        </xdr:cNvPicPr>
      </xdr:nvPicPr>
      <xdr:blipFill>
        <a:blip r:embed="rId303" cstate="email"/>
        <a:stretch>
          <a:fillRect/>
        </a:stretch>
      </xdr:blipFill>
      <xdr:spPr>
        <a:xfrm>
          <a:off x="243840" y="238060865"/>
          <a:ext cx="0" cy="531495"/>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xdr:cNvPicPr>
          <a:picLocks noChangeAspect="1"/>
        </xdr:cNvPicPr>
      </xdr:nvPicPr>
      <xdr:blipFill>
        <a:blip r:embed="rId304" cstate="email"/>
        <a:stretch>
          <a:fillRect/>
        </a:stretch>
      </xdr:blipFill>
      <xdr:spPr>
        <a:xfrm>
          <a:off x="243840" y="238766350"/>
          <a:ext cx="0" cy="527685"/>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xdr:cNvPicPr>
          <a:picLocks noChangeAspect="1"/>
        </xdr:cNvPicPr>
      </xdr:nvPicPr>
      <xdr:blipFill>
        <a:blip r:embed="rId304" cstate="email"/>
        <a:stretch>
          <a:fillRect/>
        </a:stretch>
      </xdr:blipFill>
      <xdr:spPr>
        <a:xfrm>
          <a:off x="243840" y="239466120"/>
          <a:ext cx="0" cy="527685"/>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xdr:cNvPicPr>
          <a:picLocks noChangeAspect="1"/>
        </xdr:cNvPicPr>
      </xdr:nvPicPr>
      <xdr:blipFill>
        <a:blip r:embed="rId305" cstate="email"/>
        <a:stretch>
          <a:fillRect/>
        </a:stretch>
      </xdr:blipFill>
      <xdr:spPr>
        <a:xfrm>
          <a:off x="243840" y="240163350"/>
          <a:ext cx="0" cy="523875"/>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xdr:cNvPicPr>
          <a:picLocks noChangeAspect="1"/>
        </xdr:cNvPicPr>
      </xdr:nvPicPr>
      <xdr:blipFill>
        <a:blip r:embed="rId305" cstate="email"/>
        <a:stretch>
          <a:fillRect/>
        </a:stretch>
      </xdr:blipFill>
      <xdr:spPr>
        <a:xfrm>
          <a:off x="243840" y="241560350"/>
          <a:ext cx="0" cy="523875"/>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xdr:cNvPicPr>
          <a:picLocks noChangeAspect="1"/>
        </xdr:cNvPicPr>
      </xdr:nvPicPr>
      <xdr:blipFill>
        <a:blip r:embed="rId306" cstate="email"/>
        <a:stretch>
          <a:fillRect/>
        </a:stretch>
      </xdr:blipFill>
      <xdr:spPr>
        <a:xfrm>
          <a:off x="243840" y="242246150"/>
          <a:ext cx="0" cy="45466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xdr:cNvPicPr>
          <a:picLocks noChangeAspect="1"/>
        </xdr:cNvPicPr>
      </xdr:nvPicPr>
      <xdr:blipFill>
        <a:blip r:embed="rId307" cstate="email"/>
        <a:stretch>
          <a:fillRect/>
        </a:stretch>
      </xdr:blipFill>
      <xdr:spPr>
        <a:xfrm>
          <a:off x="243840" y="242954175"/>
          <a:ext cx="0" cy="53213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xdr:cNvPicPr>
          <a:picLocks noChangeAspect="1"/>
        </xdr:cNvPicPr>
      </xdr:nvPicPr>
      <xdr:blipFill>
        <a:blip r:embed="rId308" cstate="email"/>
        <a:stretch>
          <a:fillRect/>
        </a:stretch>
      </xdr:blipFill>
      <xdr:spPr>
        <a:xfrm>
          <a:off x="243840" y="243651405"/>
          <a:ext cx="0" cy="53276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xdr:cNvPicPr>
          <a:picLocks noChangeAspect="1"/>
        </xdr:cNvPicPr>
      </xdr:nvPicPr>
      <xdr:blipFill>
        <a:blip r:embed="rId309" cstate="email"/>
        <a:stretch>
          <a:fillRect/>
        </a:stretch>
      </xdr:blipFill>
      <xdr:spPr>
        <a:xfrm>
          <a:off x="243840" y="244376575"/>
          <a:ext cx="0" cy="502920"/>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xdr:cNvPicPr>
          <a:picLocks noChangeAspect="1"/>
        </xdr:cNvPicPr>
      </xdr:nvPicPr>
      <xdr:blipFill>
        <a:blip r:embed="rId310" cstate="email"/>
        <a:stretch>
          <a:fillRect/>
        </a:stretch>
      </xdr:blipFill>
      <xdr:spPr>
        <a:xfrm>
          <a:off x="203835" y="245068090"/>
          <a:ext cx="40005" cy="440055"/>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xdr:cNvPicPr>
          <a:picLocks noChangeAspect="1"/>
        </xdr:cNvPicPr>
      </xdr:nvPicPr>
      <xdr:blipFill>
        <a:blip r:embed="rId311" cstate="email"/>
        <a:stretch>
          <a:fillRect/>
        </a:stretch>
      </xdr:blipFill>
      <xdr:spPr>
        <a:xfrm>
          <a:off x="243840" y="245776750"/>
          <a:ext cx="0" cy="422275"/>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xdr:cNvPicPr>
          <a:picLocks noChangeAspect="1"/>
        </xdr:cNvPicPr>
      </xdr:nvPicPr>
      <xdr:blipFill>
        <a:blip r:embed="rId312" cstate="email"/>
        <a:stretch>
          <a:fillRect/>
        </a:stretch>
      </xdr:blipFill>
      <xdr:spPr>
        <a:xfrm>
          <a:off x="243840" y="246461915"/>
          <a:ext cx="0" cy="511175"/>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xdr:cNvPicPr>
          <a:picLocks noChangeAspect="1"/>
        </xdr:cNvPicPr>
      </xdr:nvPicPr>
      <xdr:blipFill>
        <a:blip r:embed="rId313" cstate="email"/>
        <a:stretch>
          <a:fillRect/>
        </a:stretch>
      </xdr:blipFill>
      <xdr:spPr>
        <a:xfrm>
          <a:off x="243840" y="247160415"/>
          <a:ext cx="0" cy="519430"/>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xdr:cNvPicPr>
          <a:picLocks noChangeAspect="1"/>
        </xdr:cNvPicPr>
      </xdr:nvPicPr>
      <xdr:blipFill>
        <a:blip r:embed="rId314" cstate="email"/>
        <a:stretch>
          <a:fillRect/>
        </a:stretch>
      </xdr:blipFill>
      <xdr:spPr>
        <a:xfrm>
          <a:off x="243840" y="247855740"/>
          <a:ext cx="0" cy="514985"/>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xdr:cNvPicPr>
          <a:picLocks noChangeAspect="1"/>
        </xdr:cNvPicPr>
      </xdr:nvPicPr>
      <xdr:blipFill>
        <a:blip r:embed="rId315" cstate="email"/>
        <a:stretch>
          <a:fillRect/>
        </a:stretch>
      </xdr:blipFill>
      <xdr:spPr>
        <a:xfrm>
          <a:off x="243840" y="248542810"/>
          <a:ext cx="0" cy="530225"/>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xdr:cNvPicPr>
          <a:picLocks noChangeAspect="1"/>
        </xdr:cNvPicPr>
      </xdr:nvPicPr>
      <xdr:blipFill>
        <a:blip r:embed="rId316" cstate="email"/>
        <a:stretch>
          <a:fillRect/>
        </a:stretch>
      </xdr:blipFill>
      <xdr:spPr>
        <a:xfrm>
          <a:off x="243840" y="249243850"/>
          <a:ext cx="0" cy="528320"/>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xdr:cNvPicPr>
          <a:picLocks noChangeAspect="1"/>
        </xdr:cNvPicPr>
      </xdr:nvPicPr>
      <xdr:blipFill>
        <a:blip r:embed="rId317" cstate="email"/>
        <a:stretch>
          <a:fillRect/>
        </a:stretch>
      </xdr:blipFill>
      <xdr:spPr>
        <a:xfrm>
          <a:off x="243840" y="249951240"/>
          <a:ext cx="0" cy="449580"/>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xdr:cNvPicPr>
          <a:picLocks noChangeAspect="1"/>
        </xdr:cNvPicPr>
      </xdr:nvPicPr>
      <xdr:blipFill>
        <a:blip r:embed="rId318" cstate="email"/>
        <a:stretch>
          <a:fillRect/>
        </a:stretch>
      </xdr:blipFill>
      <xdr:spPr>
        <a:xfrm>
          <a:off x="243840" y="250628785"/>
          <a:ext cx="0" cy="529590"/>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xdr:cNvPicPr>
          <a:picLocks noChangeAspect="1"/>
        </xdr:cNvPicPr>
      </xdr:nvPicPr>
      <xdr:blipFill>
        <a:blip r:embed="rId319" cstate="email"/>
        <a:stretch>
          <a:fillRect/>
        </a:stretch>
      </xdr:blipFill>
      <xdr:spPr>
        <a:xfrm>
          <a:off x="243840" y="251339350"/>
          <a:ext cx="0" cy="525780"/>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xdr:cNvPicPr>
          <a:picLocks noChangeAspect="1"/>
        </xdr:cNvPicPr>
      </xdr:nvPicPr>
      <xdr:blipFill>
        <a:blip r:embed="rId320" cstate="email"/>
        <a:stretch>
          <a:fillRect/>
        </a:stretch>
      </xdr:blipFill>
      <xdr:spPr>
        <a:xfrm>
          <a:off x="243840" y="252036580"/>
          <a:ext cx="0" cy="516890"/>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xdr:cNvPicPr>
          <a:picLocks noChangeAspect="1"/>
        </xdr:cNvPicPr>
      </xdr:nvPicPr>
      <xdr:blipFill>
        <a:blip r:embed="rId321" cstate="email"/>
        <a:stretch>
          <a:fillRect/>
        </a:stretch>
      </xdr:blipFill>
      <xdr:spPr>
        <a:xfrm>
          <a:off x="243840" y="252738890"/>
          <a:ext cx="0" cy="526415"/>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xdr:cNvPicPr>
          <a:picLocks noChangeAspect="1"/>
        </xdr:cNvPicPr>
      </xdr:nvPicPr>
      <xdr:blipFill>
        <a:blip r:embed="rId322" cstate="email"/>
        <a:stretch>
          <a:fillRect/>
        </a:stretch>
      </xdr:blipFill>
      <xdr:spPr>
        <a:xfrm>
          <a:off x="243840" y="253446915"/>
          <a:ext cx="0" cy="517525"/>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xdr:cNvPicPr>
          <a:picLocks noChangeAspect="1"/>
        </xdr:cNvPicPr>
      </xdr:nvPicPr>
      <xdr:blipFill>
        <a:blip r:embed="rId323" cstate="email"/>
        <a:stretch>
          <a:fillRect/>
        </a:stretch>
      </xdr:blipFill>
      <xdr:spPr>
        <a:xfrm>
          <a:off x="243840" y="254133350"/>
          <a:ext cx="0" cy="528955"/>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xdr:cNvPicPr>
          <a:picLocks noChangeAspect="1"/>
        </xdr:cNvPicPr>
      </xdr:nvPicPr>
      <xdr:blipFill>
        <a:blip r:embed="rId324" cstate="email"/>
        <a:stretch>
          <a:fillRect/>
        </a:stretch>
      </xdr:blipFill>
      <xdr:spPr>
        <a:xfrm>
          <a:off x="243840" y="254819150"/>
          <a:ext cx="0" cy="539115"/>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xdr:cNvPicPr>
          <a:picLocks noChangeAspect="1"/>
        </xdr:cNvPicPr>
      </xdr:nvPicPr>
      <xdr:blipFill>
        <a:blip r:embed="rId325" cstate="email"/>
        <a:stretch>
          <a:fillRect/>
        </a:stretch>
      </xdr:blipFill>
      <xdr:spPr>
        <a:xfrm>
          <a:off x="243840" y="255532890"/>
          <a:ext cx="0" cy="526415"/>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xdr:cNvPicPr>
          <a:picLocks noChangeAspect="1"/>
        </xdr:cNvPicPr>
      </xdr:nvPicPr>
      <xdr:blipFill>
        <a:blip r:embed="rId326" cstate="email"/>
        <a:stretch>
          <a:fillRect/>
        </a:stretch>
      </xdr:blipFill>
      <xdr:spPr>
        <a:xfrm>
          <a:off x="243840" y="256227580"/>
          <a:ext cx="0" cy="52895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xdr:cNvPicPr>
          <a:picLocks noChangeAspect="1"/>
        </xdr:cNvPicPr>
      </xdr:nvPicPr>
      <xdr:blipFill>
        <a:blip r:embed="rId327" cstate="email"/>
        <a:stretch>
          <a:fillRect/>
        </a:stretch>
      </xdr:blipFill>
      <xdr:spPr>
        <a:xfrm>
          <a:off x="243840" y="256919730"/>
          <a:ext cx="0" cy="522605"/>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xdr:cNvPicPr>
          <a:picLocks noChangeAspect="1"/>
        </xdr:cNvPicPr>
      </xdr:nvPicPr>
      <xdr:blipFill>
        <a:blip r:embed="rId328" cstate="email"/>
        <a:stretch>
          <a:fillRect/>
        </a:stretch>
      </xdr:blipFill>
      <xdr:spPr>
        <a:xfrm>
          <a:off x="243840" y="257629025"/>
          <a:ext cx="0" cy="522605"/>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xdr:cNvPicPr>
          <a:picLocks noChangeAspect="1"/>
        </xdr:cNvPicPr>
      </xdr:nvPicPr>
      <xdr:blipFill>
        <a:blip r:embed="rId329" cstate="email"/>
        <a:stretch>
          <a:fillRect/>
        </a:stretch>
      </xdr:blipFill>
      <xdr:spPr>
        <a:xfrm>
          <a:off x="243840" y="258337050"/>
          <a:ext cx="0" cy="445770"/>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xdr:cNvPicPr>
          <a:picLocks noChangeAspect="1"/>
        </xdr:cNvPicPr>
      </xdr:nvPicPr>
      <xdr:blipFill>
        <a:blip r:embed="rId330" cstate="email"/>
        <a:stretch>
          <a:fillRect/>
        </a:stretch>
      </xdr:blipFill>
      <xdr:spPr>
        <a:xfrm>
          <a:off x="243840" y="258933315"/>
          <a:ext cx="0" cy="630555"/>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xdr:cNvPicPr>
          <a:picLocks noChangeAspect="1"/>
        </xdr:cNvPicPr>
      </xdr:nvPicPr>
      <xdr:blipFill>
        <a:blip r:embed="rId331" cstate="email"/>
        <a:stretch>
          <a:fillRect/>
        </a:stretch>
      </xdr:blipFill>
      <xdr:spPr>
        <a:xfrm>
          <a:off x="243840" y="259678805"/>
          <a:ext cx="0" cy="593090"/>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xdr:cNvPicPr>
          <a:picLocks noChangeAspect="1"/>
        </xdr:cNvPicPr>
      </xdr:nvPicPr>
      <xdr:blipFill>
        <a:blip r:embed="rId332" cstate="email"/>
        <a:stretch>
          <a:fillRect/>
        </a:stretch>
      </xdr:blipFill>
      <xdr:spPr>
        <a:xfrm>
          <a:off x="220980" y="260332220"/>
          <a:ext cx="22860" cy="624840"/>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xdr:cNvPicPr>
          <a:picLocks noChangeAspect="1"/>
        </xdr:cNvPicPr>
      </xdr:nvPicPr>
      <xdr:blipFill>
        <a:blip r:embed="rId333" cstate="email"/>
        <a:stretch>
          <a:fillRect/>
        </a:stretch>
      </xdr:blipFill>
      <xdr:spPr>
        <a:xfrm>
          <a:off x="243840" y="261066915"/>
          <a:ext cx="0" cy="606425"/>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xdr:cNvPicPr>
          <a:picLocks noChangeAspect="1"/>
        </xdr:cNvPicPr>
      </xdr:nvPicPr>
      <xdr:blipFill>
        <a:blip r:embed="rId334" cstate="email"/>
        <a:stretch>
          <a:fillRect/>
        </a:stretch>
      </xdr:blipFill>
      <xdr:spPr>
        <a:xfrm>
          <a:off x="177800" y="261765415"/>
          <a:ext cx="66040" cy="605790"/>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xdr:cNvPicPr>
          <a:picLocks noChangeAspect="1"/>
        </xdr:cNvPicPr>
      </xdr:nvPicPr>
      <xdr:blipFill>
        <a:blip r:embed="rId335" cstate="email"/>
        <a:stretch>
          <a:fillRect/>
        </a:stretch>
      </xdr:blipFill>
      <xdr:spPr>
        <a:xfrm>
          <a:off x="179705" y="262449945"/>
          <a:ext cx="64135" cy="631190"/>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xdr:cNvPicPr>
          <a:picLocks noChangeAspect="1"/>
        </xdr:cNvPicPr>
      </xdr:nvPicPr>
      <xdr:blipFill>
        <a:blip r:embed="rId336" cstate="email"/>
        <a:stretch>
          <a:fillRect/>
        </a:stretch>
      </xdr:blipFill>
      <xdr:spPr>
        <a:xfrm>
          <a:off x="156845" y="263126220"/>
          <a:ext cx="86995" cy="655955"/>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xdr:cNvPicPr>
          <a:picLocks noChangeAspect="1"/>
        </xdr:cNvPicPr>
      </xdr:nvPicPr>
      <xdr:blipFill>
        <a:blip r:embed="rId337" cstate="email"/>
        <a:stretch>
          <a:fillRect/>
        </a:stretch>
      </xdr:blipFill>
      <xdr:spPr>
        <a:xfrm>
          <a:off x="243840" y="263874885"/>
          <a:ext cx="0" cy="610235"/>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xdr:cNvPicPr>
          <a:picLocks noChangeAspect="1"/>
        </xdr:cNvPicPr>
      </xdr:nvPicPr>
      <xdr:blipFill>
        <a:blip r:embed="rId338" cstate="email"/>
        <a:stretch>
          <a:fillRect/>
        </a:stretch>
      </xdr:blipFill>
      <xdr:spPr>
        <a:xfrm>
          <a:off x="243840" y="264559415"/>
          <a:ext cx="0" cy="630555"/>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xdr:cNvPicPr>
          <a:picLocks noChangeAspect="1"/>
        </xdr:cNvPicPr>
      </xdr:nvPicPr>
      <xdr:blipFill>
        <a:blip r:embed="rId339" cstate="email"/>
        <a:stretch>
          <a:fillRect/>
        </a:stretch>
      </xdr:blipFill>
      <xdr:spPr>
        <a:xfrm>
          <a:off x="243840" y="265257915"/>
          <a:ext cx="0" cy="621665"/>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xdr:cNvPicPr>
          <a:picLocks noChangeAspect="1"/>
        </xdr:cNvPicPr>
      </xdr:nvPicPr>
      <xdr:blipFill>
        <a:blip r:embed="rId340" cstate="email"/>
        <a:stretch>
          <a:fillRect/>
        </a:stretch>
      </xdr:blipFill>
      <xdr:spPr>
        <a:xfrm>
          <a:off x="243840" y="265941810"/>
          <a:ext cx="0" cy="63436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xdr:cNvPicPr>
          <a:picLocks noChangeAspect="1"/>
        </xdr:cNvPicPr>
      </xdr:nvPicPr>
      <xdr:blipFill>
        <a:blip r:embed="rId341" cstate="email"/>
        <a:stretch>
          <a:fillRect/>
        </a:stretch>
      </xdr:blipFill>
      <xdr:spPr>
        <a:xfrm>
          <a:off x="243840" y="266647295"/>
          <a:ext cx="0" cy="622300"/>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xdr:cNvPicPr>
          <a:picLocks noChangeAspect="1"/>
        </xdr:cNvPicPr>
      </xdr:nvPicPr>
      <xdr:blipFill>
        <a:blip r:embed="rId342" cstate="email"/>
        <a:stretch>
          <a:fillRect/>
        </a:stretch>
      </xdr:blipFill>
      <xdr:spPr>
        <a:xfrm>
          <a:off x="186690" y="267318490"/>
          <a:ext cx="57150" cy="650875"/>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xdr:cNvPicPr>
          <a:picLocks noChangeAspect="1"/>
        </xdr:cNvPicPr>
      </xdr:nvPicPr>
      <xdr:blipFill>
        <a:blip r:embed="rId343" cstate="email"/>
        <a:stretch>
          <a:fillRect/>
        </a:stretch>
      </xdr:blipFill>
      <xdr:spPr>
        <a:xfrm>
          <a:off x="243840" y="268023340"/>
          <a:ext cx="0" cy="648335"/>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xdr:cNvPicPr>
          <a:picLocks noChangeAspect="1"/>
        </xdr:cNvPicPr>
      </xdr:nvPicPr>
      <xdr:blipFill>
        <a:blip r:embed="rId344" cstate="email"/>
        <a:stretch>
          <a:fillRect/>
        </a:stretch>
      </xdr:blipFill>
      <xdr:spPr>
        <a:xfrm>
          <a:off x="243840" y="268750415"/>
          <a:ext cx="0" cy="59626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xdr:cNvPicPr>
          <a:picLocks noChangeAspect="1"/>
        </xdr:cNvPicPr>
      </xdr:nvPicPr>
      <xdr:blipFill>
        <a:blip r:embed="rId345" cstate="email"/>
        <a:stretch>
          <a:fillRect/>
        </a:stretch>
      </xdr:blipFill>
      <xdr:spPr>
        <a:xfrm>
          <a:off x="243840" y="269419705"/>
          <a:ext cx="0" cy="536575"/>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xdr:cNvPicPr>
          <a:picLocks noChangeAspect="1"/>
        </xdr:cNvPicPr>
      </xdr:nvPicPr>
      <xdr:blipFill>
        <a:blip r:embed="rId346" cstate="email"/>
        <a:stretch>
          <a:fillRect/>
        </a:stretch>
      </xdr:blipFill>
      <xdr:spPr>
        <a:xfrm>
          <a:off x="243840" y="270107410"/>
          <a:ext cx="0" cy="539750"/>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xdr:cNvPicPr>
          <a:picLocks noChangeAspect="1"/>
        </xdr:cNvPicPr>
      </xdr:nvPicPr>
      <xdr:blipFill>
        <a:blip r:embed="rId347" cstate="email"/>
        <a:stretch>
          <a:fillRect/>
        </a:stretch>
      </xdr:blipFill>
      <xdr:spPr>
        <a:xfrm>
          <a:off x="243840" y="270816705"/>
          <a:ext cx="0" cy="536575"/>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xdr:cNvPicPr>
          <a:picLocks noChangeAspect="1"/>
        </xdr:cNvPicPr>
      </xdr:nvPicPr>
      <xdr:blipFill>
        <a:blip r:embed="rId348" cstate="email"/>
        <a:stretch>
          <a:fillRect/>
        </a:stretch>
      </xdr:blipFill>
      <xdr:spPr>
        <a:xfrm>
          <a:off x="243840" y="271529810"/>
          <a:ext cx="0" cy="601980"/>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xdr:cNvPicPr>
          <a:picLocks noChangeAspect="1"/>
        </xdr:cNvPicPr>
      </xdr:nvPicPr>
      <xdr:blipFill>
        <a:blip r:embed="rId349" cstate="email"/>
        <a:stretch>
          <a:fillRect/>
        </a:stretch>
      </xdr:blipFill>
      <xdr:spPr>
        <a:xfrm>
          <a:off x="235585" y="272905220"/>
          <a:ext cx="8255" cy="547370"/>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xdr:cNvPicPr>
          <a:picLocks noChangeAspect="1"/>
        </xdr:cNvPicPr>
      </xdr:nvPicPr>
      <xdr:blipFill>
        <a:blip r:embed="rId350" cstate="email"/>
        <a:stretch>
          <a:fillRect/>
        </a:stretch>
      </xdr:blipFill>
      <xdr:spPr>
        <a:xfrm>
          <a:off x="243840" y="272228310"/>
          <a:ext cx="0" cy="601980"/>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xdr:cNvPicPr>
          <a:picLocks noChangeAspect="1"/>
        </xdr:cNvPicPr>
      </xdr:nvPicPr>
      <xdr:blipFill>
        <a:blip r:embed="rId351" cstate="email"/>
        <a:stretch>
          <a:fillRect/>
        </a:stretch>
      </xdr:blipFill>
      <xdr:spPr>
        <a:xfrm>
          <a:off x="243840" y="273639915"/>
          <a:ext cx="0" cy="593725"/>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xdr:cNvPicPr>
          <a:picLocks noChangeAspect="1"/>
        </xdr:cNvPicPr>
      </xdr:nvPicPr>
      <xdr:blipFill>
        <a:blip r:embed="rId352" cstate="email"/>
        <a:stretch>
          <a:fillRect/>
        </a:stretch>
      </xdr:blipFill>
      <xdr:spPr>
        <a:xfrm>
          <a:off x="243840" y="274309205"/>
          <a:ext cx="0" cy="608965"/>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xdr:cNvPicPr>
          <a:picLocks noChangeAspect="1"/>
        </xdr:cNvPicPr>
      </xdr:nvPicPr>
      <xdr:blipFill>
        <a:blip r:embed="rId353" cstate="email"/>
        <a:stretch>
          <a:fillRect/>
        </a:stretch>
      </xdr:blipFill>
      <xdr:spPr>
        <a:xfrm>
          <a:off x="243840" y="275022310"/>
          <a:ext cx="0" cy="608965"/>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xdr:cNvPicPr>
          <a:picLocks noChangeAspect="1"/>
        </xdr:cNvPicPr>
      </xdr:nvPicPr>
      <xdr:blipFill>
        <a:blip r:embed="rId354" cstate="email"/>
        <a:stretch>
          <a:fillRect/>
        </a:stretch>
      </xdr:blipFill>
      <xdr:spPr>
        <a:xfrm>
          <a:off x="243840" y="275720810"/>
          <a:ext cx="0" cy="60007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xdr:cNvPicPr>
          <a:picLocks noChangeAspect="1"/>
        </xdr:cNvPicPr>
      </xdr:nvPicPr>
      <xdr:blipFill>
        <a:blip r:embed="rId355" cstate="email"/>
        <a:stretch>
          <a:fillRect/>
        </a:stretch>
      </xdr:blipFill>
      <xdr:spPr>
        <a:xfrm>
          <a:off x="243840" y="276404705"/>
          <a:ext cx="0" cy="604520"/>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xdr:cNvPicPr>
          <a:picLocks noChangeAspect="1"/>
        </xdr:cNvPicPr>
      </xdr:nvPicPr>
      <xdr:blipFill>
        <a:blip r:embed="rId356" cstate="email"/>
        <a:stretch>
          <a:fillRect/>
        </a:stretch>
      </xdr:blipFill>
      <xdr:spPr>
        <a:xfrm>
          <a:off x="243840" y="277117810"/>
          <a:ext cx="0" cy="605790"/>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xdr:cNvPicPr>
          <a:picLocks noChangeAspect="1"/>
        </xdr:cNvPicPr>
      </xdr:nvPicPr>
      <xdr:blipFill>
        <a:blip r:embed="rId357" cstate="email"/>
        <a:stretch>
          <a:fillRect/>
        </a:stretch>
      </xdr:blipFill>
      <xdr:spPr>
        <a:xfrm>
          <a:off x="163830" y="277808690"/>
          <a:ext cx="80010" cy="534670"/>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xdr:cNvPicPr>
          <a:picLocks noChangeAspect="1"/>
        </xdr:cNvPicPr>
      </xdr:nvPicPr>
      <xdr:blipFill>
        <a:blip r:embed="rId358" cstate="email"/>
        <a:stretch>
          <a:fillRect/>
        </a:stretch>
      </xdr:blipFill>
      <xdr:spPr>
        <a:xfrm>
          <a:off x="243840" y="278500840"/>
          <a:ext cx="0" cy="61214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xdr:cNvPicPr>
          <a:picLocks noChangeAspect="1"/>
        </xdr:cNvPicPr>
      </xdr:nvPicPr>
      <xdr:blipFill>
        <a:blip r:embed="rId359" cstate="email"/>
        <a:stretch>
          <a:fillRect/>
        </a:stretch>
      </xdr:blipFill>
      <xdr:spPr>
        <a:xfrm>
          <a:off x="243840" y="279208865"/>
          <a:ext cx="0" cy="612775"/>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xdr:cNvPicPr>
          <a:picLocks noChangeAspect="1"/>
        </xdr:cNvPicPr>
      </xdr:nvPicPr>
      <xdr:blipFill>
        <a:blip r:embed="rId360" cstate="email"/>
        <a:stretch>
          <a:fillRect/>
        </a:stretch>
      </xdr:blipFill>
      <xdr:spPr>
        <a:xfrm>
          <a:off x="243840" y="279926415"/>
          <a:ext cx="0" cy="529590"/>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xdr:cNvPicPr>
          <a:picLocks noChangeAspect="1"/>
        </xdr:cNvPicPr>
      </xdr:nvPicPr>
      <xdr:blipFill>
        <a:blip r:embed="rId361" cstate="email"/>
        <a:stretch>
          <a:fillRect/>
        </a:stretch>
      </xdr:blipFill>
      <xdr:spPr>
        <a:xfrm>
          <a:off x="243840" y="280599515"/>
          <a:ext cx="0" cy="510540"/>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xdr:cNvPicPr>
          <a:picLocks noChangeAspect="1"/>
        </xdr:cNvPicPr>
      </xdr:nvPicPr>
      <xdr:blipFill>
        <a:blip r:embed="rId362" cstate="email"/>
        <a:stretch>
          <a:fillRect/>
        </a:stretch>
      </xdr:blipFill>
      <xdr:spPr>
        <a:xfrm>
          <a:off x="243840" y="281294840"/>
          <a:ext cx="0" cy="617220"/>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xdr:cNvPicPr>
          <a:picLocks noChangeAspect="1"/>
        </xdr:cNvPicPr>
      </xdr:nvPicPr>
      <xdr:blipFill>
        <a:blip r:embed="rId363" cstate="email"/>
        <a:stretch>
          <a:fillRect/>
        </a:stretch>
      </xdr:blipFill>
      <xdr:spPr>
        <a:xfrm>
          <a:off x="243840" y="281999690"/>
          <a:ext cx="0" cy="597535"/>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xdr:cNvPicPr>
          <a:picLocks noChangeAspect="1"/>
        </xdr:cNvPicPr>
      </xdr:nvPicPr>
      <xdr:blipFill>
        <a:blip r:embed="rId364" cstate="email"/>
        <a:stretch>
          <a:fillRect/>
        </a:stretch>
      </xdr:blipFill>
      <xdr:spPr>
        <a:xfrm>
          <a:off x="243840" y="282684220"/>
          <a:ext cx="0" cy="62166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xdr:cNvPicPr>
          <a:picLocks noChangeAspect="1"/>
        </xdr:cNvPicPr>
      </xdr:nvPicPr>
      <xdr:blipFill>
        <a:blip r:embed="rId365" cstate="email"/>
        <a:stretch>
          <a:fillRect/>
        </a:stretch>
      </xdr:blipFill>
      <xdr:spPr>
        <a:xfrm>
          <a:off x="243840" y="283411295"/>
          <a:ext cx="0" cy="593725"/>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xdr:cNvPicPr>
          <a:picLocks noChangeAspect="1"/>
        </xdr:cNvPicPr>
      </xdr:nvPicPr>
      <xdr:blipFill>
        <a:blip r:embed="rId366" cstate="email"/>
        <a:stretch>
          <a:fillRect/>
        </a:stretch>
      </xdr:blipFill>
      <xdr:spPr>
        <a:xfrm>
          <a:off x="243840" y="284098365"/>
          <a:ext cx="0" cy="59944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xdr:cNvPicPr>
          <a:picLocks noChangeAspect="1"/>
        </xdr:cNvPicPr>
      </xdr:nvPicPr>
      <xdr:blipFill>
        <a:blip r:embed="rId367" cstate="email"/>
        <a:stretch>
          <a:fillRect/>
        </a:stretch>
      </xdr:blipFill>
      <xdr:spPr>
        <a:xfrm>
          <a:off x="243840" y="284794325"/>
          <a:ext cx="0" cy="612775"/>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xdr:cNvPicPr>
          <a:picLocks noChangeAspect="1"/>
        </xdr:cNvPicPr>
      </xdr:nvPicPr>
      <xdr:blipFill>
        <a:blip r:embed="rId368" cstate="email"/>
        <a:stretch>
          <a:fillRect/>
        </a:stretch>
      </xdr:blipFill>
      <xdr:spPr>
        <a:xfrm>
          <a:off x="243840" y="285495365"/>
          <a:ext cx="0" cy="60134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xdr:cNvPicPr>
          <a:picLocks noChangeAspect="1"/>
        </xdr:cNvPicPr>
      </xdr:nvPicPr>
      <xdr:blipFill>
        <a:blip r:embed="rId369" cstate="email"/>
        <a:stretch>
          <a:fillRect/>
        </a:stretch>
      </xdr:blipFill>
      <xdr:spPr>
        <a:xfrm>
          <a:off x="243840" y="286212915"/>
          <a:ext cx="0" cy="589915"/>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xdr:cNvPicPr>
          <a:picLocks noChangeAspect="1"/>
        </xdr:cNvPicPr>
      </xdr:nvPicPr>
      <xdr:blipFill>
        <a:blip r:embed="rId370" cstate="email"/>
        <a:stretch>
          <a:fillRect/>
        </a:stretch>
      </xdr:blipFill>
      <xdr:spPr>
        <a:xfrm>
          <a:off x="243840" y="286896810"/>
          <a:ext cx="0" cy="59880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xdr:cNvPicPr>
          <a:picLocks noChangeAspect="1"/>
        </xdr:cNvPicPr>
      </xdr:nvPicPr>
      <xdr:blipFill>
        <a:blip r:embed="rId371" cstate="email"/>
        <a:stretch>
          <a:fillRect/>
        </a:stretch>
      </xdr:blipFill>
      <xdr:spPr>
        <a:xfrm>
          <a:off x="243840" y="288308415"/>
          <a:ext cx="0" cy="592455"/>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xdr:cNvPicPr>
          <a:picLocks noChangeAspect="1"/>
        </xdr:cNvPicPr>
      </xdr:nvPicPr>
      <xdr:blipFill>
        <a:blip r:embed="rId372" cstate="email"/>
        <a:stretch>
          <a:fillRect/>
        </a:stretch>
      </xdr:blipFill>
      <xdr:spPr>
        <a:xfrm>
          <a:off x="243840" y="288984690"/>
          <a:ext cx="0" cy="596900"/>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xdr:cNvPicPr>
          <a:picLocks noChangeAspect="1"/>
        </xdr:cNvPicPr>
      </xdr:nvPicPr>
      <xdr:blipFill>
        <a:blip r:embed="rId373" cstate="email"/>
        <a:stretch>
          <a:fillRect/>
        </a:stretch>
      </xdr:blipFill>
      <xdr:spPr>
        <a:xfrm>
          <a:off x="243840" y="287609915"/>
          <a:ext cx="0" cy="591185"/>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xdr:cNvPicPr>
          <a:picLocks noChangeAspect="1"/>
        </xdr:cNvPicPr>
      </xdr:nvPicPr>
      <xdr:blipFill>
        <a:blip r:embed="rId374" cstate="email"/>
        <a:stretch>
          <a:fillRect/>
        </a:stretch>
      </xdr:blipFill>
      <xdr:spPr>
        <a:xfrm>
          <a:off x="243840" y="289690810"/>
          <a:ext cx="0" cy="596265"/>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xdr:cNvPicPr>
          <a:picLocks noChangeAspect="1"/>
        </xdr:cNvPicPr>
      </xdr:nvPicPr>
      <xdr:blipFill>
        <a:blip r:embed="rId375" cstate="email"/>
        <a:stretch>
          <a:fillRect/>
        </a:stretch>
      </xdr:blipFill>
      <xdr:spPr>
        <a:xfrm>
          <a:off x="243840" y="290417885"/>
          <a:ext cx="0" cy="575310"/>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xdr:cNvPicPr>
          <a:picLocks noChangeAspect="1"/>
        </xdr:cNvPicPr>
      </xdr:nvPicPr>
      <xdr:blipFill>
        <a:blip r:embed="rId376" cstate="email"/>
        <a:stretch>
          <a:fillRect/>
        </a:stretch>
      </xdr:blipFill>
      <xdr:spPr>
        <a:xfrm>
          <a:off x="243840" y="291087810"/>
          <a:ext cx="0" cy="600710"/>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xdr:cNvPicPr>
          <a:picLocks noChangeAspect="1"/>
        </xdr:cNvPicPr>
      </xdr:nvPicPr>
      <xdr:blipFill>
        <a:blip r:embed="rId377" cstate="email"/>
        <a:stretch>
          <a:fillRect/>
        </a:stretch>
      </xdr:blipFill>
      <xdr:spPr>
        <a:xfrm>
          <a:off x="243840" y="291799010"/>
          <a:ext cx="0" cy="517525"/>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xdr:cNvPicPr>
          <a:picLocks noChangeAspect="1"/>
        </xdr:cNvPicPr>
      </xdr:nvPicPr>
      <xdr:blipFill>
        <a:blip r:embed="rId378" cstate="email"/>
        <a:stretch>
          <a:fillRect/>
        </a:stretch>
      </xdr:blipFill>
      <xdr:spPr>
        <a:xfrm>
          <a:off x="243840" y="292483540"/>
          <a:ext cx="0" cy="605155"/>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xdr:cNvPicPr>
          <a:picLocks noChangeAspect="1"/>
        </xdr:cNvPicPr>
      </xdr:nvPicPr>
      <xdr:blipFill>
        <a:blip r:embed="rId379" cstate="email"/>
        <a:stretch>
          <a:fillRect/>
        </a:stretch>
      </xdr:blipFill>
      <xdr:spPr>
        <a:xfrm>
          <a:off x="243840" y="293170610"/>
          <a:ext cx="0" cy="616585"/>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xdr:cNvPicPr>
          <a:picLocks noChangeAspect="1" noChangeArrowheads="1"/>
        </xdr:cNvPicPr>
      </xdr:nvPicPr>
      <xdr:blipFill>
        <a:blip r:embed="rId380" cstate="email"/>
        <a:srcRect/>
        <a:stretch>
          <a:fillRect/>
        </a:stretch>
      </xdr:blipFill>
      <xdr:spPr>
        <a:xfrm>
          <a:off x="243840" y="299452030"/>
          <a:ext cx="0" cy="622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xdr:cNvPicPr>
          <a:picLocks noChangeAspect="1" noChangeArrowheads="1"/>
        </xdr:cNvPicPr>
      </xdr:nvPicPr>
      <xdr:blipFill>
        <a:blip r:embed="rId381" cstate="email"/>
        <a:srcRect/>
        <a:stretch>
          <a:fillRect/>
        </a:stretch>
      </xdr:blipFill>
      <xdr:spPr>
        <a:xfrm>
          <a:off x="243840" y="29876242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xdr:cNvPicPr>
          <a:picLocks noChangeAspect="1" noChangeArrowheads="1"/>
        </xdr:cNvPicPr>
      </xdr:nvPicPr>
      <xdr:blipFill>
        <a:blip r:embed="rId382" cstate="email"/>
        <a:srcRect/>
        <a:stretch>
          <a:fillRect/>
        </a:stretch>
      </xdr:blipFill>
      <xdr:spPr>
        <a:xfrm>
          <a:off x="243840" y="298072175"/>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xdr:cNvPicPr>
          <a:picLocks noChangeAspect="1" noChangeArrowheads="1"/>
        </xdr:cNvPicPr>
      </xdr:nvPicPr>
      <xdr:blipFill>
        <a:blip r:embed="rId383" cstate="print"/>
        <a:srcRect/>
        <a:stretch>
          <a:fillRect/>
        </a:stretch>
      </xdr:blipFill>
      <xdr:spPr>
        <a:xfrm>
          <a:off x="243840" y="295974135"/>
          <a:ext cx="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xdr:cNvPicPr>
          <a:picLocks noChangeAspect="1" noChangeArrowheads="1"/>
        </xdr:cNvPicPr>
      </xdr:nvPicPr>
      <xdr:blipFill>
        <a:blip r:embed="rId384" cstate="print"/>
        <a:srcRect/>
        <a:stretch>
          <a:fillRect/>
        </a:stretch>
      </xdr:blipFill>
      <xdr:spPr>
        <a:xfrm>
          <a:off x="243840" y="296662475"/>
          <a:ext cx="0" cy="617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xdr:cNvPicPr>
          <a:picLocks noChangeAspect="1" noChangeArrowheads="1"/>
        </xdr:cNvPicPr>
      </xdr:nvPicPr>
      <xdr:blipFill>
        <a:blip r:embed="rId385" cstate="email"/>
        <a:srcRect/>
        <a:stretch>
          <a:fillRect/>
        </a:stretch>
      </xdr:blipFill>
      <xdr:spPr>
        <a:xfrm>
          <a:off x="236220" y="297360340"/>
          <a:ext cx="762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xdr:cNvPicPr>
          <a:picLocks noChangeAspect="1" noChangeArrowheads="1"/>
        </xdr:cNvPicPr>
      </xdr:nvPicPr>
      <xdr:blipFill>
        <a:blip r:embed="rId386" cstate="email"/>
        <a:srcRect/>
        <a:stretch>
          <a:fillRect/>
        </a:stretch>
      </xdr:blipFill>
      <xdr:spPr>
        <a:xfrm>
          <a:off x="243840" y="29456888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xdr:cNvPicPr>
          <a:picLocks noChangeAspect="1" noChangeArrowheads="1"/>
        </xdr:cNvPicPr>
      </xdr:nvPicPr>
      <xdr:blipFill>
        <a:blip r:embed="rId386" cstate="email"/>
        <a:srcRect/>
        <a:stretch>
          <a:fillRect/>
        </a:stretch>
      </xdr:blipFill>
      <xdr:spPr>
        <a:xfrm>
          <a:off x="243840" y="29526738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xdr:cNvPicPr>
          <a:picLocks noChangeAspect="1" noChangeArrowheads="1"/>
        </xdr:cNvPicPr>
      </xdr:nvPicPr>
      <xdr:blipFill>
        <a:blip r:embed="rId387" cstate="print"/>
        <a:srcRect/>
        <a:stretch>
          <a:fillRect/>
        </a:stretch>
      </xdr:blipFill>
      <xdr:spPr>
        <a:xfrm>
          <a:off x="243840" y="293874825"/>
          <a:ext cx="0" cy="6134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xdr:cNvPicPr>
          <a:picLocks noChangeAspect="1" noChangeArrowheads="1"/>
        </xdr:cNvPicPr>
      </xdr:nvPicPr>
      <xdr:blipFill>
        <a:blip r:embed="rId388" cstate="email"/>
        <a:srcRect/>
        <a:stretch>
          <a:fillRect/>
        </a:stretch>
      </xdr:blipFill>
      <xdr:spPr>
        <a:xfrm>
          <a:off x="243840" y="300156880"/>
          <a:ext cx="0" cy="61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xdr:cNvPicPr>
          <a:picLocks noChangeAspect="1" noChangeArrowheads="1"/>
        </xdr:cNvPicPr>
      </xdr:nvPicPr>
      <xdr:blipFill>
        <a:blip r:embed="rId388" cstate="email"/>
        <a:srcRect/>
        <a:stretch>
          <a:fillRect/>
        </a:stretch>
      </xdr:blipFill>
      <xdr:spPr>
        <a:xfrm>
          <a:off x="243840" y="300855380"/>
          <a:ext cx="0" cy="61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xdr:cNvPicPr>
          <a:picLocks noChangeAspect="1" noChangeArrowheads="1"/>
        </xdr:cNvPicPr>
      </xdr:nvPicPr>
      <xdr:blipFill>
        <a:blip r:embed="rId389" cstate="print"/>
        <a:srcRect/>
        <a:stretch>
          <a:fillRect/>
        </a:stretch>
      </xdr:blipFill>
      <xdr:spPr>
        <a:xfrm>
          <a:off x="243840" y="301562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xdr:cNvPicPr>
          <a:picLocks noChangeAspect="1" noChangeArrowheads="1"/>
        </xdr:cNvPicPr>
      </xdr:nvPicPr>
      <xdr:blipFill>
        <a:blip r:embed="rId390" cstate="email"/>
        <a:srcRect/>
        <a:stretch>
          <a:fillRect/>
        </a:stretch>
      </xdr:blipFill>
      <xdr:spPr>
        <a:xfrm>
          <a:off x="243840" y="30226190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xdr:cNvPicPr>
          <a:picLocks noChangeAspect="1" noChangeArrowheads="1"/>
        </xdr:cNvPicPr>
      </xdr:nvPicPr>
      <xdr:blipFill>
        <a:blip r:embed="rId391" cstate="email"/>
        <a:srcRect/>
        <a:stretch>
          <a:fillRect/>
        </a:stretch>
      </xdr:blipFill>
      <xdr:spPr>
        <a:xfrm>
          <a:off x="243840" y="302955960"/>
          <a:ext cx="0" cy="611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xdr:cNvPicPr>
          <a:picLocks noChangeAspect="1" noChangeArrowheads="1"/>
        </xdr:cNvPicPr>
      </xdr:nvPicPr>
      <xdr:blipFill>
        <a:blip r:embed="rId392" cstate="email"/>
        <a:srcRect/>
        <a:stretch>
          <a:fillRect/>
        </a:stretch>
      </xdr:blipFill>
      <xdr:spPr>
        <a:xfrm>
          <a:off x="243840" y="303645570"/>
          <a:ext cx="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xdr:cNvPicPr>
          <a:picLocks noChangeAspect="1" noChangeArrowheads="1"/>
        </xdr:cNvPicPr>
      </xdr:nvPicPr>
      <xdr:blipFill>
        <a:blip r:embed="rId393" cstate="print"/>
        <a:srcRect/>
        <a:stretch>
          <a:fillRect/>
        </a:stretch>
      </xdr:blipFill>
      <xdr:spPr>
        <a:xfrm>
          <a:off x="243840" y="30434407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xdr:cNvPicPr>
          <a:picLocks noChangeAspect="1" noChangeArrowheads="1"/>
        </xdr:cNvPicPr>
      </xdr:nvPicPr>
      <xdr:blipFill>
        <a:blip r:embed="rId394" cstate="print"/>
        <a:srcRect/>
        <a:stretch>
          <a:fillRect/>
        </a:stretch>
      </xdr:blipFill>
      <xdr:spPr>
        <a:xfrm>
          <a:off x="243840" y="305052095"/>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xdr:cNvPicPr>
          <a:picLocks noChangeAspect="1" noChangeArrowheads="1"/>
        </xdr:cNvPicPr>
      </xdr:nvPicPr>
      <xdr:blipFill>
        <a:blip r:embed="rId395" cstate="print"/>
        <a:srcRect/>
        <a:stretch>
          <a:fillRect/>
        </a:stretch>
      </xdr:blipFill>
      <xdr:spPr>
        <a:xfrm>
          <a:off x="243840" y="305746150"/>
          <a:ext cx="0" cy="61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xdr:cNvPicPr>
          <a:picLocks noChangeAspect="1" noChangeArrowheads="1"/>
        </xdr:cNvPicPr>
      </xdr:nvPicPr>
      <xdr:blipFill>
        <a:blip r:embed="rId396" cstate="email"/>
        <a:srcRect/>
        <a:stretch>
          <a:fillRect/>
        </a:stretch>
      </xdr:blipFill>
      <xdr:spPr>
        <a:xfrm>
          <a:off x="243840" y="306479575"/>
          <a:ext cx="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xdr:cNvPicPr>
          <a:picLocks noChangeAspect="1" noChangeArrowheads="1"/>
        </xdr:cNvPicPr>
      </xdr:nvPicPr>
      <xdr:blipFill>
        <a:blip r:embed="rId397" cstate="print"/>
        <a:srcRect/>
        <a:stretch>
          <a:fillRect/>
        </a:stretch>
      </xdr:blipFill>
      <xdr:spPr>
        <a:xfrm>
          <a:off x="243840" y="307152040"/>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xdr:cNvPicPr>
          <a:picLocks noChangeAspect="1" noChangeArrowheads="1"/>
        </xdr:cNvPicPr>
      </xdr:nvPicPr>
      <xdr:blipFill>
        <a:blip r:embed="rId397" cstate="print"/>
        <a:srcRect/>
        <a:stretch>
          <a:fillRect/>
        </a:stretch>
      </xdr:blipFill>
      <xdr:spPr>
        <a:xfrm>
          <a:off x="243840" y="307851175"/>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xdr:cNvPicPr>
          <a:picLocks noChangeAspect="1" noChangeArrowheads="1"/>
        </xdr:cNvPicPr>
      </xdr:nvPicPr>
      <xdr:blipFill>
        <a:blip r:embed="rId398" cstate="print"/>
        <a:srcRect/>
        <a:stretch>
          <a:fillRect/>
        </a:stretch>
      </xdr:blipFill>
      <xdr:spPr>
        <a:xfrm>
          <a:off x="243840" y="308535705"/>
          <a:ext cx="0" cy="62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xdr:cNvPicPr>
          <a:picLocks noChangeAspect="1" noChangeArrowheads="1"/>
        </xdr:cNvPicPr>
      </xdr:nvPicPr>
      <xdr:blipFill>
        <a:blip r:embed="rId399" cstate="email"/>
        <a:srcRect/>
        <a:stretch>
          <a:fillRect/>
        </a:stretch>
      </xdr:blipFill>
      <xdr:spPr>
        <a:xfrm>
          <a:off x="243840" y="309246270"/>
          <a:ext cx="0" cy="6153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xdr:cNvPicPr>
          <a:picLocks noChangeAspect="1" noChangeArrowheads="1"/>
        </xdr:cNvPicPr>
      </xdr:nvPicPr>
      <xdr:blipFill>
        <a:blip r:embed="rId399" cstate="email"/>
        <a:srcRect/>
        <a:stretch>
          <a:fillRect/>
        </a:stretch>
      </xdr:blipFill>
      <xdr:spPr>
        <a:xfrm>
          <a:off x="243840" y="309945405"/>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xdr:cNvPicPr>
          <a:picLocks noChangeAspect="1" noChangeArrowheads="1"/>
        </xdr:cNvPicPr>
      </xdr:nvPicPr>
      <xdr:blipFill>
        <a:blip r:embed="rId400" cstate="print"/>
        <a:srcRect/>
        <a:stretch>
          <a:fillRect/>
        </a:stretch>
      </xdr:blipFill>
      <xdr:spPr>
        <a:xfrm>
          <a:off x="243840" y="310659145"/>
          <a:ext cx="0" cy="617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xdr:cNvPicPr>
          <a:picLocks noChangeAspect="1" noChangeArrowheads="1"/>
        </xdr:cNvPicPr>
      </xdr:nvPicPr>
      <xdr:blipFill>
        <a:blip r:embed="rId401" cstate="email"/>
        <a:srcRect/>
        <a:stretch>
          <a:fillRect/>
        </a:stretch>
      </xdr:blipFill>
      <xdr:spPr>
        <a:xfrm>
          <a:off x="243840" y="311369075"/>
          <a:ext cx="0"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xdr:cNvPicPr>
          <a:picLocks noChangeAspect="1" noChangeArrowheads="1"/>
        </xdr:cNvPicPr>
      </xdr:nvPicPr>
      <xdr:blipFill>
        <a:blip r:embed="rId402" cstate="email"/>
        <a:srcRect/>
        <a:stretch>
          <a:fillRect/>
        </a:stretch>
      </xdr:blipFill>
      <xdr:spPr>
        <a:xfrm>
          <a:off x="243840" y="312042175"/>
          <a:ext cx="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xdr:cNvPicPr>
          <a:picLocks noChangeAspect="1" noChangeArrowheads="1"/>
        </xdr:cNvPicPr>
      </xdr:nvPicPr>
      <xdr:blipFill>
        <a:blip r:embed="rId403" cstate="email"/>
        <a:srcRect/>
        <a:stretch>
          <a:fillRect/>
        </a:stretch>
      </xdr:blipFill>
      <xdr:spPr>
        <a:xfrm>
          <a:off x="243840" y="31271781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xdr:cNvPicPr>
          <a:picLocks noChangeAspect="1" noChangeArrowheads="1"/>
        </xdr:cNvPicPr>
      </xdr:nvPicPr>
      <xdr:blipFill>
        <a:blip r:embed="rId404" cstate="email"/>
        <a:srcRect/>
        <a:stretch>
          <a:fillRect/>
        </a:stretch>
      </xdr:blipFill>
      <xdr:spPr>
        <a:xfrm>
          <a:off x="243840" y="31341758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xdr:cNvPicPr>
          <a:picLocks noChangeAspect="1" noChangeArrowheads="1"/>
        </xdr:cNvPicPr>
      </xdr:nvPicPr>
      <xdr:blipFill>
        <a:blip r:embed="rId405" cstate="email"/>
        <a:srcRect/>
        <a:stretch>
          <a:fillRect/>
        </a:stretch>
      </xdr:blipFill>
      <xdr:spPr>
        <a:xfrm>
          <a:off x="243840" y="314130690"/>
          <a:ext cx="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xdr:cNvPicPr>
          <a:picLocks noChangeAspect="1" noChangeArrowheads="1"/>
        </xdr:cNvPicPr>
      </xdr:nvPicPr>
      <xdr:blipFill>
        <a:blip r:embed="rId406" cstate="email"/>
        <a:srcRect/>
        <a:stretch>
          <a:fillRect/>
        </a:stretch>
      </xdr:blipFill>
      <xdr:spPr>
        <a:xfrm>
          <a:off x="243840" y="314837445"/>
          <a:ext cx="0"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xdr:cNvPicPr>
          <a:picLocks noChangeAspect="1" noChangeArrowheads="1"/>
        </xdr:cNvPicPr>
      </xdr:nvPicPr>
      <xdr:blipFill>
        <a:blip r:embed="rId407" cstate="email"/>
        <a:srcRect/>
        <a:stretch>
          <a:fillRect/>
        </a:stretch>
      </xdr:blipFill>
      <xdr:spPr>
        <a:xfrm>
          <a:off x="243840" y="369305840"/>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xdr:cNvPicPr>
          <a:picLocks noChangeAspect="1" noChangeArrowheads="1"/>
        </xdr:cNvPicPr>
      </xdr:nvPicPr>
      <xdr:blipFill>
        <a:blip r:embed="rId408" cstate="email"/>
        <a:srcRect/>
        <a:stretch>
          <a:fillRect/>
        </a:stretch>
      </xdr:blipFill>
      <xdr:spPr>
        <a:xfrm>
          <a:off x="243840" y="31552070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xdr:cNvPicPr>
          <a:picLocks noChangeAspect="1" noChangeArrowheads="1"/>
        </xdr:cNvPicPr>
      </xdr:nvPicPr>
      <xdr:blipFill>
        <a:blip r:embed="rId408" cstate="email"/>
        <a:srcRect/>
        <a:stretch>
          <a:fillRect/>
        </a:stretch>
      </xdr:blipFill>
      <xdr:spPr>
        <a:xfrm>
          <a:off x="243840" y="31621984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xdr:cNvPicPr>
          <a:picLocks noChangeAspect="1" noChangeArrowheads="1"/>
        </xdr:cNvPicPr>
      </xdr:nvPicPr>
      <xdr:blipFill>
        <a:blip r:embed="rId409" cstate="email"/>
        <a:srcRect/>
        <a:stretch>
          <a:fillRect/>
        </a:stretch>
      </xdr:blipFill>
      <xdr:spPr>
        <a:xfrm>
          <a:off x="243840" y="316945010"/>
          <a:ext cx="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xdr:cNvPicPr>
          <a:picLocks noChangeAspect="1" noChangeArrowheads="1"/>
        </xdr:cNvPicPr>
      </xdr:nvPicPr>
      <xdr:blipFill>
        <a:blip r:embed="rId410" cstate="email"/>
        <a:srcRect/>
        <a:stretch>
          <a:fillRect/>
        </a:stretch>
      </xdr:blipFill>
      <xdr:spPr>
        <a:xfrm>
          <a:off x="243840" y="317630810"/>
          <a:ext cx="0" cy="60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xdr:cNvPicPr>
          <a:picLocks noChangeAspect="1" noChangeArrowheads="1"/>
        </xdr:cNvPicPr>
      </xdr:nvPicPr>
      <xdr:blipFill>
        <a:blip r:embed="rId410" cstate="email"/>
        <a:srcRect/>
        <a:stretch>
          <a:fillRect/>
        </a:stretch>
      </xdr:blipFill>
      <xdr:spPr>
        <a:xfrm>
          <a:off x="243840" y="318329310"/>
          <a:ext cx="0"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xdr:cNvPicPr>
          <a:picLocks noChangeAspect="1" noChangeArrowheads="1"/>
        </xdr:cNvPicPr>
      </xdr:nvPicPr>
      <xdr:blipFill>
        <a:blip r:embed="rId411" cstate="email"/>
        <a:srcRect/>
        <a:stretch>
          <a:fillRect/>
        </a:stretch>
      </xdr:blipFill>
      <xdr:spPr>
        <a:xfrm>
          <a:off x="243840" y="31971170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xdr:cNvPicPr>
          <a:picLocks noChangeAspect="1" noChangeArrowheads="1"/>
        </xdr:cNvPicPr>
      </xdr:nvPicPr>
      <xdr:blipFill>
        <a:blip r:embed="rId412" cstate="print"/>
        <a:srcRect/>
        <a:stretch>
          <a:fillRect/>
        </a:stretch>
      </xdr:blipFill>
      <xdr:spPr>
        <a:xfrm>
          <a:off x="243840" y="319040510"/>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xdr:cNvPicPr>
          <a:picLocks noChangeAspect="1" noChangeArrowheads="1"/>
        </xdr:cNvPicPr>
      </xdr:nvPicPr>
      <xdr:blipFill>
        <a:blip r:embed="rId413" cstate="email"/>
        <a:srcRect/>
        <a:stretch>
          <a:fillRect/>
        </a:stretch>
      </xdr:blipFill>
      <xdr:spPr>
        <a:xfrm>
          <a:off x="243840" y="320451480"/>
          <a:ext cx="0" cy="57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xdr:cNvPicPr>
          <a:picLocks noChangeAspect="1" noChangeArrowheads="1"/>
        </xdr:cNvPicPr>
      </xdr:nvPicPr>
      <xdr:blipFill>
        <a:blip r:embed="rId414" cstate="email"/>
        <a:srcRect/>
        <a:stretch>
          <a:fillRect/>
        </a:stretch>
      </xdr:blipFill>
      <xdr:spPr>
        <a:xfrm>
          <a:off x="243840" y="32110934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xdr:cNvPicPr>
          <a:picLocks noChangeAspect="1" noChangeArrowheads="1"/>
        </xdr:cNvPicPr>
      </xdr:nvPicPr>
      <xdr:blipFill>
        <a:blip r:embed="rId415" cstate="print"/>
        <a:srcRect/>
        <a:stretch>
          <a:fillRect/>
        </a:stretch>
      </xdr:blipFill>
      <xdr:spPr>
        <a:xfrm>
          <a:off x="243840" y="321821810"/>
          <a:ext cx="0" cy="60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xdr:cNvPicPr>
          <a:picLocks noChangeAspect="1" noChangeArrowheads="1"/>
        </xdr:cNvPicPr>
      </xdr:nvPicPr>
      <xdr:blipFill>
        <a:blip r:embed="rId416" cstate="email"/>
        <a:srcRect/>
        <a:stretch>
          <a:fillRect/>
        </a:stretch>
      </xdr:blipFill>
      <xdr:spPr>
        <a:xfrm>
          <a:off x="243840" y="322520945"/>
          <a:ext cx="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xdr:cNvPicPr>
          <a:picLocks noChangeAspect="1" noChangeArrowheads="1"/>
        </xdr:cNvPicPr>
      </xdr:nvPicPr>
      <xdr:blipFill>
        <a:blip r:embed="rId417" cstate="email"/>
        <a:srcRect/>
        <a:stretch>
          <a:fillRect/>
        </a:stretch>
      </xdr:blipFill>
      <xdr:spPr>
        <a:xfrm>
          <a:off x="243840" y="323220080"/>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xdr:cNvPicPr>
          <a:picLocks noChangeAspect="1" noChangeArrowheads="1"/>
        </xdr:cNvPicPr>
      </xdr:nvPicPr>
      <xdr:blipFill>
        <a:blip r:embed="rId418" cstate="email"/>
        <a:srcRect/>
        <a:stretch>
          <a:fillRect/>
        </a:stretch>
      </xdr:blipFill>
      <xdr:spPr>
        <a:xfrm>
          <a:off x="243840" y="323919215"/>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xdr:cNvPicPr>
          <a:picLocks noChangeAspect="1" noChangeArrowheads="1"/>
        </xdr:cNvPicPr>
      </xdr:nvPicPr>
      <xdr:blipFill>
        <a:blip r:embed="rId418" cstate="email"/>
        <a:srcRect/>
        <a:stretch>
          <a:fillRect/>
        </a:stretch>
      </xdr:blipFill>
      <xdr:spPr>
        <a:xfrm>
          <a:off x="243840" y="324618350"/>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xdr:cNvPicPr>
          <a:picLocks noChangeAspect="1" noChangeArrowheads="1"/>
        </xdr:cNvPicPr>
      </xdr:nvPicPr>
      <xdr:blipFill>
        <a:blip r:embed="rId419" cstate="email"/>
        <a:srcRect/>
        <a:stretch>
          <a:fillRect/>
        </a:stretch>
      </xdr:blipFill>
      <xdr:spPr>
        <a:xfrm>
          <a:off x="243840" y="325319390"/>
          <a:ext cx="0" cy="60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xdr:cNvPicPr>
          <a:picLocks noChangeAspect="1" noChangeArrowheads="1"/>
        </xdr:cNvPicPr>
      </xdr:nvPicPr>
      <xdr:blipFill>
        <a:blip r:embed="rId420" cstate="email"/>
        <a:srcRect/>
        <a:stretch>
          <a:fillRect/>
        </a:stretch>
      </xdr:blipFill>
      <xdr:spPr>
        <a:xfrm>
          <a:off x="243840" y="326003285"/>
          <a:ext cx="0" cy="611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xdr:cNvPicPr>
          <a:picLocks noChangeAspect="1" noChangeArrowheads="1"/>
        </xdr:cNvPicPr>
      </xdr:nvPicPr>
      <xdr:blipFill>
        <a:blip r:embed="rId421" cstate="email"/>
        <a:srcRect/>
        <a:stretch>
          <a:fillRect/>
        </a:stretch>
      </xdr:blipFill>
      <xdr:spPr>
        <a:xfrm>
          <a:off x="243840" y="326712580"/>
          <a:ext cx="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xdr:cNvPicPr>
          <a:picLocks noChangeAspect="1" noChangeArrowheads="1"/>
        </xdr:cNvPicPr>
      </xdr:nvPicPr>
      <xdr:blipFill>
        <a:blip r:embed="rId422" cstate="print"/>
        <a:srcRect/>
        <a:stretch>
          <a:fillRect/>
        </a:stretch>
      </xdr:blipFill>
      <xdr:spPr>
        <a:xfrm>
          <a:off x="243840" y="327431400"/>
          <a:ext cx="0" cy="5886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xdr:cNvPicPr>
          <a:picLocks noChangeAspect="1" noChangeArrowheads="1"/>
        </xdr:cNvPicPr>
      </xdr:nvPicPr>
      <xdr:blipFill>
        <a:blip r:embed="rId423" cstate="email"/>
        <a:srcRect/>
        <a:stretch>
          <a:fillRect/>
        </a:stretch>
      </xdr:blipFill>
      <xdr:spPr>
        <a:xfrm>
          <a:off x="243840" y="328111485"/>
          <a:ext cx="0" cy="599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xdr:cNvPicPr>
          <a:picLocks noChangeAspect="1" noChangeArrowheads="1"/>
        </xdr:cNvPicPr>
      </xdr:nvPicPr>
      <xdr:blipFill>
        <a:blip r:embed="rId424" cstate="email"/>
        <a:srcRect/>
        <a:stretch>
          <a:fillRect/>
        </a:stretch>
      </xdr:blipFill>
      <xdr:spPr>
        <a:xfrm>
          <a:off x="243840" y="328832845"/>
          <a:ext cx="0" cy="576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xdr:cNvPicPr>
          <a:picLocks noChangeAspect="1" noChangeArrowheads="1"/>
        </xdr:cNvPicPr>
      </xdr:nvPicPr>
      <xdr:blipFill>
        <a:blip r:embed="rId425" cstate="email"/>
        <a:srcRect/>
        <a:stretch>
          <a:fillRect/>
        </a:stretch>
      </xdr:blipFill>
      <xdr:spPr>
        <a:xfrm>
          <a:off x="243840" y="3294894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xdr:cNvPicPr>
          <a:picLocks noChangeAspect="1" noChangeArrowheads="1"/>
        </xdr:cNvPicPr>
      </xdr:nvPicPr>
      <xdr:blipFill>
        <a:blip r:embed="rId426" cstate="email"/>
        <a:srcRect/>
        <a:stretch>
          <a:fillRect/>
        </a:stretch>
      </xdr:blipFill>
      <xdr:spPr>
        <a:xfrm>
          <a:off x="243840" y="33020063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xdr:cNvPicPr>
          <a:picLocks noChangeAspect="1" noChangeArrowheads="1"/>
        </xdr:cNvPicPr>
      </xdr:nvPicPr>
      <xdr:blipFill>
        <a:blip r:embed="rId427" cstate="print"/>
        <a:srcRect/>
        <a:stretch>
          <a:fillRect/>
        </a:stretch>
      </xdr:blipFill>
      <xdr:spPr>
        <a:xfrm>
          <a:off x="243840" y="330886435"/>
          <a:ext cx="0" cy="62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xdr:cNvPicPr>
          <a:picLocks noChangeAspect="1" noChangeArrowheads="1"/>
        </xdr:cNvPicPr>
      </xdr:nvPicPr>
      <xdr:blipFill>
        <a:blip r:embed="rId428" cstate="email"/>
        <a:srcRect/>
        <a:stretch>
          <a:fillRect/>
        </a:stretch>
      </xdr:blipFill>
      <xdr:spPr>
        <a:xfrm>
          <a:off x="243840" y="33369123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xdr:cNvPicPr>
          <a:picLocks noChangeAspect="1" noChangeArrowheads="1"/>
        </xdr:cNvPicPr>
      </xdr:nvPicPr>
      <xdr:blipFill>
        <a:blip r:embed="rId429" cstate="print"/>
        <a:srcRect/>
        <a:stretch>
          <a:fillRect/>
        </a:stretch>
      </xdr:blipFill>
      <xdr:spPr>
        <a:xfrm>
          <a:off x="243840" y="33159763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xdr:cNvPicPr>
          <a:picLocks noChangeAspect="1" noChangeArrowheads="1"/>
        </xdr:cNvPicPr>
      </xdr:nvPicPr>
      <xdr:blipFill>
        <a:blip r:embed="rId430" cstate="print"/>
        <a:srcRect/>
        <a:stretch>
          <a:fillRect/>
        </a:stretch>
      </xdr:blipFill>
      <xdr:spPr>
        <a:xfrm>
          <a:off x="243840" y="332283435"/>
          <a:ext cx="0" cy="625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xdr:cNvPicPr>
          <a:picLocks noChangeAspect="1" noChangeArrowheads="1"/>
        </xdr:cNvPicPr>
      </xdr:nvPicPr>
      <xdr:blipFill>
        <a:blip r:embed="rId430" cstate="print"/>
        <a:srcRect/>
        <a:stretch>
          <a:fillRect/>
        </a:stretch>
      </xdr:blipFill>
      <xdr:spPr>
        <a:xfrm>
          <a:off x="243840" y="332981935"/>
          <a:ext cx="0" cy="625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xdr:cNvPicPr>
          <a:picLocks noChangeAspect="1" noChangeArrowheads="1"/>
        </xdr:cNvPicPr>
      </xdr:nvPicPr>
      <xdr:blipFill>
        <a:blip r:embed="rId431" cstate="email"/>
        <a:srcRect/>
        <a:stretch>
          <a:fillRect/>
        </a:stretch>
      </xdr:blipFill>
      <xdr:spPr>
        <a:xfrm>
          <a:off x="243840" y="334403065"/>
          <a:ext cx="0" cy="598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xdr:cNvPicPr>
          <a:picLocks noChangeAspect="1" noChangeArrowheads="1"/>
        </xdr:cNvPicPr>
      </xdr:nvPicPr>
      <xdr:blipFill>
        <a:blip r:embed="rId432" cstate="print"/>
        <a:srcRect/>
        <a:stretch>
          <a:fillRect/>
        </a:stretch>
      </xdr:blipFill>
      <xdr:spPr>
        <a:xfrm>
          <a:off x="243840" y="335088865"/>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xdr:cNvPicPr>
          <a:picLocks noChangeAspect="1" noChangeArrowheads="1"/>
        </xdr:cNvPicPr>
      </xdr:nvPicPr>
      <xdr:blipFill>
        <a:blip r:embed="rId432" cstate="print"/>
        <a:srcRect/>
        <a:stretch>
          <a:fillRect/>
        </a:stretch>
      </xdr:blipFill>
      <xdr:spPr>
        <a:xfrm>
          <a:off x="243840" y="335787365"/>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xdr:cNvPicPr>
          <a:picLocks noChangeAspect="1" noChangeArrowheads="1"/>
        </xdr:cNvPicPr>
      </xdr:nvPicPr>
      <xdr:blipFill>
        <a:blip r:embed="rId433" cstate="email"/>
        <a:srcRect/>
        <a:stretch>
          <a:fillRect/>
        </a:stretch>
      </xdr:blipFill>
      <xdr:spPr>
        <a:xfrm>
          <a:off x="243840" y="336474435"/>
          <a:ext cx="0" cy="623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xdr:cNvPicPr>
          <a:picLocks noChangeAspect="1" noChangeArrowheads="1"/>
        </xdr:cNvPicPr>
      </xdr:nvPicPr>
      <xdr:blipFill>
        <a:blip r:embed="rId434" cstate="email"/>
        <a:srcRect/>
        <a:stretch>
          <a:fillRect/>
        </a:stretch>
      </xdr:blipFill>
      <xdr:spPr>
        <a:xfrm>
          <a:off x="243840" y="337185635"/>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xdr:cNvPicPr>
          <a:picLocks noChangeAspect="1" noChangeArrowheads="1"/>
        </xdr:cNvPicPr>
      </xdr:nvPicPr>
      <xdr:blipFill>
        <a:blip r:embed="rId435" cstate="print"/>
        <a:srcRect/>
        <a:stretch>
          <a:fillRect/>
        </a:stretch>
      </xdr:blipFill>
      <xdr:spPr>
        <a:xfrm>
          <a:off x="243840" y="337884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xdr:cNvPicPr>
          <a:picLocks noChangeAspect="1" noChangeArrowheads="1"/>
        </xdr:cNvPicPr>
      </xdr:nvPicPr>
      <xdr:blipFill>
        <a:blip r:embed="rId436" cstate="print"/>
        <a:srcRect/>
        <a:stretch>
          <a:fillRect/>
        </a:stretch>
      </xdr:blipFill>
      <xdr:spPr>
        <a:xfrm>
          <a:off x="243840" y="3385953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xdr:cNvPicPr>
          <a:picLocks noChangeAspect="1" noChangeArrowheads="1"/>
        </xdr:cNvPicPr>
      </xdr:nvPicPr>
      <xdr:blipFill>
        <a:blip r:embed="rId437" cstate="print"/>
        <a:srcRect/>
        <a:stretch>
          <a:fillRect/>
        </a:stretch>
      </xdr:blipFill>
      <xdr:spPr>
        <a:xfrm>
          <a:off x="243840" y="339281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xdr:cNvPicPr>
          <a:picLocks noChangeAspect="1" noChangeArrowheads="1"/>
        </xdr:cNvPicPr>
      </xdr:nvPicPr>
      <xdr:blipFill>
        <a:blip r:embed="rId438" cstate="print"/>
        <a:srcRect/>
        <a:stretch>
          <a:fillRect/>
        </a:stretch>
      </xdr:blipFill>
      <xdr:spPr>
        <a:xfrm>
          <a:off x="243840" y="3399923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xdr:cNvPicPr>
          <a:picLocks noChangeAspect="1" noChangeArrowheads="1"/>
        </xdr:cNvPicPr>
      </xdr:nvPicPr>
      <xdr:blipFill>
        <a:blip r:embed="rId439" cstate="email"/>
        <a:srcRect/>
        <a:stretch>
          <a:fillRect/>
        </a:stretch>
      </xdr:blipFill>
      <xdr:spPr>
        <a:xfrm>
          <a:off x="243840" y="3406654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xdr:cNvPicPr>
          <a:picLocks noChangeAspect="1" noChangeArrowheads="1"/>
        </xdr:cNvPicPr>
      </xdr:nvPicPr>
      <xdr:blipFill>
        <a:blip r:embed="rId440" cstate="email"/>
        <a:srcRect/>
        <a:stretch>
          <a:fillRect/>
        </a:stretch>
      </xdr:blipFill>
      <xdr:spPr>
        <a:xfrm>
          <a:off x="243840" y="341389335"/>
          <a:ext cx="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xdr:cNvPicPr>
          <a:picLocks noChangeAspect="1" noChangeArrowheads="1"/>
        </xdr:cNvPicPr>
      </xdr:nvPicPr>
      <xdr:blipFill>
        <a:blip r:embed="rId441" cstate="email"/>
        <a:srcRect/>
        <a:stretch>
          <a:fillRect/>
        </a:stretch>
      </xdr:blipFill>
      <xdr:spPr>
        <a:xfrm>
          <a:off x="243840" y="34207513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xdr:cNvPicPr>
          <a:picLocks noChangeAspect="1" noChangeArrowheads="1"/>
        </xdr:cNvPicPr>
      </xdr:nvPicPr>
      <xdr:blipFill>
        <a:blip r:embed="rId440" cstate="email"/>
        <a:srcRect/>
        <a:stretch>
          <a:fillRect/>
        </a:stretch>
      </xdr:blipFill>
      <xdr:spPr>
        <a:xfrm>
          <a:off x="243840" y="342786335"/>
          <a:ext cx="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xdr:cNvPicPr>
          <a:picLocks noChangeAspect="1" noChangeArrowheads="1"/>
        </xdr:cNvPicPr>
      </xdr:nvPicPr>
      <xdr:blipFill>
        <a:blip r:embed="rId442" cstate="print"/>
        <a:srcRect/>
        <a:stretch>
          <a:fillRect/>
        </a:stretch>
      </xdr:blipFill>
      <xdr:spPr>
        <a:xfrm>
          <a:off x="243840" y="343472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xdr:cNvPicPr>
          <a:picLocks noChangeAspect="1" noChangeArrowheads="1"/>
        </xdr:cNvPicPr>
      </xdr:nvPicPr>
      <xdr:blipFill>
        <a:blip r:embed="rId443" cstate="email"/>
        <a:srcRect/>
        <a:stretch>
          <a:fillRect/>
        </a:stretch>
      </xdr:blipFill>
      <xdr:spPr>
        <a:xfrm>
          <a:off x="243840" y="34486913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xdr:cNvPicPr>
          <a:picLocks noChangeAspect="1" noChangeArrowheads="1"/>
        </xdr:cNvPicPr>
      </xdr:nvPicPr>
      <xdr:blipFill>
        <a:blip r:embed="rId444" cstate="email"/>
        <a:srcRect/>
        <a:stretch>
          <a:fillRect/>
        </a:stretch>
      </xdr:blipFill>
      <xdr:spPr>
        <a:xfrm>
          <a:off x="243840" y="3441579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xdr:cNvPicPr>
          <a:picLocks noChangeAspect="1" noChangeArrowheads="1"/>
        </xdr:cNvPicPr>
      </xdr:nvPicPr>
      <xdr:blipFill>
        <a:blip r:embed="rId445" cstate="email"/>
        <a:srcRect/>
        <a:stretch>
          <a:fillRect/>
        </a:stretch>
      </xdr:blipFill>
      <xdr:spPr>
        <a:xfrm>
          <a:off x="243840" y="3455676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xdr:cNvPicPr>
          <a:picLocks noChangeAspect="1" noChangeArrowheads="1"/>
        </xdr:cNvPicPr>
      </xdr:nvPicPr>
      <xdr:blipFill>
        <a:blip r:embed="rId445" cstate="email"/>
        <a:srcRect/>
        <a:stretch>
          <a:fillRect/>
        </a:stretch>
      </xdr:blipFill>
      <xdr:spPr>
        <a:xfrm>
          <a:off x="243840" y="346266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xdr:cNvPicPr>
          <a:picLocks noChangeAspect="1" noChangeArrowheads="1"/>
        </xdr:cNvPicPr>
      </xdr:nvPicPr>
      <xdr:blipFill>
        <a:blip r:embed="rId445" cstate="email"/>
        <a:srcRect/>
        <a:stretch>
          <a:fillRect/>
        </a:stretch>
      </xdr:blipFill>
      <xdr:spPr>
        <a:xfrm>
          <a:off x="243840" y="3469646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xdr:cNvPicPr>
          <a:picLocks noChangeAspect="1" noChangeArrowheads="1"/>
        </xdr:cNvPicPr>
      </xdr:nvPicPr>
      <xdr:blipFill>
        <a:blip r:embed="rId446" cstate="print"/>
        <a:srcRect/>
        <a:stretch>
          <a:fillRect/>
        </a:stretch>
      </xdr:blipFill>
      <xdr:spPr>
        <a:xfrm>
          <a:off x="243840" y="3476758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xdr:cNvPicPr>
          <a:picLocks noChangeAspect="1" noChangeArrowheads="1"/>
        </xdr:cNvPicPr>
      </xdr:nvPicPr>
      <xdr:blipFill>
        <a:blip r:embed="rId447" cstate="email"/>
        <a:srcRect/>
        <a:stretch>
          <a:fillRect/>
        </a:stretch>
      </xdr:blipFill>
      <xdr:spPr>
        <a:xfrm>
          <a:off x="243840" y="348366080"/>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xdr:cNvPicPr>
          <a:picLocks noChangeAspect="1"/>
        </xdr:cNvPicPr>
      </xdr:nvPicPr>
      <xdr:blipFill>
        <a:blip r:embed="rId448" cstate="email"/>
        <a:stretch>
          <a:fillRect/>
        </a:stretch>
      </xdr:blipFill>
      <xdr:spPr>
        <a:xfrm>
          <a:off x="243840" y="349055055"/>
          <a:ext cx="0" cy="608965"/>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xdr:cNvPicPr>
          <a:picLocks noChangeAspect="1"/>
        </xdr:cNvPicPr>
      </xdr:nvPicPr>
      <xdr:blipFill>
        <a:blip r:embed="rId449" cstate="email"/>
        <a:stretch>
          <a:fillRect/>
        </a:stretch>
      </xdr:blipFill>
      <xdr:spPr>
        <a:xfrm>
          <a:off x="243840" y="349745300"/>
          <a:ext cx="0" cy="620395"/>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xdr:cNvPicPr>
          <a:picLocks noChangeAspect="1"/>
        </xdr:cNvPicPr>
      </xdr:nvPicPr>
      <xdr:blipFill>
        <a:blip r:embed="rId450" cstate="email"/>
        <a:stretch>
          <a:fillRect/>
        </a:stretch>
      </xdr:blipFill>
      <xdr:spPr>
        <a:xfrm>
          <a:off x="243840" y="350457135"/>
          <a:ext cx="0" cy="612140"/>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xdr:cNvPicPr>
          <a:picLocks noChangeAspect="1"/>
        </xdr:cNvPicPr>
      </xdr:nvPicPr>
      <xdr:blipFill>
        <a:blip r:embed="rId450" cstate="email"/>
        <a:stretch>
          <a:fillRect/>
        </a:stretch>
      </xdr:blipFill>
      <xdr:spPr>
        <a:xfrm>
          <a:off x="243840" y="351155635"/>
          <a:ext cx="0" cy="612140"/>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xdr:cNvPicPr>
          <a:picLocks noChangeAspect="1"/>
        </xdr:cNvPicPr>
      </xdr:nvPicPr>
      <xdr:blipFill>
        <a:blip r:embed="rId451" cstate="email"/>
        <a:stretch>
          <a:fillRect/>
        </a:stretch>
      </xdr:blipFill>
      <xdr:spPr>
        <a:xfrm>
          <a:off x="243840" y="351841435"/>
          <a:ext cx="0" cy="610235"/>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xdr:cNvPicPr>
          <a:picLocks noChangeAspect="1"/>
        </xdr:cNvPicPr>
      </xdr:nvPicPr>
      <xdr:blipFill>
        <a:blip r:embed="rId452" cstate="email"/>
        <a:stretch>
          <a:fillRect/>
        </a:stretch>
      </xdr:blipFill>
      <xdr:spPr>
        <a:xfrm>
          <a:off x="243840" y="353251135"/>
          <a:ext cx="0" cy="598805"/>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xdr:cNvPicPr>
          <a:picLocks noChangeAspect="1"/>
        </xdr:cNvPicPr>
      </xdr:nvPicPr>
      <xdr:blipFill>
        <a:blip r:embed="rId453" cstate="email"/>
        <a:stretch>
          <a:fillRect/>
        </a:stretch>
      </xdr:blipFill>
      <xdr:spPr>
        <a:xfrm>
          <a:off x="243840" y="352539935"/>
          <a:ext cx="0" cy="625475"/>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xdr:cNvPicPr>
          <a:picLocks noChangeAspect="1"/>
        </xdr:cNvPicPr>
      </xdr:nvPicPr>
      <xdr:blipFill>
        <a:blip r:embed="rId454" cstate="email"/>
        <a:stretch>
          <a:fillRect/>
        </a:stretch>
      </xdr:blipFill>
      <xdr:spPr>
        <a:xfrm>
          <a:off x="243840" y="353962335"/>
          <a:ext cx="0" cy="5937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xdr:cNvPicPr>
          <a:picLocks noChangeAspect="1"/>
        </xdr:cNvPicPr>
      </xdr:nvPicPr>
      <xdr:blipFill>
        <a:blip r:embed="rId454" cstate="email"/>
        <a:stretch>
          <a:fillRect/>
        </a:stretch>
      </xdr:blipFill>
      <xdr:spPr>
        <a:xfrm>
          <a:off x="243840" y="354660835"/>
          <a:ext cx="0" cy="5937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xdr:cNvPicPr>
          <a:picLocks noChangeAspect="1"/>
        </xdr:cNvPicPr>
      </xdr:nvPicPr>
      <xdr:blipFill>
        <a:blip r:embed="rId455" cstate="email"/>
        <a:stretch>
          <a:fillRect/>
        </a:stretch>
      </xdr:blipFill>
      <xdr:spPr>
        <a:xfrm>
          <a:off x="243840" y="355346635"/>
          <a:ext cx="0" cy="6064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xdr:cNvPicPr>
          <a:picLocks noChangeAspect="1"/>
        </xdr:cNvPicPr>
      </xdr:nvPicPr>
      <xdr:blipFill>
        <a:blip r:embed="rId455" cstate="email"/>
        <a:stretch>
          <a:fillRect/>
        </a:stretch>
      </xdr:blipFill>
      <xdr:spPr>
        <a:xfrm>
          <a:off x="243840" y="356045135"/>
          <a:ext cx="0" cy="60642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xdr:cNvPicPr>
          <a:picLocks noChangeAspect="1"/>
        </xdr:cNvPicPr>
      </xdr:nvPicPr>
      <xdr:blipFill>
        <a:blip r:embed="rId456" cstate="email"/>
        <a:stretch>
          <a:fillRect/>
        </a:stretch>
      </xdr:blipFill>
      <xdr:spPr>
        <a:xfrm>
          <a:off x="243840" y="356723950"/>
          <a:ext cx="0" cy="617220"/>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xdr:cNvPicPr>
          <a:picLocks noChangeAspect="1"/>
        </xdr:cNvPicPr>
      </xdr:nvPicPr>
      <xdr:blipFill>
        <a:blip r:embed="rId457" cstate="email"/>
        <a:stretch>
          <a:fillRect/>
        </a:stretch>
      </xdr:blipFill>
      <xdr:spPr>
        <a:xfrm>
          <a:off x="243840" y="357348790"/>
          <a:ext cx="0" cy="606425"/>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xdr:cNvPicPr>
          <a:picLocks noChangeAspect="1"/>
        </xdr:cNvPicPr>
      </xdr:nvPicPr>
      <xdr:blipFill>
        <a:blip r:embed="rId457" cstate="email"/>
        <a:stretch>
          <a:fillRect/>
        </a:stretch>
      </xdr:blipFill>
      <xdr:spPr>
        <a:xfrm>
          <a:off x="243840" y="358047290"/>
          <a:ext cx="0" cy="606425"/>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xdr:cNvPicPr>
          <a:picLocks noChangeAspect="1"/>
        </xdr:cNvPicPr>
      </xdr:nvPicPr>
      <xdr:blipFill>
        <a:blip r:embed="rId458" cstate="email"/>
        <a:stretch>
          <a:fillRect/>
        </a:stretch>
      </xdr:blipFill>
      <xdr:spPr>
        <a:xfrm>
          <a:off x="243840" y="358836595"/>
          <a:ext cx="0" cy="527685"/>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xdr:cNvPicPr>
          <a:picLocks noChangeAspect="1" noChangeArrowheads="1"/>
        </xdr:cNvPicPr>
      </xdr:nvPicPr>
      <xdr:blipFill>
        <a:blip r:embed="rId459" cstate="email"/>
        <a:srcRect/>
        <a:stretch>
          <a:fillRect/>
        </a:stretch>
      </xdr:blipFill>
      <xdr:spPr>
        <a:xfrm>
          <a:off x="243840" y="367233200"/>
          <a:ext cx="0" cy="594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xdr:cNvPicPr>
          <a:picLocks noChangeAspect="1" noChangeArrowheads="1"/>
        </xdr:cNvPicPr>
      </xdr:nvPicPr>
      <xdr:blipFill>
        <a:blip r:embed="rId460" cstate="email"/>
        <a:srcRect/>
        <a:stretch>
          <a:fillRect/>
        </a:stretch>
      </xdr:blipFill>
      <xdr:spPr>
        <a:xfrm>
          <a:off x="243840" y="365829215"/>
          <a:ext cx="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xdr:cNvPicPr>
          <a:picLocks noChangeAspect="1"/>
        </xdr:cNvPicPr>
      </xdr:nvPicPr>
      <xdr:blipFill>
        <a:blip r:embed="rId461" cstate="email"/>
        <a:stretch>
          <a:fillRect/>
        </a:stretch>
      </xdr:blipFill>
      <xdr:spPr>
        <a:xfrm>
          <a:off x="243840" y="369989735"/>
          <a:ext cx="0" cy="62420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xdr:cNvPicPr>
          <a:picLocks noChangeAspect="1"/>
        </xdr:cNvPicPr>
      </xdr:nvPicPr>
      <xdr:blipFill>
        <a:blip r:embed="rId462" cstate="email"/>
        <a:stretch>
          <a:fillRect/>
        </a:stretch>
      </xdr:blipFill>
      <xdr:spPr>
        <a:xfrm>
          <a:off x="243840" y="370713635"/>
          <a:ext cx="0" cy="605155"/>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xdr:cNvPicPr>
          <a:picLocks noChangeAspect="1"/>
        </xdr:cNvPicPr>
      </xdr:nvPicPr>
      <xdr:blipFill>
        <a:blip r:embed="rId463" cstate="email"/>
        <a:stretch>
          <a:fillRect/>
        </a:stretch>
      </xdr:blipFill>
      <xdr:spPr>
        <a:xfrm>
          <a:off x="243840" y="371424835"/>
          <a:ext cx="0" cy="585470"/>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xdr:cNvPicPr>
          <a:picLocks noChangeAspect="1"/>
        </xdr:cNvPicPr>
      </xdr:nvPicPr>
      <xdr:blipFill>
        <a:blip r:embed="rId464" cstate="email"/>
        <a:stretch>
          <a:fillRect/>
        </a:stretch>
      </xdr:blipFill>
      <xdr:spPr>
        <a:xfrm>
          <a:off x="243840" y="372103650"/>
          <a:ext cx="0" cy="601345"/>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xdr:cNvPicPr>
          <a:picLocks noChangeAspect="1"/>
        </xdr:cNvPicPr>
      </xdr:nvPicPr>
      <xdr:blipFill>
        <a:blip r:embed="rId465" cstate="email"/>
        <a:stretch>
          <a:fillRect/>
        </a:stretch>
      </xdr:blipFill>
      <xdr:spPr>
        <a:xfrm>
          <a:off x="243840" y="372805960"/>
          <a:ext cx="0" cy="601345"/>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xdr:cNvPicPr>
          <a:picLocks noChangeAspect="1"/>
        </xdr:cNvPicPr>
      </xdr:nvPicPr>
      <xdr:blipFill>
        <a:blip r:embed="rId466" cstate="email"/>
        <a:stretch>
          <a:fillRect/>
        </a:stretch>
      </xdr:blipFill>
      <xdr:spPr>
        <a:xfrm>
          <a:off x="243840" y="373507635"/>
          <a:ext cx="0" cy="525145"/>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xdr:cNvPicPr>
          <a:picLocks noChangeAspect="1"/>
        </xdr:cNvPicPr>
      </xdr:nvPicPr>
      <xdr:blipFill>
        <a:blip r:embed="rId467" cstate="email"/>
        <a:stretch>
          <a:fillRect/>
        </a:stretch>
      </xdr:blipFill>
      <xdr:spPr>
        <a:xfrm>
          <a:off x="243840" y="374201055"/>
          <a:ext cx="0" cy="614680"/>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xdr:cNvPicPr>
          <a:picLocks noChangeAspect="1"/>
        </xdr:cNvPicPr>
      </xdr:nvPicPr>
      <xdr:blipFill>
        <a:blip r:embed="rId468" cstate="email"/>
        <a:stretch>
          <a:fillRect/>
        </a:stretch>
      </xdr:blipFill>
      <xdr:spPr>
        <a:xfrm>
          <a:off x="243840" y="374899555"/>
          <a:ext cx="0" cy="603250"/>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xdr:cNvPicPr>
          <a:picLocks noChangeAspect="1"/>
        </xdr:cNvPicPr>
      </xdr:nvPicPr>
      <xdr:blipFill>
        <a:blip r:embed="rId469" cstate="email"/>
        <a:stretch>
          <a:fillRect/>
        </a:stretch>
      </xdr:blipFill>
      <xdr:spPr>
        <a:xfrm>
          <a:off x="243840" y="375590435"/>
          <a:ext cx="0" cy="609600"/>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xdr:cNvPicPr>
          <a:picLocks noChangeAspect="1"/>
        </xdr:cNvPicPr>
      </xdr:nvPicPr>
      <xdr:blipFill>
        <a:blip r:embed="rId469" cstate="email"/>
        <a:stretch>
          <a:fillRect/>
        </a:stretch>
      </xdr:blipFill>
      <xdr:spPr>
        <a:xfrm>
          <a:off x="243840" y="376987435"/>
          <a:ext cx="0" cy="609600"/>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xdr:cNvPicPr>
          <a:picLocks noChangeAspect="1"/>
        </xdr:cNvPicPr>
      </xdr:nvPicPr>
      <xdr:blipFill>
        <a:blip r:embed="rId470" cstate="email"/>
        <a:stretch>
          <a:fillRect/>
        </a:stretch>
      </xdr:blipFill>
      <xdr:spPr>
        <a:xfrm>
          <a:off x="243840" y="377673235"/>
          <a:ext cx="0" cy="549275"/>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xdr:cNvPicPr>
          <a:picLocks noChangeAspect="1"/>
        </xdr:cNvPicPr>
      </xdr:nvPicPr>
      <xdr:blipFill>
        <a:blip r:embed="rId471" cstate="email"/>
        <a:stretch>
          <a:fillRect/>
        </a:stretch>
      </xdr:blipFill>
      <xdr:spPr>
        <a:xfrm>
          <a:off x="243840" y="378397135"/>
          <a:ext cx="0" cy="593725"/>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xdr:cNvPicPr>
          <a:picLocks noChangeAspect="1"/>
        </xdr:cNvPicPr>
      </xdr:nvPicPr>
      <xdr:blipFill>
        <a:blip r:embed="rId472" cstate="email"/>
        <a:stretch>
          <a:fillRect/>
        </a:stretch>
      </xdr:blipFill>
      <xdr:spPr>
        <a:xfrm>
          <a:off x="243840" y="379794135"/>
          <a:ext cx="0" cy="596900"/>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xdr:cNvPicPr>
          <a:picLocks noChangeAspect="1"/>
        </xdr:cNvPicPr>
      </xdr:nvPicPr>
      <xdr:blipFill>
        <a:blip r:embed="rId473" cstate="email"/>
        <a:stretch>
          <a:fillRect/>
        </a:stretch>
      </xdr:blipFill>
      <xdr:spPr>
        <a:xfrm>
          <a:off x="243840" y="379095635"/>
          <a:ext cx="0" cy="593725"/>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xdr:cNvPicPr>
          <a:picLocks noChangeAspect="1"/>
        </xdr:cNvPicPr>
      </xdr:nvPicPr>
      <xdr:blipFill>
        <a:blip r:embed="rId472" cstate="email"/>
        <a:stretch>
          <a:fillRect/>
        </a:stretch>
      </xdr:blipFill>
      <xdr:spPr>
        <a:xfrm>
          <a:off x="243840" y="380492635"/>
          <a:ext cx="0" cy="596900"/>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xdr:cNvPicPr>
          <a:picLocks noChangeAspect="1"/>
        </xdr:cNvPicPr>
      </xdr:nvPicPr>
      <xdr:blipFill>
        <a:blip r:embed="rId474" cstate="email"/>
        <a:stretch>
          <a:fillRect/>
        </a:stretch>
      </xdr:blipFill>
      <xdr:spPr>
        <a:xfrm>
          <a:off x="243840" y="381163830"/>
          <a:ext cx="0" cy="684530"/>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xdr:cNvPicPr>
          <a:picLocks noChangeAspect="1"/>
        </xdr:cNvPicPr>
      </xdr:nvPicPr>
      <xdr:blipFill>
        <a:blip r:embed="rId475" cstate="email"/>
        <a:stretch>
          <a:fillRect/>
        </a:stretch>
      </xdr:blipFill>
      <xdr:spPr>
        <a:xfrm>
          <a:off x="243840" y="381902335"/>
          <a:ext cx="0" cy="603250"/>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xdr:cNvPicPr>
          <a:picLocks noChangeAspect="1"/>
        </xdr:cNvPicPr>
      </xdr:nvPicPr>
      <xdr:blipFill>
        <a:blip r:embed="rId476" cstate="email"/>
        <a:stretch>
          <a:fillRect/>
        </a:stretch>
      </xdr:blipFill>
      <xdr:spPr>
        <a:xfrm>
          <a:off x="243840" y="365129445"/>
          <a:ext cx="0" cy="596900"/>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xdr:cNvPicPr>
          <a:picLocks noChangeAspect="1"/>
        </xdr:cNvPicPr>
      </xdr:nvPicPr>
      <xdr:blipFill>
        <a:blip r:embed="rId477" cstate="email"/>
        <a:stretch>
          <a:fillRect/>
        </a:stretch>
      </xdr:blipFill>
      <xdr:spPr>
        <a:xfrm>
          <a:off x="220345" y="364430945"/>
          <a:ext cx="23495" cy="605155"/>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xdr:cNvPicPr>
          <a:picLocks noChangeAspect="1"/>
        </xdr:cNvPicPr>
      </xdr:nvPicPr>
      <xdr:blipFill>
        <a:blip r:embed="rId478" cstate="email"/>
        <a:stretch>
          <a:fillRect/>
        </a:stretch>
      </xdr:blipFill>
      <xdr:spPr>
        <a:xfrm>
          <a:off x="243840" y="382588135"/>
          <a:ext cx="0" cy="595630"/>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xdr:cNvPicPr>
          <a:picLocks noChangeAspect="1"/>
        </xdr:cNvPicPr>
      </xdr:nvPicPr>
      <xdr:blipFill>
        <a:blip r:embed="rId479" cstate="email"/>
        <a:stretch>
          <a:fillRect/>
        </a:stretch>
      </xdr:blipFill>
      <xdr:spPr>
        <a:xfrm>
          <a:off x="243840" y="384683635"/>
          <a:ext cx="0" cy="596900"/>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xdr:cNvPicPr>
          <a:picLocks noChangeAspect="1"/>
        </xdr:cNvPicPr>
      </xdr:nvPicPr>
      <xdr:blipFill>
        <a:blip r:embed="rId478" cstate="email"/>
        <a:stretch>
          <a:fillRect/>
        </a:stretch>
      </xdr:blipFill>
      <xdr:spPr>
        <a:xfrm>
          <a:off x="243840" y="383286635"/>
          <a:ext cx="0" cy="595630"/>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xdr:cNvPicPr>
          <a:picLocks noChangeAspect="1"/>
        </xdr:cNvPicPr>
      </xdr:nvPicPr>
      <xdr:blipFill>
        <a:blip r:embed="rId480" cstate="email"/>
        <a:stretch>
          <a:fillRect/>
        </a:stretch>
      </xdr:blipFill>
      <xdr:spPr>
        <a:xfrm>
          <a:off x="243840" y="383972435"/>
          <a:ext cx="0" cy="535305"/>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xdr:cNvPicPr>
          <a:picLocks noChangeAspect="1"/>
        </xdr:cNvPicPr>
      </xdr:nvPicPr>
      <xdr:blipFill>
        <a:blip r:embed="rId479" cstate="email"/>
        <a:stretch>
          <a:fillRect/>
        </a:stretch>
      </xdr:blipFill>
      <xdr:spPr>
        <a:xfrm>
          <a:off x="243840" y="385382135"/>
          <a:ext cx="0" cy="596900"/>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xdr:cNvPicPr>
          <a:picLocks noChangeAspect="1"/>
        </xdr:cNvPicPr>
      </xdr:nvPicPr>
      <xdr:blipFill>
        <a:blip r:embed="rId481" cstate="email"/>
        <a:stretch>
          <a:fillRect/>
        </a:stretch>
      </xdr:blipFill>
      <xdr:spPr>
        <a:xfrm>
          <a:off x="205740" y="363740065"/>
          <a:ext cx="38100" cy="513715"/>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xdr:cNvPicPr>
          <a:picLocks noChangeAspect="1"/>
        </xdr:cNvPicPr>
      </xdr:nvPicPr>
      <xdr:blipFill>
        <a:blip r:embed="rId482" cstate="email"/>
        <a:stretch>
          <a:fillRect/>
        </a:stretch>
      </xdr:blipFill>
      <xdr:spPr>
        <a:xfrm>
          <a:off x="234950" y="363056170"/>
          <a:ext cx="8890" cy="570865"/>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xdr:cNvPicPr>
          <a:picLocks noChangeAspect="1"/>
        </xdr:cNvPicPr>
      </xdr:nvPicPr>
      <xdr:blipFill>
        <a:blip r:embed="rId483" cstate="email"/>
        <a:stretch>
          <a:fillRect/>
        </a:stretch>
      </xdr:blipFill>
      <xdr:spPr>
        <a:xfrm>
          <a:off x="243840" y="386093335"/>
          <a:ext cx="0" cy="49085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xdr:cNvPicPr>
          <a:picLocks noChangeAspect="1"/>
        </xdr:cNvPicPr>
      </xdr:nvPicPr>
      <xdr:blipFill>
        <a:blip r:embed="rId484" cstate="email"/>
        <a:stretch>
          <a:fillRect/>
        </a:stretch>
      </xdr:blipFill>
      <xdr:spPr>
        <a:xfrm>
          <a:off x="243840" y="388176135"/>
          <a:ext cx="0" cy="596900"/>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xdr:cNvPicPr>
          <a:picLocks noChangeAspect="1"/>
        </xdr:cNvPicPr>
      </xdr:nvPicPr>
      <xdr:blipFill>
        <a:blip r:embed="rId485" cstate="email"/>
        <a:stretch>
          <a:fillRect/>
        </a:stretch>
      </xdr:blipFill>
      <xdr:spPr>
        <a:xfrm>
          <a:off x="243840" y="387477635"/>
          <a:ext cx="0" cy="60325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xdr:cNvPicPr>
          <a:picLocks noChangeAspect="1"/>
        </xdr:cNvPicPr>
      </xdr:nvPicPr>
      <xdr:blipFill>
        <a:blip r:embed="rId486" cstate="email"/>
        <a:stretch>
          <a:fillRect/>
        </a:stretch>
      </xdr:blipFill>
      <xdr:spPr>
        <a:xfrm>
          <a:off x="243840" y="367927255"/>
          <a:ext cx="0" cy="585470"/>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xdr:cNvPicPr>
          <a:picLocks noChangeAspect="1"/>
        </xdr:cNvPicPr>
      </xdr:nvPicPr>
      <xdr:blipFill>
        <a:blip r:embed="rId486" cstate="email"/>
        <a:stretch>
          <a:fillRect/>
        </a:stretch>
      </xdr:blipFill>
      <xdr:spPr>
        <a:xfrm>
          <a:off x="243840" y="368632740"/>
          <a:ext cx="0" cy="585470"/>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xdr:cNvPicPr>
          <a:picLocks noChangeAspect="1"/>
        </xdr:cNvPicPr>
      </xdr:nvPicPr>
      <xdr:blipFill>
        <a:blip r:embed="rId484" cstate="email"/>
        <a:stretch>
          <a:fillRect/>
        </a:stretch>
      </xdr:blipFill>
      <xdr:spPr>
        <a:xfrm>
          <a:off x="243840" y="388874635"/>
          <a:ext cx="0" cy="596900"/>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xdr:cNvPicPr>
          <a:picLocks noChangeAspect="1"/>
        </xdr:cNvPicPr>
      </xdr:nvPicPr>
      <xdr:blipFill>
        <a:blip r:embed="rId487" cstate="email"/>
        <a:stretch>
          <a:fillRect/>
        </a:stretch>
      </xdr:blipFill>
      <xdr:spPr>
        <a:xfrm>
          <a:off x="243840" y="386779135"/>
          <a:ext cx="0" cy="619760"/>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xdr:cNvPicPr>
          <a:picLocks noChangeAspect="1"/>
        </xdr:cNvPicPr>
      </xdr:nvPicPr>
      <xdr:blipFill>
        <a:blip r:embed="rId488" cstate="email"/>
        <a:stretch>
          <a:fillRect/>
        </a:stretch>
      </xdr:blipFill>
      <xdr:spPr>
        <a:xfrm>
          <a:off x="243840" y="359535095"/>
          <a:ext cx="0" cy="603885"/>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xdr:cNvPicPr>
          <a:picLocks noChangeAspect="1"/>
        </xdr:cNvPicPr>
      </xdr:nvPicPr>
      <xdr:blipFill>
        <a:blip r:embed="rId489" cstate="email"/>
        <a:stretch>
          <a:fillRect/>
        </a:stretch>
      </xdr:blipFill>
      <xdr:spPr>
        <a:xfrm>
          <a:off x="243840" y="360233595"/>
          <a:ext cx="0" cy="521335"/>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xdr:cNvPicPr>
          <a:picLocks noChangeAspect="1"/>
        </xdr:cNvPicPr>
      </xdr:nvPicPr>
      <xdr:blipFill>
        <a:blip r:embed="rId490" cstate="email"/>
        <a:stretch>
          <a:fillRect/>
        </a:stretch>
      </xdr:blipFill>
      <xdr:spPr>
        <a:xfrm>
          <a:off x="243840" y="389566785"/>
          <a:ext cx="0" cy="597535"/>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xdr:cNvPicPr>
          <a:picLocks noChangeAspect="1"/>
        </xdr:cNvPicPr>
      </xdr:nvPicPr>
      <xdr:blipFill>
        <a:blip r:embed="rId491" cstate="email"/>
        <a:stretch>
          <a:fillRect/>
        </a:stretch>
      </xdr:blipFill>
      <xdr:spPr>
        <a:xfrm>
          <a:off x="243840" y="390307195"/>
          <a:ext cx="0" cy="530225"/>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xdr:cNvPicPr>
          <a:picLocks noChangeAspect="1"/>
        </xdr:cNvPicPr>
      </xdr:nvPicPr>
      <xdr:blipFill>
        <a:blip r:embed="rId492" cstate="email"/>
        <a:stretch>
          <a:fillRect/>
        </a:stretch>
      </xdr:blipFill>
      <xdr:spPr>
        <a:xfrm>
          <a:off x="145415" y="361626150"/>
          <a:ext cx="98425" cy="611505"/>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xdr:cNvPicPr>
          <a:picLocks noChangeAspect="1"/>
        </xdr:cNvPicPr>
      </xdr:nvPicPr>
      <xdr:blipFill>
        <a:blip r:embed="rId493" cstate="email"/>
        <a:stretch>
          <a:fillRect/>
        </a:stretch>
      </xdr:blipFill>
      <xdr:spPr>
        <a:xfrm>
          <a:off x="243840" y="392342370"/>
          <a:ext cx="0" cy="678815"/>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xdr:cNvPicPr>
          <a:picLocks noChangeAspect="1"/>
        </xdr:cNvPicPr>
      </xdr:nvPicPr>
      <xdr:blipFill>
        <a:blip r:embed="rId494" cstate="email"/>
        <a:stretch>
          <a:fillRect/>
        </a:stretch>
      </xdr:blipFill>
      <xdr:spPr>
        <a:xfrm>
          <a:off x="243840" y="391643870"/>
          <a:ext cx="0" cy="680720"/>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xdr:cNvPicPr>
          <a:picLocks noChangeAspect="1"/>
        </xdr:cNvPicPr>
      </xdr:nvPicPr>
      <xdr:blipFill>
        <a:blip r:embed="rId495" cstate="email"/>
        <a:stretch>
          <a:fillRect/>
        </a:stretch>
      </xdr:blipFill>
      <xdr:spPr>
        <a:xfrm>
          <a:off x="243840" y="395163040"/>
          <a:ext cx="0" cy="554990"/>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xdr:cNvPicPr>
          <a:picLocks noChangeAspect="1"/>
        </xdr:cNvPicPr>
      </xdr:nvPicPr>
      <xdr:blipFill>
        <a:blip r:embed="rId496" cstate="email"/>
        <a:stretch>
          <a:fillRect/>
        </a:stretch>
      </xdr:blipFill>
      <xdr:spPr>
        <a:xfrm>
          <a:off x="233680" y="395922500"/>
          <a:ext cx="10160" cy="565150"/>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xdr:cNvPicPr>
          <a:picLocks noChangeAspect="1"/>
        </xdr:cNvPicPr>
      </xdr:nvPicPr>
      <xdr:blipFill>
        <a:blip r:embed="rId497" cstate="email"/>
        <a:stretch>
          <a:fillRect/>
        </a:stretch>
      </xdr:blipFill>
      <xdr:spPr>
        <a:xfrm>
          <a:off x="227330" y="393058015"/>
          <a:ext cx="16510" cy="667385"/>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xdr:cNvPicPr>
          <a:picLocks noChangeAspect="1"/>
        </xdr:cNvPicPr>
      </xdr:nvPicPr>
      <xdr:blipFill>
        <a:blip r:embed="rId498" cstate="email"/>
        <a:stretch>
          <a:fillRect/>
        </a:stretch>
      </xdr:blipFill>
      <xdr:spPr>
        <a:xfrm>
          <a:off x="222885" y="394442950"/>
          <a:ext cx="20955" cy="582295"/>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xdr:cNvPicPr>
          <a:picLocks noChangeAspect="1"/>
        </xdr:cNvPicPr>
      </xdr:nvPicPr>
      <xdr:blipFill>
        <a:blip r:embed="rId499" cstate="email"/>
        <a:stretch>
          <a:fillRect/>
        </a:stretch>
      </xdr:blipFill>
      <xdr:spPr>
        <a:xfrm>
          <a:off x="238760" y="393793345"/>
          <a:ext cx="5080" cy="582930"/>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xdr:cNvPicPr>
          <a:picLocks noChangeAspect="1"/>
        </xdr:cNvPicPr>
      </xdr:nvPicPr>
      <xdr:blipFill>
        <a:blip r:embed="rId500" cstate="email"/>
        <a:stretch>
          <a:fillRect/>
        </a:stretch>
      </xdr:blipFill>
      <xdr:spPr>
        <a:xfrm>
          <a:off x="195580" y="362334810"/>
          <a:ext cx="48260" cy="594995"/>
        </a:xfrm>
        <a:prstGeom prst="rect">
          <a:avLst/>
        </a:prstGeom>
      </xdr:spPr>
    </xdr:pic>
    <xdr:clientData/>
  </xdr:twoCellAnchor>
  <xdr:twoCellAnchor editAs="oneCell">
    <xdr:from>
      <xdr:col>0</xdr:col>
      <xdr:colOff>800100</xdr:colOff>
      <xdr:row>631</xdr:row>
      <xdr:rowOff>215900</xdr:rowOff>
    </xdr:from>
    <xdr:to>
      <xdr:col>2</xdr:col>
      <xdr:colOff>0</xdr:colOff>
      <xdr:row>662</xdr:row>
      <xdr:rowOff>144245</xdr:rowOff>
    </xdr:to>
    <xdr:sp>
      <xdr:nvSpPr>
        <xdr:cNvPr id="613" name="AutoShape 2485"/>
        <xdr:cNvSpPr>
          <a:spLocks noChangeAspect="1" noChangeArrowheads="1"/>
        </xdr:cNvSpPr>
      </xdr:nvSpPr>
      <xdr:spPr>
        <a:xfrm>
          <a:off x="121920" y="440740800"/>
          <a:ext cx="12192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xdr:cNvPicPr>
          <a:picLocks noChangeAspect="1"/>
        </xdr:cNvPicPr>
      </xdr:nvPicPr>
      <xdr:blipFill>
        <a:blip r:embed="rId501" cstate="email"/>
        <a:stretch>
          <a:fillRect/>
        </a:stretch>
      </xdr:blipFill>
      <xdr:spPr>
        <a:xfrm>
          <a:off x="243840" y="549510585"/>
          <a:ext cx="0" cy="688340"/>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xdr:cNvPicPr>
          <a:picLocks noChangeAspect="1"/>
        </xdr:cNvPicPr>
      </xdr:nvPicPr>
      <xdr:blipFill>
        <a:blip r:embed="rId502" cstate="email"/>
        <a:stretch>
          <a:fillRect/>
        </a:stretch>
      </xdr:blipFill>
      <xdr:spPr>
        <a:xfrm>
          <a:off x="243840" y="544601400"/>
          <a:ext cx="0" cy="71120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xdr:cNvPicPr>
          <a:picLocks noChangeAspect="1"/>
        </xdr:cNvPicPr>
      </xdr:nvPicPr>
      <xdr:blipFill>
        <a:blip r:embed="rId503" cstate="email"/>
        <a:stretch>
          <a:fillRect/>
        </a:stretch>
      </xdr:blipFill>
      <xdr:spPr>
        <a:xfrm>
          <a:off x="243840" y="550261155"/>
          <a:ext cx="0" cy="600710"/>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xdr:cNvPicPr>
          <a:picLocks noChangeAspect="1"/>
        </xdr:cNvPicPr>
      </xdr:nvPicPr>
      <xdr:blipFill>
        <a:blip r:embed="rId503" cstate="email"/>
        <a:stretch>
          <a:fillRect/>
        </a:stretch>
      </xdr:blipFill>
      <xdr:spPr>
        <a:xfrm>
          <a:off x="243840" y="550960290"/>
          <a:ext cx="0" cy="600710"/>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xdr:cNvPicPr>
          <a:picLocks noChangeAspect="1"/>
        </xdr:cNvPicPr>
      </xdr:nvPicPr>
      <xdr:blipFill>
        <a:blip r:embed="rId504" cstate="email"/>
        <a:stretch>
          <a:fillRect/>
        </a:stretch>
      </xdr:blipFill>
      <xdr:spPr>
        <a:xfrm>
          <a:off x="228600" y="546048565"/>
          <a:ext cx="15240" cy="625475"/>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xdr:cNvPicPr>
          <a:picLocks noChangeAspect="1"/>
        </xdr:cNvPicPr>
      </xdr:nvPicPr>
      <xdr:blipFill>
        <a:blip r:embed="rId505" cstate="email"/>
        <a:stretch>
          <a:fillRect/>
        </a:stretch>
      </xdr:blipFill>
      <xdr:spPr>
        <a:xfrm>
          <a:off x="243840" y="546766115"/>
          <a:ext cx="0" cy="591185"/>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xdr:cNvPicPr>
          <a:picLocks noChangeAspect="1"/>
        </xdr:cNvPicPr>
      </xdr:nvPicPr>
      <xdr:blipFill>
        <a:blip r:embed="rId506" cstate="email"/>
        <a:stretch>
          <a:fillRect/>
        </a:stretch>
      </xdr:blipFill>
      <xdr:spPr>
        <a:xfrm>
          <a:off x="243840" y="547423340"/>
          <a:ext cx="0" cy="592455"/>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xdr:cNvPicPr>
          <a:picLocks noChangeAspect="1"/>
        </xdr:cNvPicPr>
      </xdr:nvPicPr>
      <xdr:blipFill>
        <a:blip r:embed="rId507" cstate="email"/>
        <a:stretch>
          <a:fillRect/>
        </a:stretch>
      </xdr:blipFill>
      <xdr:spPr>
        <a:xfrm>
          <a:off x="243840" y="548177085"/>
          <a:ext cx="0" cy="592455"/>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xdr:cNvPicPr>
          <a:picLocks noChangeAspect="1"/>
        </xdr:cNvPicPr>
      </xdr:nvPicPr>
      <xdr:blipFill>
        <a:blip r:embed="rId508" cstate="email"/>
        <a:stretch>
          <a:fillRect/>
        </a:stretch>
      </xdr:blipFill>
      <xdr:spPr>
        <a:xfrm>
          <a:off x="243840" y="560700555"/>
          <a:ext cx="0" cy="608330"/>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xdr:cNvPicPr>
          <a:picLocks noChangeAspect="1"/>
        </xdr:cNvPicPr>
      </xdr:nvPicPr>
      <xdr:blipFill>
        <a:blip r:embed="rId509" cstate="email"/>
        <a:stretch>
          <a:fillRect/>
        </a:stretch>
      </xdr:blipFill>
      <xdr:spPr>
        <a:xfrm>
          <a:off x="243840" y="561381910"/>
          <a:ext cx="0" cy="701675"/>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xdr:cNvPicPr>
          <a:picLocks noChangeAspect="1"/>
        </xdr:cNvPicPr>
      </xdr:nvPicPr>
      <xdr:blipFill>
        <a:blip r:embed="rId510" cstate="email"/>
        <a:stretch>
          <a:fillRect/>
        </a:stretch>
      </xdr:blipFill>
      <xdr:spPr>
        <a:xfrm>
          <a:off x="243840" y="562063900"/>
          <a:ext cx="0" cy="701040"/>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xdr:cNvPicPr>
          <a:picLocks noChangeAspect="1"/>
        </xdr:cNvPicPr>
      </xdr:nvPicPr>
      <xdr:blipFill>
        <a:blip r:embed="rId510" cstate="email"/>
        <a:stretch>
          <a:fillRect/>
        </a:stretch>
      </xdr:blipFill>
      <xdr:spPr>
        <a:xfrm>
          <a:off x="243840" y="562762400"/>
          <a:ext cx="0" cy="701040"/>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xdr:cNvPicPr>
          <a:picLocks noChangeAspect="1"/>
        </xdr:cNvPicPr>
      </xdr:nvPicPr>
      <xdr:blipFill>
        <a:blip r:embed="rId511" cstate="email"/>
        <a:stretch>
          <a:fillRect/>
        </a:stretch>
      </xdr:blipFill>
      <xdr:spPr>
        <a:xfrm>
          <a:off x="223520" y="563477410"/>
          <a:ext cx="20320" cy="68707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xdr:cNvPicPr>
          <a:picLocks noChangeAspect="1"/>
        </xdr:cNvPicPr>
      </xdr:nvPicPr>
      <xdr:blipFill>
        <a:blip r:embed="rId512" cstate="email"/>
        <a:stretch>
          <a:fillRect/>
        </a:stretch>
      </xdr:blipFill>
      <xdr:spPr>
        <a:xfrm>
          <a:off x="240030" y="564104155"/>
          <a:ext cx="3810" cy="68707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xdr:cNvPicPr>
          <a:picLocks noChangeAspect="1"/>
        </xdr:cNvPicPr>
      </xdr:nvPicPr>
      <xdr:blipFill>
        <a:blip r:embed="rId513" cstate="email"/>
        <a:stretch>
          <a:fillRect/>
        </a:stretch>
      </xdr:blipFill>
      <xdr:spPr>
        <a:xfrm>
          <a:off x="240030" y="564878855"/>
          <a:ext cx="3810" cy="616585"/>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xdr:cNvPicPr>
          <a:picLocks noChangeAspect="1"/>
        </xdr:cNvPicPr>
      </xdr:nvPicPr>
      <xdr:blipFill>
        <a:blip r:embed="rId514" cstate="email"/>
        <a:stretch>
          <a:fillRect/>
        </a:stretch>
      </xdr:blipFill>
      <xdr:spPr>
        <a:xfrm>
          <a:off x="243840" y="565590055"/>
          <a:ext cx="0" cy="664845"/>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xdr:cNvPicPr>
          <a:picLocks noChangeAspect="1"/>
        </xdr:cNvPicPr>
      </xdr:nvPicPr>
      <xdr:blipFill>
        <a:blip r:embed="rId515" cstate="email"/>
        <a:stretch>
          <a:fillRect/>
        </a:stretch>
      </xdr:blipFill>
      <xdr:spPr>
        <a:xfrm>
          <a:off x="243840" y="566271410"/>
          <a:ext cx="0"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xdr:cNvPicPr>
          <a:picLocks noChangeAspect="1"/>
        </xdr:cNvPicPr>
      </xdr:nvPicPr>
      <xdr:blipFill>
        <a:blip r:embed="rId516" cstate="email"/>
        <a:stretch>
          <a:fillRect/>
        </a:stretch>
      </xdr:blipFill>
      <xdr:spPr>
        <a:xfrm>
          <a:off x="243840" y="566987055"/>
          <a:ext cx="0" cy="664845"/>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xdr:cNvPicPr>
          <a:picLocks noChangeAspect="1"/>
        </xdr:cNvPicPr>
      </xdr:nvPicPr>
      <xdr:blipFill>
        <a:blip r:embed="rId517" cstate="email"/>
        <a:stretch>
          <a:fillRect/>
        </a:stretch>
      </xdr:blipFill>
      <xdr:spPr>
        <a:xfrm>
          <a:off x="243840" y="567668410"/>
          <a:ext cx="0"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xdr:cNvPicPr>
          <a:picLocks noChangeAspect="1"/>
        </xdr:cNvPicPr>
      </xdr:nvPicPr>
      <xdr:blipFill>
        <a:blip r:embed="rId517" cstate="email"/>
        <a:stretch>
          <a:fillRect/>
        </a:stretch>
      </xdr:blipFill>
      <xdr:spPr>
        <a:xfrm>
          <a:off x="243840" y="568405645"/>
          <a:ext cx="0" cy="612775"/>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xdr:cNvPicPr>
          <a:picLocks noChangeAspect="1"/>
        </xdr:cNvPicPr>
      </xdr:nvPicPr>
      <xdr:blipFill>
        <a:blip r:embed="rId518" cstate="email"/>
        <a:stretch>
          <a:fillRect/>
        </a:stretch>
      </xdr:blipFill>
      <xdr:spPr>
        <a:xfrm>
          <a:off x="243840" y="569065410"/>
          <a:ext cx="0" cy="623570"/>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xdr:cNvPicPr>
          <a:picLocks noChangeAspect="1"/>
        </xdr:cNvPicPr>
      </xdr:nvPicPr>
      <xdr:blipFill>
        <a:blip r:embed="rId519" cstate="email"/>
        <a:stretch>
          <a:fillRect/>
        </a:stretch>
      </xdr:blipFill>
      <xdr:spPr>
        <a:xfrm>
          <a:off x="243840" y="569767085"/>
          <a:ext cx="0" cy="600075"/>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xdr:cNvPicPr>
          <a:picLocks noChangeAspect="1"/>
        </xdr:cNvPicPr>
      </xdr:nvPicPr>
      <xdr:blipFill>
        <a:blip r:embed="rId519" cstate="email"/>
        <a:stretch>
          <a:fillRect/>
        </a:stretch>
      </xdr:blipFill>
      <xdr:spPr>
        <a:xfrm>
          <a:off x="243840" y="570482095"/>
          <a:ext cx="0" cy="600710"/>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xdr:cNvPicPr>
          <a:picLocks noChangeAspect="1"/>
        </xdr:cNvPicPr>
      </xdr:nvPicPr>
      <xdr:blipFill>
        <a:blip r:embed="rId519" cstate="email"/>
        <a:stretch>
          <a:fillRect/>
        </a:stretch>
      </xdr:blipFill>
      <xdr:spPr>
        <a:xfrm>
          <a:off x="243840" y="571164085"/>
          <a:ext cx="0" cy="600075"/>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xdr:cNvPicPr>
          <a:picLocks noChangeAspect="1"/>
        </xdr:cNvPicPr>
      </xdr:nvPicPr>
      <xdr:blipFill>
        <a:blip r:embed="rId520" cstate="email"/>
        <a:stretch>
          <a:fillRect/>
        </a:stretch>
      </xdr:blipFill>
      <xdr:spPr>
        <a:xfrm>
          <a:off x="243840" y="571873380"/>
          <a:ext cx="0" cy="631825"/>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xdr:cNvPicPr>
          <a:picLocks noChangeAspect="1"/>
        </xdr:cNvPicPr>
      </xdr:nvPicPr>
      <xdr:blipFill>
        <a:blip r:embed="rId521" cstate="email"/>
        <a:stretch>
          <a:fillRect/>
        </a:stretch>
      </xdr:blipFill>
      <xdr:spPr>
        <a:xfrm>
          <a:off x="243840" y="572582675"/>
          <a:ext cx="0" cy="626745"/>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xdr:cNvPicPr>
          <a:picLocks noChangeAspect="1"/>
        </xdr:cNvPicPr>
      </xdr:nvPicPr>
      <xdr:blipFill>
        <a:blip r:embed="rId522" cstate="email"/>
        <a:stretch>
          <a:fillRect/>
        </a:stretch>
      </xdr:blipFill>
      <xdr:spPr>
        <a:xfrm>
          <a:off x="243840" y="573273555"/>
          <a:ext cx="0" cy="664845"/>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xdr:cNvPicPr>
          <a:picLocks noChangeAspect="1"/>
        </xdr:cNvPicPr>
      </xdr:nvPicPr>
      <xdr:blipFill>
        <a:blip r:embed="rId522" cstate="email"/>
        <a:stretch>
          <a:fillRect/>
        </a:stretch>
      </xdr:blipFill>
      <xdr:spPr>
        <a:xfrm>
          <a:off x="243840" y="573951100"/>
          <a:ext cx="0" cy="663575"/>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xdr:cNvPicPr>
          <a:picLocks noChangeAspect="1"/>
        </xdr:cNvPicPr>
      </xdr:nvPicPr>
      <xdr:blipFill>
        <a:blip r:embed="rId522" cstate="email"/>
        <a:stretch>
          <a:fillRect/>
        </a:stretch>
      </xdr:blipFill>
      <xdr:spPr>
        <a:xfrm>
          <a:off x="243840" y="574659760"/>
          <a:ext cx="0" cy="66357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xdr:cNvPicPr>
          <a:picLocks noChangeAspect="1"/>
        </xdr:cNvPicPr>
      </xdr:nvPicPr>
      <xdr:blipFill>
        <a:blip r:embed="rId523" cstate="email"/>
        <a:stretch>
          <a:fillRect/>
        </a:stretch>
      </xdr:blipFill>
      <xdr:spPr>
        <a:xfrm>
          <a:off x="243840" y="575386835"/>
          <a:ext cx="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xdr:cNvPicPr>
          <a:picLocks noChangeAspect="1"/>
        </xdr:cNvPicPr>
      </xdr:nvPicPr>
      <xdr:blipFill>
        <a:blip r:embed="rId524" cstate="email"/>
        <a:stretch>
          <a:fillRect/>
        </a:stretch>
      </xdr:blipFill>
      <xdr:spPr>
        <a:xfrm>
          <a:off x="243840" y="576050410"/>
          <a:ext cx="0" cy="682625"/>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xdr:cNvPicPr>
          <a:picLocks noChangeAspect="1"/>
        </xdr:cNvPicPr>
      </xdr:nvPicPr>
      <xdr:blipFill>
        <a:blip r:embed="rId524" cstate="email"/>
        <a:stretch>
          <a:fillRect/>
        </a:stretch>
      </xdr:blipFill>
      <xdr:spPr>
        <a:xfrm>
          <a:off x="243840" y="576766055"/>
          <a:ext cx="0" cy="681990"/>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xdr:cNvPicPr>
          <a:picLocks noChangeAspect="1"/>
        </xdr:cNvPicPr>
      </xdr:nvPicPr>
      <xdr:blipFill>
        <a:blip r:embed="rId525" cstate="email"/>
        <a:stretch>
          <a:fillRect/>
        </a:stretch>
      </xdr:blipFill>
      <xdr:spPr>
        <a:xfrm>
          <a:off x="243840" y="577481700"/>
          <a:ext cx="0" cy="650240"/>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xdr:cNvPicPr>
          <a:picLocks noChangeAspect="1"/>
        </xdr:cNvPicPr>
      </xdr:nvPicPr>
      <xdr:blipFill>
        <a:blip r:embed="rId526" cstate="email"/>
        <a:stretch>
          <a:fillRect/>
        </a:stretch>
      </xdr:blipFill>
      <xdr:spPr>
        <a:xfrm>
          <a:off x="243840" y="578163055"/>
          <a:ext cx="0" cy="595630"/>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xdr:cNvPicPr>
          <a:picLocks noChangeAspect="1"/>
        </xdr:cNvPicPr>
      </xdr:nvPicPr>
      <xdr:blipFill>
        <a:blip r:embed="rId527" cstate="email"/>
        <a:stretch>
          <a:fillRect/>
        </a:stretch>
      </xdr:blipFill>
      <xdr:spPr>
        <a:xfrm>
          <a:off x="243840" y="578862825"/>
          <a:ext cx="0" cy="602615"/>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xdr:cNvPicPr>
          <a:picLocks noChangeAspect="1"/>
        </xdr:cNvPicPr>
      </xdr:nvPicPr>
      <xdr:blipFill>
        <a:blip r:embed="rId528" cstate="email"/>
        <a:stretch>
          <a:fillRect/>
        </a:stretch>
      </xdr:blipFill>
      <xdr:spPr>
        <a:xfrm>
          <a:off x="243840" y="579582915"/>
          <a:ext cx="0" cy="614680"/>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xdr:cNvPicPr>
          <a:picLocks noChangeAspect="1"/>
        </xdr:cNvPicPr>
      </xdr:nvPicPr>
      <xdr:blipFill>
        <a:blip r:embed="rId529" cstate="email"/>
        <a:stretch>
          <a:fillRect/>
        </a:stretch>
      </xdr:blipFill>
      <xdr:spPr>
        <a:xfrm>
          <a:off x="243840" y="580944355"/>
          <a:ext cx="0" cy="684530"/>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xdr:cNvPicPr>
          <a:picLocks noChangeAspect="1"/>
        </xdr:cNvPicPr>
      </xdr:nvPicPr>
      <xdr:blipFill>
        <a:blip r:embed="rId530" cstate="email"/>
        <a:stretch>
          <a:fillRect/>
        </a:stretch>
      </xdr:blipFill>
      <xdr:spPr>
        <a:xfrm>
          <a:off x="243840" y="581642855"/>
          <a:ext cx="0" cy="586740"/>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xdr:cNvPicPr>
          <a:picLocks noChangeAspect="1"/>
        </xdr:cNvPicPr>
      </xdr:nvPicPr>
      <xdr:blipFill>
        <a:blip r:embed="rId530" cstate="email"/>
        <a:stretch>
          <a:fillRect/>
        </a:stretch>
      </xdr:blipFill>
      <xdr:spPr>
        <a:xfrm>
          <a:off x="243840" y="582362945"/>
          <a:ext cx="0" cy="586740"/>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xdr:cNvPicPr>
          <a:picLocks noChangeAspect="1"/>
        </xdr:cNvPicPr>
      </xdr:nvPicPr>
      <xdr:blipFill>
        <a:blip r:embed="rId531" cstate="email"/>
        <a:stretch>
          <a:fillRect/>
        </a:stretch>
      </xdr:blipFill>
      <xdr:spPr>
        <a:xfrm>
          <a:off x="243840" y="583744705"/>
          <a:ext cx="0" cy="652145"/>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xdr:cNvPicPr>
          <a:picLocks noChangeAspect="1"/>
        </xdr:cNvPicPr>
      </xdr:nvPicPr>
      <xdr:blipFill>
        <a:blip r:embed="rId532" cstate="email"/>
        <a:stretch>
          <a:fillRect/>
        </a:stretch>
      </xdr:blipFill>
      <xdr:spPr>
        <a:xfrm>
          <a:off x="243840" y="584443205"/>
          <a:ext cx="0" cy="635635"/>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xdr:cNvPicPr>
          <a:picLocks noChangeAspect="1"/>
        </xdr:cNvPicPr>
      </xdr:nvPicPr>
      <xdr:blipFill>
        <a:blip r:embed="rId533" cstate="email"/>
        <a:stretch>
          <a:fillRect/>
        </a:stretch>
      </xdr:blipFill>
      <xdr:spPr>
        <a:xfrm>
          <a:off x="243840" y="585891640"/>
          <a:ext cx="0" cy="586105"/>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xdr:cNvPicPr>
          <a:picLocks noChangeAspect="1"/>
        </xdr:cNvPicPr>
      </xdr:nvPicPr>
      <xdr:blipFill>
        <a:blip r:embed="rId534" cstate="email"/>
        <a:stretch>
          <a:fillRect/>
        </a:stretch>
      </xdr:blipFill>
      <xdr:spPr>
        <a:xfrm>
          <a:off x="243840" y="586575535"/>
          <a:ext cx="0" cy="586740"/>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xdr:cNvPicPr>
          <a:picLocks noChangeAspect="1"/>
        </xdr:cNvPicPr>
      </xdr:nvPicPr>
      <xdr:blipFill>
        <a:blip r:embed="rId535" cstate="email"/>
        <a:stretch>
          <a:fillRect/>
        </a:stretch>
      </xdr:blipFill>
      <xdr:spPr>
        <a:xfrm>
          <a:off x="243840" y="587223235"/>
          <a:ext cx="0" cy="614680"/>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xdr:cNvPicPr>
          <a:picLocks noChangeAspect="1"/>
        </xdr:cNvPicPr>
      </xdr:nvPicPr>
      <xdr:blipFill>
        <a:blip r:embed="rId536" cstate="email"/>
        <a:stretch>
          <a:fillRect/>
        </a:stretch>
      </xdr:blipFill>
      <xdr:spPr>
        <a:xfrm>
          <a:off x="243840" y="587949675"/>
          <a:ext cx="0" cy="676275"/>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xdr:cNvPicPr>
          <a:picLocks noChangeAspect="1"/>
        </xdr:cNvPicPr>
      </xdr:nvPicPr>
      <xdr:blipFill>
        <a:blip r:embed="rId537" cstate="email"/>
        <a:stretch>
          <a:fillRect/>
        </a:stretch>
      </xdr:blipFill>
      <xdr:spPr>
        <a:xfrm>
          <a:off x="243840" y="588653890"/>
          <a:ext cx="0" cy="615315"/>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xdr:cNvPicPr>
          <a:picLocks noChangeAspect="1"/>
        </xdr:cNvPicPr>
      </xdr:nvPicPr>
      <xdr:blipFill>
        <a:blip r:embed="rId538" cstate="email"/>
        <a:stretch>
          <a:fillRect/>
        </a:stretch>
      </xdr:blipFill>
      <xdr:spPr>
        <a:xfrm>
          <a:off x="243840" y="589318735"/>
          <a:ext cx="0" cy="586740"/>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xdr:cNvPicPr>
          <a:picLocks noChangeAspect="1"/>
        </xdr:cNvPicPr>
      </xdr:nvPicPr>
      <xdr:blipFill>
        <a:blip r:embed="rId538" cstate="email"/>
        <a:stretch>
          <a:fillRect/>
        </a:stretch>
      </xdr:blipFill>
      <xdr:spPr>
        <a:xfrm>
          <a:off x="243840" y="590016600"/>
          <a:ext cx="0" cy="586105"/>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xdr:cNvPicPr>
          <a:picLocks noChangeAspect="1"/>
        </xdr:cNvPicPr>
      </xdr:nvPicPr>
      <xdr:blipFill>
        <a:blip r:embed="rId539" cstate="email"/>
        <a:stretch>
          <a:fillRect/>
        </a:stretch>
      </xdr:blipFill>
      <xdr:spPr>
        <a:xfrm>
          <a:off x="243840" y="590729705"/>
          <a:ext cx="0" cy="605790"/>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xdr:cNvPicPr>
          <a:picLocks noChangeAspect="1"/>
        </xdr:cNvPicPr>
      </xdr:nvPicPr>
      <xdr:blipFill>
        <a:blip r:embed="rId539" cstate="email"/>
        <a:stretch>
          <a:fillRect/>
        </a:stretch>
      </xdr:blipFill>
      <xdr:spPr>
        <a:xfrm>
          <a:off x="243840" y="591442810"/>
          <a:ext cx="0" cy="605790"/>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xdr:cNvPicPr>
          <a:picLocks noChangeAspect="1"/>
        </xdr:cNvPicPr>
      </xdr:nvPicPr>
      <xdr:blipFill>
        <a:blip r:embed="rId540" cstate="email"/>
        <a:stretch>
          <a:fillRect/>
        </a:stretch>
      </xdr:blipFill>
      <xdr:spPr>
        <a:xfrm>
          <a:off x="243840" y="585146785"/>
          <a:ext cx="0" cy="643890"/>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xdr:cNvPicPr>
          <a:picLocks noChangeAspect="1"/>
        </xdr:cNvPicPr>
      </xdr:nvPicPr>
      <xdr:blipFill>
        <a:blip r:embed="rId541" cstate="email"/>
        <a:stretch>
          <a:fillRect/>
        </a:stretch>
      </xdr:blipFill>
      <xdr:spPr>
        <a:xfrm>
          <a:off x="243840" y="398644110"/>
          <a:ext cx="0" cy="644525"/>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xdr:cNvPicPr>
          <a:picLocks noChangeAspect="1"/>
        </xdr:cNvPicPr>
      </xdr:nvPicPr>
      <xdr:blipFill>
        <a:blip r:embed="rId542" cstate="email"/>
        <a:stretch>
          <a:fillRect/>
        </a:stretch>
      </xdr:blipFill>
      <xdr:spPr>
        <a:xfrm>
          <a:off x="243840" y="399361660"/>
          <a:ext cx="0" cy="651510"/>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xdr:cNvPicPr>
          <a:picLocks noChangeAspect="1"/>
        </xdr:cNvPicPr>
      </xdr:nvPicPr>
      <xdr:blipFill>
        <a:blip r:embed="rId543" cstate="email"/>
        <a:stretch>
          <a:fillRect/>
        </a:stretch>
      </xdr:blipFill>
      <xdr:spPr>
        <a:xfrm>
          <a:off x="243840" y="400030950"/>
          <a:ext cx="0" cy="643890"/>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xdr:cNvPicPr>
          <a:picLocks noChangeAspect="1"/>
        </xdr:cNvPicPr>
      </xdr:nvPicPr>
      <xdr:blipFill>
        <a:blip r:embed="rId544" cstate="email"/>
        <a:stretch>
          <a:fillRect/>
        </a:stretch>
      </xdr:blipFill>
      <xdr:spPr>
        <a:xfrm>
          <a:off x="243840" y="400749135"/>
          <a:ext cx="0" cy="644525"/>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xdr:cNvPicPr>
          <a:picLocks noChangeAspect="1"/>
        </xdr:cNvPicPr>
      </xdr:nvPicPr>
      <xdr:blipFill>
        <a:blip r:embed="rId545" cstate="email"/>
        <a:stretch>
          <a:fillRect/>
        </a:stretch>
      </xdr:blipFill>
      <xdr:spPr>
        <a:xfrm>
          <a:off x="243840" y="412614110"/>
          <a:ext cx="0" cy="654050"/>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xdr:cNvPicPr>
          <a:picLocks noChangeAspect="1"/>
        </xdr:cNvPicPr>
      </xdr:nvPicPr>
      <xdr:blipFill>
        <a:blip r:embed="rId546" cstate="email"/>
        <a:stretch>
          <a:fillRect/>
        </a:stretch>
      </xdr:blipFill>
      <xdr:spPr>
        <a:xfrm>
          <a:off x="243840" y="413318325"/>
          <a:ext cx="0" cy="666115"/>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xdr:cNvPicPr>
          <a:picLocks noChangeAspect="1"/>
        </xdr:cNvPicPr>
      </xdr:nvPicPr>
      <xdr:blipFill>
        <a:blip r:embed="rId547" cstate="email"/>
        <a:stretch>
          <a:fillRect/>
        </a:stretch>
      </xdr:blipFill>
      <xdr:spPr>
        <a:xfrm>
          <a:off x="238760" y="414000950"/>
          <a:ext cx="5080" cy="664845"/>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xdr:cNvPicPr>
          <a:picLocks noChangeAspect="1"/>
        </xdr:cNvPicPr>
      </xdr:nvPicPr>
      <xdr:blipFill>
        <a:blip r:embed="rId548" cstate="email"/>
        <a:stretch>
          <a:fillRect/>
        </a:stretch>
      </xdr:blipFill>
      <xdr:spPr>
        <a:xfrm>
          <a:off x="243840" y="416814635"/>
          <a:ext cx="0" cy="596265"/>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xdr:cNvPicPr>
          <a:picLocks noChangeAspect="1"/>
        </xdr:cNvPicPr>
      </xdr:nvPicPr>
      <xdr:blipFill>
        <a:blip r:embed="rId549" cstate="email"/>
        <a:stretch>
          <a:fillRect/>
        </a:stretch>
      </xdr:blipFill>
      <xdr:spPr>
        <a:xfrm>
          <a:off x="189865" y="426554900"/>
          <a:ext cx="53975" cy="681355"/>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xdr:cNvPicPr>
          <a:picLocks noChangeAspect="1"/>
        </xdr:cNvPicPr>
      </xdr:nvPicPr>
      <xdr:blipFill>
        <a:blip r:embed="rId549" cstate="email"/>
        <a:stretch>
          <a:fillRect/>
        </a:stretch>
      </xdr:blipFill>
      <xdr:spPr>
        <a:xfrm>
          <a:off x="189865" y="427253400"/>
          <a:ext cx="53975" cy="681355"/>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xdr:cNvPicPr>
          <a:picLocks noChangeAspect="1"/>
        </xdr:cNvPicPr>
      </xdr:nvPicPr>
      <xdr:blipFill>
        <a:blip r:embed="rId550" cstate="email"/>
        <a:stretch>
          <a:fillRect/>
        </a:stretch>
      </xdr:blipFill>
      <xdr:spPr>
        <a:xfrm>
          <a:off x="243840" y="430095660"/>
          <a:ext cx="0" cy="652780"/>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xdr:cNvPicPr>
          <a:picLocks noChangeAspect="1"/>
        </xdr:cNvPicPr>
      </xdr:nvPicPr>
      <xdr:blipFill>
        <a:blip r:embed="rId551" cstate="email"/>
        <a:stretch>
          <a:fillRect/>
        </a:stretch>
      </xdr:blipFill>
      <xdr:spPr>
        <a:xfrm>
          <a:off x="243840" y="435654450"/>
          <a:ext cx="0" cy="680085"/>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xdr:cNvPicPr>
          <a:picLocks noChangeAspect="1"/>
        </xdr:cNvPicPr>
      </xdr:nvPicPr>
      <xdr:blipFill>
        <a:blip r:embed="rId552"/>
        <a:stretch>
          <a:fillRect/>
        </a:stretch>
      </xdr:blipFill>
      <xdr:spPr>
        <a:xfrm>
          <a:off x="243840" y="437730900"/>
          <a:ext cx="0" cy="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xdr:cNvPicPr>
          <a:picLocks noChangeAspect="1"/>
        </xdr:cNvPicPr>
      </xdr:nvPicPr>
      <xdr:blipFill>
        <a:blip r:embed="rId553" cstate="email"/>
        <a:stretch>
          <a:fillRect/>
        </a:stretch>
      </xdr:blipFill>
      <xdr:spPr>
        <a:xfrm>
          <a:off x="243840" y="410516705"/>
          <a:ext cx="0" cy="655955"/>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xdr:cNvPicPr>
          <a:picLocks noChangeAspect="1"/>
        </xdr:cNvPicPr>
      </xdr:nvPicPr>
      <xdr:blipFill>
        <a:blip r:embed="rId554" cstate="email"/>
        <a:stretch>
          <a:fillRect/>
        </a:stretch>
      </xdr:blipFill>
      <xdr:spPr>
        <a:xfrm>
          <a:off x="238760" y="439148855"/>
          <a:ext cx="5080" cy="680720"/>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xdr:cNvPicPr>
          <a:picLocks noChangeAspect="1"/>
        </xdr:cNvPicPr>
      </xdr:nvPicPr>
      <xdr:blipFill>
        <a:blip r:embed="rId555" cstate="email"/>
        <a:stretch>
          <a:fillRect/>
        </a:stretch>
      </xdr:blipFill>
      <xdr:spPr>
        <a:xfrm>
          <a:off x="243840" y="441244355"/>
          <a:ext cx="0" cy="678180"/>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xdr:cNvPicPr>
          <a:picLocks noChangeAspect="1"/>
        </xdr:cNvPicPr>
      </xdr:nvPicPr>
      <xdr:blipFill>
        <a:blip r:embed="rId556" cstate="email"/>
        <a:stretch>
          <a:fillRect/>
        </a:stretch>
      </xdr:blipFill>
      <xdr:spPr>
        <a:xfrm>
          <a:off x="243840" y="441953650"/>
          <a:ext cx="0" cy="653415"/>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xdr:cNvPicPr>
          <a:picLocks noChangeAspect="1"/>
        </xdr:cNvPicPr>
      </xdr:nvPicPr>
      <xdr:blipFill>
        <a:blip r:embed="rId557" cstate="email"/>
        <a:stretch>
          <a:fillRect/>
        </a:stretch>
      </xdr:blipFill>
      <xdr:spPr>
        <a:xfrm>
          <a:off x="194310" y="443318900"/>
          <a:ext cx="49530" cy="681355"/>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xdr:cNvPicPr>
          <a:picLocks noChangeAspect="1"/>
        </xdr:cNvPicPr>
      </xdr:nvPicPr>
      <xdr:blipFill>
        <a:blip r:embed="rId558" cstate="email"/>
        <a:stretch>
          <a:fillRect/>
        </a:stretch>
      </xdr:blipFill>
      <xdr:spPr>
        <a:xfrm>
          <a:off x="175260" y="444747650"/>
          <a:ext cx="68580" cy="648970"/>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xdr:cNvPicPr>
          <a:picLocks noChangeAspect="1"/>
        </xdr:cNvPicPr>
      </xdr:nvPicPr>
      <xdr:blipFill>
        <a:blip r:embed="rId559" cstate="email"/>
        <a:stretch>
          <a:fillRect/>
        </a:stretch>
      </xdr:blipFill>
      <xdr:spPr>
        <a:xfrm>
          <a:off x="196215" y="445435355"/>
          <a:ext cx="47625" cy="649605"/>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xdr:cNvPicPr>
          <a:picLocks noChangeAspect="1"/>
        </xdr:cNvPicPr>
      </xdr:nvPicPr>
      <xdr:blipFill>
        <a:blip r:embed="rId560" cstate="email"/>
        <a:stretch>
          <a:fillRect/>
        </a:stretch>
      </xdr:blipFill>
      <xdr:spPr>
        <a:xfrm>
          <a:off x="243840" y="446832355"/>
          <a:ext cx="0" cy="627380"/>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xdr:cNvPicPr>
          <a:picLocks noChangeAspect="1"/>
        </xdr:cNvPicPr>
      </xdr:nvPicPr>
      <xdr:blipFill>
        <a:blip r:embed="rId561" cstate="email"/>
        <a:stretch>
          <a:fillRect/>
        </a:stretch>
      </xdr:blipFill>
      <xdr:spPr>
        <a:xfrm>
          <a:off x="243840" y="447530855"/>
          <a:ext cx="0" cy="627380"/>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xdr:cNvPicPr>
          <a:picLocks noChangeAspect="1"/>
        </xdr:cNvPicPr>
      </xdr:nvPicPr>
      <xdr:blipFill>
        <a:blip r:embed="rId562" cstate="email"/>
        <a:stretch>
          <a:fillRect/>
        </a:stretch>
      </xdr:blipFill>
      <xdr:spPr>
        <a:xfrm>
          <a:off x="243840" y="448261740"/>
          <a:ext cx="0" cy="62928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xdr:cNvPicPr>
          <a:picLocks noChangeAspect="1"/>
        </xdr:cNvPicPr>
      </xdr:nvPicPr>
      <xdr:blipFill>
        <a:blip r:embed="rId563" cstate="email"/>
        <a:stretch>
          <a:fillRect/>
        </a:stretch>
      </xdr:blipFill>
      <xdr:spPr>
        <a:xfrm>
          <a:off x="175260" y="451721855"/>
          <a:ext cx="68580" cy="650875"/>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xdr:cNvPicPr>
          <a:picLocks noChangeAspect="1"/>
        </xdr:cNvPicPr>
      </xdr:nvPicPr>
      <xdr:blipFill>
        <a:blip r:embed="rId564" cstate="email"/>
        <a:stretch>
          <a:fillRect/>
        </a:stretch>
      </xdr:blipFill>
      <xdr:spPr>
        <a:xfrm>
          <a:off x="175260" y="454494900"/>
          <a:ext cx="68580" cy="664210"/>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xdr:cNvPicPr>
          <a:picLocks noChangeAspect="1"/>
        </xdr:cNvPicPr>
      </xdr:nvPicPr>
      <xdr:blipFill>
        <a:blip r:embed="rId565" cstate="email"/>
        <a:stretch>
          <a:fillRect/>
        </a:stretch>
      </xdr:blipFill>
      <xdr:spPr>
        <a:xfrm>
          <a:off x="207010" y="455902060"/>
          <a:ext cx="36830" cy="688340"/>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xdr:cNvPicPr>
          <a:picLocks noChangeAspect="1"/>
        </xdr:cNvPicPr>
      </xdr:nvPicPr>
      <xdr:blipFill>
        <a:blip r:embed="rId566" cstate="email"/>
        <a:stretch>
          <a:fillRect/>
        </a:stretch>
      </xdr:blipFill>
      <xdr:spPr>
        <a:xfrm>
          <a:off x="243840" y="458717650"/>
          <a:ext cx="0" cy="643255"/>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xdr:cNvPicPr>
          <a:picLocks noChangeAspect="1"/>
        </xdr:cNvPicPr>
      </xdr:nvPicPr>
      <xdr:blipFill>
        <a:blip r:embed="rId567" cstate="email"/>
        <a:stretch>
          <a:fillRect/>
        </a:stretch>
      </xdr:blipFill>
      <xdr:spPr>
        <a:xfrm>
          <a:off x="238760" y="459437740"/>
          <a:ext cx="5080" cy="611505"/>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xdr:cNvPicPr>
          <a:picLocks noChangeAspect="1"/>
        </xdr:cNvPicPr>
      </xdr:nvPicPr>
      <xdr:blipFill>
        <a:blip r:embed="rId568" cstate="email"/>
        <a:stretch>
          <a:fillRect/>
        </a:stretch>
      </xdr:blipFill>
      <xdr:spPr>
        <a:xfrm>
          <a:off x="175260" y="460103855"/>
          <a:ext cx="68580" cy="687705"/>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xdr:cNvPicPr>
          <a:picLocks noChangeAspect="1"/>
        </xdr:cNvPicPr>
      </xdr:nvPicPr>
      <xdr:blipFill>
        <a:blip r:embed="rId569" cstate="email"/>
        <a:stretch>
          <a:fillRect/>
        </a:stretch>
      </xdr:blipFill>
      <xdr:spPr>
        <a:xfrm>
          <a:off x="196215" y="470583260"/>
          <a:ext cx="47625" cy="671830"/>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xdr:cNvPicPr>
          <a:picLocks noChangeAspect="1"/>
        </xdr:cNvPicPr>
      </xdr:nvPicPr>
      <xdr:blipFill>
        <a:blip r:embed="rId570" cstate="email"/>
        <a:stretch>
          <a:fillRect/>
        </a:stretch>
      </xdr:blipFill>
      <xdr:spPr>
        <a:xfrm>
          <a:off x="243840" y="472010740"/>
          <a:ext cx="0" cy="602615"/>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xdr:cNvPicPr>
          <a:picLocks noChangeAspect="1"/>
        </xdr:cNvPicPr>
      </xdr:nvPicPr>
      <xdr:blipFill>
        <a:blip r:embed="rId571" cstate="email"/>
        <a:stretch>
          <a:fillRect/>
        </a:stretch>
      </xdr:blipFill>
      <xdr:spPr>
        <a:xfrm>
          <a:off x="238760" y="472709240"/>
          <a:ext cx="5080" cy="602615"/>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xdr:cNvPicPr>
          <a:picLocks noChangeAspect="1"/>
        </xdr:cNvPicPr>
      </xdr:nvPicPr>
      <xdr:blipFill>
        <a:blip r:embed="rId572" cstate="email"/>
        <a:stretch>
          <a:fillRect/>
        </a:stretch>
      </xdr:blipFill>
      <xdr:spPr>
        <a:xfrm>
          <a:off x="196215" y="473407740"/>
          <a:ext cx="47625" cy="61658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xdr:cNvPicPr>
          <a:picLocks noChangeAspect="1"/>
        </xdr:cNvPicPr>
      </xdr:nvPicPr>
      <xdr:blipFill>
        <a:blip r:embed="rId573" cstate="email"/>
        <a:stretch>
          <a:fillRect/>
        </a:stretch>
      </xdr:blipFill>
      <xdr:spPr>
        <a:xfrm>
          <a:off x="238760" y="474095445"/>
          <a:ext cx="5080" cy="617220"/>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xdr:cNvPicPr>
          <a:picLocks noChangeAspect="1"/>
        </xdr:cNvPicPr>
      </xdr:nvPicPr>
      <xdr:blipFill>
        <a:blip r:embed="rId574" cstate="email"/>
        <a:stretch>
          <a:fillRect/>
        </a:stretch>
      </xdr:blipFill>
      <xdr:spPr>
        <a:xfrm>
          <a:off x="243840" y="474804740"/>
          <a:ext cx="0" cy="618490"/>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xdr:cNvPicPr>
          <a:picLocks noChangeAspect="1"/>
        </xdr:cNvPicPr>
      </xdr:nvPicPr>
      <xdr:blipFill>
        <a:blip r:embed="rId574" cstate="email"/>
        <a:stretch>
          <a:fillRect/>
        </a:stretch>
      </xdr:blipFill>
      <xdr:spPr>
        <a:xfrm>
          <a:off x="243840" y="475492445"/>
          <a:ext cx="0" cy="619125"/>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xdr:cNvPicPr>
          <a:picLocks noChangeAspect="1"/>
        </xdr:cNvPicPr>
      </xdr:nvPicPr>
      <xdr:blipFill>
        <a:blip r:embed="rId575" cstate="email"/>
        <a:stretch>
          <a:fillRect/>
        </a:stretch>
      </xdr:blipFill>
      <xdr:spPr>
        <a:xfrm>
          <a:off x="243840" y="476180150"/>
          <a:ext cx="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xdr:cNvPicPr>
          <a:picLocks noChangeAspect="1"/>
        </xdr:cNvPicPr>
      </xdr:nvPicPr>
      <xdr:blipFill>
        <a:blip r:embed="rId576" cstate="email"/>
        <a:stretch>
          <a:fillRect/>
        </a:stretch>
      </xdr:blipFill>
      <xdr:spPr>
        <a:xfrm>
          <a:off x="243840" y="476878650"/>
          <a:ext cx="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xdr:cNvPicPr>
          <a:picLocks noChangeAspect="1"/>
        </xdr:cNvPicPr>
      </xdr:nvPicPr>
      <xdr:blipFill>
        <a:blip r:embed="rId577" cstate="email"/>
        <a:stretch>
          <a:fillRect/>
        </a:stretch>
      </xdr:blipFill>
      <xdr:spPr>
        <a:xfrm>
          <a:off x="243840" y="481069650"/>
          <a:ext cx="0" cy="640080"/>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xdr:cNvPicPr>
          <a:picLocks noChangeAspect="1"/>
        </xdr:cNvPicPr>
      </xdr:nvPicPr>
      <xdr:blipFill>
        <a:blip r:embed="rId578" cstate="email"/>
        <a:stretch>
          <a:fillRect/>
        </a:stretch>
      </xdr:blipFill>
      <xdr:spPr>
        <a:xfrm>
          <a:off x="243840" y="480360355"/>
          <a:ext cx="0" cy="659765"/>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xdr:cNvPicPr>
          <a:picLocks noChangeAspect="1"/>
        </xdr:cNvPicPr>
      </xdr:nvPicPr>
      <xdr:blipFill>
        <a:blip r:embed="rId579" cstate="email"/>
        <a:stretch>
          <a:fillRect/>
        </a:stretch>
      </xdr:blipFill>
      <xdr:spPr>
        <a:xfrm>
          <a:off x="243840" y="483852855"/>
          <a:ext cx="0" cy="662305"/>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xdr:cNvPicPr>
          <a:picLocks noChangeAspect="1"/>
        </xdr:cNvPicPr>
      </xdr:nvPicPr>
      <xdr:blipFill>
        <a:blip r:embed="rId580" cstate="email"/>
        <a:stretch>
          <a:fillRect/>
        </a:stretch>
      </xdr:blipFill>
      <xdr:spPr>
        <a:xfrm>
          <a:off x="243840" y="484540560"/>
          <a:ext cx="0" cy="64071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xdr:cNvPicPr>
          <a:picLocks noChangeAspect="1"/>
        </xdr:cNvPicPr>
      </xdr:nvPicPr>
      <xdr:blipFill>
        <a:blip r:embed="rId580" cstate="email"/>
        <a:stretch>
          <a:fillRect/>
        </a:stretch>
      </xdr:blipFill>
      <xdr:spPr>
        <a:xfrm>
          <a:off x="243840" y="485253030"/>
          <a:ext cx="0" cy="640080"/>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xdr:cNvPicPr>
          <a:picLocks noChangeAspect="1"/>
        </xdr:cNvPicPr>
      </xdr:nvPicPr>
      <xdr:blipFill>
        <a:blip r:embed="rId581" cstate="email"/>
        <a:stretch>
          <a:fillRect/>
        </a:stretch>
      </xdr:blipFill>
      <xdr:spPr>
        <a:xfrm>
          <a:off x="243840" y="485962960"/>
          <a:ext cx="0" cy="632460"/>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xdr:cNvPicPr>
          <a:picLocks noChangeAspect="1"/>
        </xdr:cNvPicPr>
      </xdr:nvPicPr>
      <xdr:blipFill>
        <a:blip r:embed="rId582" cstate="email"/>
        <a:stretch>
          <a:fillRect/>
        </a:stretch>
      </xdr:blipFill>
      <xdr:spPr>
        <a:xfrm>
          <a:off x="164465" y="487356150"/>
          <a:ext cx="79375" cy="666750"/>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xdr:cNvPicPr>
          <a:picLocks noChangeAspect="1"/>
        </xdr:cNvPicPr>
      </xdr:nvPicPr>
      <xdr:blipFill>
        <a:blip r:embed="rId582" cstate="email"/>
        <a:stretch>
          <a:fillRect/>
        </a:stretch>
      </xdr:blipFill>
      <xdr:spPr>
        <a:xfrm>
          <a:off x="217805" y="488054650"/>
          <a:ext cx="26035" cy="666750"/>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xdr:cNvPicPr>
          <a:picLocks noChangeAspect="1"/>
        </xdr:cNvPicPr>
      </xdr:nvPicPr>
      <xdr:blipFill>
        <a:blip r:embed="rId583" cstate="email"/>
        <a:stretch>
          <a:fillRect/>
        </a:stretch>
      </xdr:blipFill>
      <xdr:spPr>
        <a:xfrm>
          <a:off x="243840" y="488774740"/>
          <a:ext cx="0" cy="629285"/>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xdr:cNvPicPr>
          <a:picLocks noChangeAspect="1"/>
        </xdr:cNvPicPr>
      </xdr:nvPicPr>
      <xdr:blipFill>
        <a:blip r:embed="rId583" cstate="email"/>
        <a:stretch>
          <a:fillRect/>
        </a:stretch>
      </xdr:blipFill>
      <xdr:spPr>
        <a:xfrm>
          <a:off x="243840" y="489462445"/>
          <a:ext cx="0" cy="629285"/>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xdr:cNvPicPr>
          <a:picLocks noChangeAspect="1"/>
        </xdr:cNvPicPr>
      </xdr:nvPicPr>
      <xdr:blipFill>
        <a:blip r:embed="rId584" cstate="email"/>
        <a:stretch>
          <a:fillRect/>
        </a:stretch>
      </xdr:blipFill>
      <xdr:spPr>
        <a:xfrm>
          <a:off x="228600" y="490171740"/>
          <a:ext cx="15240" cy="653415"/>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xdr:cNvPicPr>
          <a:picLocks noChangeAspect="1"/>
        </xdr:cNvPicPr>
      </xdr:nvPicPr>
      <xdr:blipFill>
        <a:blip r:embed="rId585" cstate="email"/>
        <a:stretch>
          <a:fillRect/>
        </a:stretch>
      </xdr:blipFill>
      <xdr:spPr>
        <a:xfrm>
          <a:off x="243840" y="490861985"/>
          <a:ext cx="0" cy="654050"/>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xdr:cNvPicPr>
          <a:picLocks noChangeAspect="1"/>
        </xdr:cNvPicPr>
      </xdr:nvPicPr>
      <xdr:blipFill>
        <a:blip r:embed="rId586" cstate="email"/>
        <a:stretch>
          <a:fillRect/>
        </a:stretch>
      </xdr:blipFill>
      <xdr:spPr>
        <a:xfrm>
          <a:off x="243840" y="492922560"/>
          <a:ext cx="0" cy="662305"/>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xdr:cNvPicPr>
          <a:picLocks noChangeAspect="1"/>
        </xdr:cNvPicPr>
      </xdr:nvPicPr>
      <xdr:blipFill>
        <a:blip r:embed="rId587" cstate="email"/>
        <a:stretch>
          <a:fillRect/>
        </a:stretch>
      </xdr:blipFill>
      <xdr:spPr>
        <a:xfrm>
          <a:off x="217805" y="494330355"/>
          <a:ext cx="26035" cy="662940"/>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xdr:cNvPicPr>
          <a:picLocks noChangeAspect="1"/>
        </xdr:cNvPicPr>
      </xdr:nvPicPr>
      <xdr:blipFill>
        <a:blip r:embed="rId587" cstate="email"/>
        <a:stretch>
          <a:fillRect/>
        </a:stretch>
      </xdr:blipFill>
      <xdr:spPr>
        <a:xfrm>
          <a:off x="238760" y="495028855"/>
          <a:ext cx="5080" cy="662940"/>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xdr:cNvPicPr>
          <a:picLocks noChangeAspect="1"/>
        </xdr:cNvPicPr>
      </xdr:nvPicPr>
      <xdr:blipFill>
        <a:blip r:embed="rId588" cstate="email"/>
        <a:stretch>
          <a:fillRect/>
        </a:stretch>
      </xdr:blipFill>
      <xdr:spPr>
        <a:xfrm>
          <a:off x="243840" y="495727355"/>
          <a:ext cx="0" cy="639445"/>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xdr:cNvPicPr>
          <a:picLocks noChangeAspect="1"/>
        </xdr:cNvPicPr>
      </xdr:nvPicPr>
      <xdr:blipFill>
        <a:blip r:embed="rId588" cstate="email"/>
        <a:stretch>
          <a:fillRect/>
        </a:stretch>
      </xdr:blipFill>
      <xdr:spPr>
        <a:xfrm>
          <a:off x="243840" y="496458240"/>
          <a:ext cx="0" cy="638810"/>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xdr:cNvPicPr>
          <a:picLocks noChangeAspect="1"/>
        </xdr:cNvPicPr>
      </xdr:nvPicPr>
      <xdr:blipFill>
        <a:blip r:embed="rId589" cstate="email"/>
        <a:stretch>
          <a:fillRect/>
        </a:stretch>
      </xdr:blipFill>
      <xdr:spPr>
        <a:xfrm>
          <a:off x="243840" y="498510560"/>
          <a:ext cx="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xdr:cNvPicPr>
          <a:picLocks noChangeAspect="1"/>
        </xdr:cNvPicPr>
      </xdr:nvPicPr>
      <xdr:blipFill>
        <a:blip r:embed="rId590" cstate="email"/>
        <a:stretch>
          <a:fillRect/>
        </a:stretch>
      </xdr:blipFill>
      <xdr:spPr>
        <a:xfrm>
          <a:off x="243840" y="499219855"/>
          <a:ext cx="0" cy="678180"/>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xdr:cNvPicPr>
          <a:picLocks noChangeAspect="1"/>
        </xdr:cNvPicPr>
      </xdr:nvPicPr>
      <xdr:blipFill>
        <a:blip r:embed="rId589" cstate="email"/>
        <a:stretch>
          <a:fillRect/>
        </a:stretch>
      </xdr:blipFill>
      <xdr:spPr>
        <a:xfrm>
          <a:off x="243840" y="499920260"/>
          <a:ext cx="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xdr:cNvPicPr>
          <a:picLocks noChangeAspect="1"/>
        </xdr:cNvPicPr>
      </xdr:nvPicPr>
      <xdr:blipFill>
        <a:blip r:embed="rId591" cstate="email"/>
        <a:stretch>
          <a:fillRect/>
        </a:stretch>
      </xdr:blipFill>
      <xdr:spPr>
        <a:xfrm>
          <a:off x="243840" y="500616855"/>
          <a:ext cx="0" cy="66167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xdr:cNvPicPr>
          <a:picLocks noChangeAspect="1"/>
        </xdr:cNvPicPr>
      </xdr:nvPicPr>
      <xdr:blipFill>
        <a:blip r:embed="rId592" cstate="email"/>
        <a:stretch>
          <a:fillRect/>
        </a:stretch>
      </xdr:blipFill>
      <xdr:spPr>
        <a:xfrm>
          <a:off x="243840" y="501331230"/>
          <a:ext cx="0" cy="66167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xdr:cNvPicPr>
          <a:picLocks noChangeAspect="1"/>
        </xdr:cNvPicPr>
      </xdr:nvPicPr>
      <xdr:blipFill>
        <a:blip r:embed="rId592" cstate="email"/>
        <a:stretch>
          <a:fillRect/>
        </a:stretch>
      </xdr:blipFill>
      <xdr:spPr>
        <a:xfrm>
          <a:off x="243840" y="502030365"/>
          <a:ext cx="0" cy="666750"/>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xdr:cNvPicPr>
          <a:picLocks noChangeAspect="1"/>
        </xdr:cNvPicPr>
      </xdr:nvPicPr>
      <xdr:blipFill>
        <a:blip r:embed="rId593" cstate="email"/>
        <a:stretch>
          <a:fillRect/>
        </a:stretch>
      </xdr:blipFill>
      <xdr:spPr>
        <a:xfrm>
          <a:off x="243840" y="551639740"/>
          <a:ext cx="0" cy="581025"/>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xdr:cNvPicPr>
          <a:picLocks noChangeAspect="1"/>
        </xdr:cNvPicPr>
      </xdr:nvPicPr>
      <xdr:blipFill>
        <a:blip r:embed="rId593" cstate="email"/>
        <a:stretch>
          <a:fillRect/>
        </a:stretch>
      </xdr:blipFill>
      <xdr:spPr>
        <a:xfrm>
          <a:off x="243840" y="552327445"/>
          <a:ext cx="0" cy="581025"/>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xdr:cNvPicPr>
          <a:picLocks noChangeAspect="1"/>
        </xdr:cNvPicPr>
      </xdr:nvPicPr>
      <xdr:blipFill>
        <a:blip r:embed="rId594" cstate="email"/>
        <a:stretch>
          <a:fillRect/>
        </a:stretch>
      </xdr:blipFill>
      <xdr:spPr>
        <a:xfrm>
          <a:off x="243840" y="553015150"/>
          <a:ext cx="0" cy="666750"/>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xdr:cNvPicPr>
          <a:picLocks noChangeAspect="1"/>
        </xdr:cNvPicPr>
      </xdr:nvPicPr>
      <xdr:blipFill>
        <a:blip r:embed="rId595" cstate="email"/>
        <a:stretch>
          <a:fillRect/>
        </a:stretch>
      </xdr:blipFill>
      <xdr:spPr>
        <a:xfrm>
          <a:off x="243840" y="553735240"/>
          <a:ext cx="0" cy="618490"/>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xdr:cNvPicPr>
          <a:picLocks noChangeAspect="1"/>
        </xdr:cNvPicPr>
      </xdr:nvPicPr>
      <xdr:blipFill>
        <a:blip r:embed="rId596" cstate="email"/>
        <a:stretch>
          <a:fillRect/>
        </a:stretch>
      </xdr:blipFill>
      <xdr:spPr>
        <a:xfrm>
          <a:off x="243840" y="554412150"/>
          <a:ext cx="0" cy="650875"/>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xdr:cNvPicPr>
          <a:picLocks noChangeAspect="1"/>
        </xdr:cNvPicPr>
      </xdr:nvPicPr>
      <xdr:blipFill>
        <a:blip r:embed="rId596" cstate="email"/>
        <a:stretch>
          <a:fillRect/>
        </a:stretch>
      </xdr:blipFill>
      <xdr:spPr>
        <a:xfrm>
          <a:off x="243840" y="555099855"/>
          <a:ext cx="0" cy="650875"/>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xdr:cNvPicPr>
          <a:picLocks noChangeAspect="1"/>
        </xdr:cNvPicPr>
      </xdr:nvPicPr>
      <xdr:blipFill>
        <a:blip r:embed="rId597" cstate="email"/>
        <a:stretch>
          <a:fillRect/>
        </a:stretch>
      </xdr:blipFill>
      <xdr:spPr>
        <a:xfrm>
          <a:off x="243840" y="555819945"/>
          <a:ext cx="0" cy="640080"/>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xdr:cNvPicPr>
          <a:picLocks noChangeAspect="1"/>
        </xdr:cNvPicPr>
      </xdr:nvPicPr>
      <xdr:blipFill>
        <a:blip r:embed="rId598" cstate="email"/>
        <a:stretch>
          <a:fillRect/>
        </a:stretch>
      </xdr:blipFill>
      <xdr:spPr>
        <a:xfrm>
          <a:off x="243840" y="556529240"/>
          <a:ext cx="0" cy="64516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xdr:cNvPicPr>
          <a:picLocks noChangeAspect="1"/>
        </xdr:cNvPicPr>
      </xdr:nvPicPr>
      <xdr:blipFill>
        <a:blip r:embed="rId599" cstate="email"/>
        <a:stretch>
          <a:fillRect/>
        </a:stretch>
      </xdr:blipFill>
      <xdr:spPr>
        <a:xfrm>
          <a:off x="243840" y="557227740"/>
          <a:ext cx="0" cy="649605"/>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xdr:cNvPicPr>
          <a:picLocks noChangeAspect="1"/>
        </xdr:cNvPicPr>
      </xdr:nvPicPr>
      <xdr:blipFill>
        <a:blip r:embed="rId600" cstate="email"/>
        <a:stretch>
          <a:fillRect/>
        </a:stretch>
      </xdr:blipFill>
      <xdr:spPr>
        <a:xfrm>
          <a:off x="243840" y="558590450"/>
          <a:ext cx="0" cy="626745"/>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xdr:cNvPicPr>
          <a:picLocks noChangeAspect="1"/>
        </xdr:cNvPicPr>
      </xdr:nvPicPr>
      <xdr:blipFill>
        <a:blip r:embed="rId601" cstate="email"/>
        <a:stretch>
          <a:fillRect/>
        </a:stretch>
      </xdr:blipFill>
      <xdr:spPr>
        <a:xfrm>
          <a:off x="243840" y="580278875"/>
          <a:ext cx="0" cy="600710"/>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xdr:cNvPicPr>
          <a:picLocks noChangeAspect="1"/>
        </xdr:cNvPicPr>
      </xdr:nvPicPr>
      <xdr:blipFill>
        <a:blip r:embed="rId602" cstate="email"/>
        <a:stretch>
          <a:fillRect/>
        </a:stretch>
      </xdr:blipFill>
      <xdr:spPr>
        <a:xfrm>
          <a:off x="243840" y="583082400"/>
          <a:ext cx="0" cy="570230"/>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xdr:cNvPicPr>
          <a:picLocks noChangeAspect="1"/>
        </xdr:cNvPicPr>
      </xdr:nvPicPr>
      <xdr:blipFill>
        <a:blip r:embed="rId603" cstate="email"/>
        <a:stretch>
          <a:fillRect/>
        </a:stretch>
      </xdr:blipFill>
      <xdr:spPr>
        <a:xfrm>
          <a:off x="243840" y="593540215"/>
          <a:ext cx="0" cy="642620"/>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xdr:cNvPicPr>
          <a:picLocks noChangeAspect="1"/>
        </xdr:cNvPicPr>
      </xdr:nvPicPr>
      <xdr:blipFill>
        <a:blip r:embed="rId603" cstate="email"/>
        <a:stretch>
          <a:fillRect/>
        </a:stretch>
      </xdr:blipFill>
      <xdr:spPr>
        <a:xfrm>
          <a:off x="243840" y="594215855"/>
          <a:ext cx="0" cy="643255"/>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xdr:cNvPicPr>
          <a:picLocks noChangeAspect="1"/>
        </xdr:cNvPicPr>
      </xdr:nvPicPr>
      <xdr:blipFill>
        <a:blip r:embed="rId604" cstate="email"/>
        <a:stretch>
          <a:fillRect/>
        </a:stretch>
      </xdr:blipFill>
      <xdr:spPr>
        <a:xfrm>
          <a:off x="243840" y="594935945"/>
          <a:ext cx="0" cy="635000"/>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xdr:cNvPicPr>
          <a:picLocks noChangeAspect="1"/>
        </xdr:cNvPicPr>
      </xdr:nvPicPr>
      <xdr:blipFill>
        <a:blip r:embed="rId605" cstate="email"/>
        <a:stretch>
          <a:fillRect/>
        </a:stretch>
      </xdr:blipFill>
      <xdr:spPr>
        <a:xfrm>
          <a:off x="217805" y="595634445"/>
          <a:ext cx="26035" cy="643255"/>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xdr:cNvPicPr>
          <a:picLocks noChangeAspect="1"/>
        </xdr:cNvPicPr>
      </xdr:nvPicPr>
      <xdr:blipFill>
        <a:blip r:embed="rId606" cstate="email"/>
        <a:stretch>
          <a:fillRect/>
        </a:stretch>
      </xdr:blipFill>
      <xdr:spPr>
        <a:xfrm>
          <a:off x="224155" y="596999060"/>
          <a:ext cx="19685" cy="622300"/>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xdr:cNvPicPr>
          <a:picLocks noChangeAspect="1"/>
        </xdr:cNvPicPr>
      </xdr:nvPicPr>
      <xdr:blipFill>
        <a:blip r:embed="rId607" cstate="email"/>
        <a:stretch>
          <a:fillRect/>
        </a:stretch>
      </xdr:blipFill>
      <xdr:spPr>
        <a:xfrm>
          <a:off x="121920" y="597750900"/>
          <a:ext cx="121920" cy="608330"/>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xdr:cNvPicPr>
          <a:picLocks noChangeAspect="1"/>
        </xdr:cNvPicPr>
      </xdr:nvPicPr>
      <xdr:blipFill>
        <a:blip r:embed="rId608" cstate="email"/>
        <a:stretch>
          <a:fillRect/>
        </a:stretch>
      </xdr:blipFill>
      <xdr:spPr>
        <a:xfrm>
          <a:off x="201295" y="599091385"/>
          <a:ext cx="42545" cy="64643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xdr:cNvPicPr>
          <a:picLocks noChangeAspect="1"/>
        </xdr:cNvPicPr>
      </xdr:nvPicPr>
      <xdr:blipFill>
        <a:blip r:embed="rId609" cstate="email"/>
        <a:stretch>
          <a:fillRect/>
        </a:stretch>
      </xdr:blipFill>
      <xdr:spPr>
        <a:xfrm>
          <a:off x="243840" y="449637150"/>
          <a:ext cx="0" cy="640080"/>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xdr:cNvPicPr>
          <a:picLocks noChangeAspect="1"/>
        </xdr:cNvPicPr>
      </xdr:nvPicPr>
      <xdr:blipFill>
        <a:blip r:embed="rId610" cstate="email"/>
        <a:stretch>
          <a:fillRect/>
        </a:stretch>
      </xdr:blipFill>
      <xdr:spPr>
        <a:xfrm>
          <a:off x="207010" y="511808730"/>
          <a:ext cx="36830" cy="661670"/>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xdr:cNvPicPr>
          <a:picLocks noChangeAspect="1"/>
        </xdr:cNvPicPr>
      </xdr:nvPicPr>
      <xdr:blipFill>
        <a:blip r:embed="rId611" cstate="email"/>
        <a:stretch>
          <a:fillRect/>
        </a:stretch>
      </xdr:blipFill>
      <xdr:spPr>
        <a:xfrm>
          <a:off x="243840" y="511105150"/>
          <a:ext cx="0" cy="650875"/>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xdr:cNvPicPr>
          <a:picLocks noChangeAspect="1"/>
        </xdr:cNvPicPr>
      </xdr:nvPicPr>
      <xdr:blipFill>
        <a:blip r:embed="rId612" cstate="email"/>
        <a:stretch>
          <a:fillRect/>
        </a:stretch>
      </xdr:blipFill>
      <xdr:spPr>
        <a:xfrm>
          <a:off x="243840" y="510369820"/>
          <a:ext cx="0" cy="655955"/>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xdr:cNvPicPr>
          <a:picLocks noChangeAspect="1"/>
        </xdr:cNvPicPr>
      </xdr:nvPicPr>
      <xdr:blipFill>
        <a:blip r:embed="rId611" cstate="email"/>
        <a:stretch>
          <a:fillRect/>
        </a:stretch>
      </xdr:blipFill>
      <xdr:spPr>
        <a:xfrm>
          <a:off x="243840" y="509708150"/>
          <a:ext cx="0" cy="650875"/>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xdr:cNvPicPr>
          <a:picLocks noChangeAspect="1"/>
        </xdr:cNvPicPr>
      </xdr:nvPicPr>
      <xdr:blipFill>
        <a:blip r:embed="rId611" cstate="email"/>
        <a:stretch>
          <a:fillRect/>
        </a:stretch>
      </xdr:blipFill>
      <xdr:spPr>
        <a:xfrm>
          <a:off x="243840" y="509009650"/>
          <a:ext cx="0" cy="650875"/>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xdr:cNvPicPr>
          <a:picLocks noChangeAspect="1"/>
        </xdr:cNvPicPr>
      </xdr:nvPicPr>
      <xdr:blipFill>
        <a:blip r:embed="rId613" cstate="email"/>
        <a:stretch>
          <a:fillRect/>
        </a:stretch>
      </xdr:blipFill>
      <xdr:spPr>
        <a:xfrm>
          <a:off x="243840" y="508311150"/>
          <a:ext cx="0" cy="629920"/>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xdr:cNvPicPr>
          <a:picLocks noChangeAspect="1"/>
        </xdr:cNvPicPr>
      </xdr:nvPicPr>
      <xdr:blipFill>
        <a:blip r:embed="rId613" cstate="email"/>
        <a:stretch>
          <a:fillRect/>
        </a:stretch>
      </xdr:blipFill>
      <xdr:spPr>
        <a:xfrm>
          <a:off x="243840" y="507636780"/>
          <a:ext cx="0" cy="629920"/>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xdr:cNvPicPr>
          <a:picLocks noChangeAspect="1"/>
        </xdr:cNvPicPr>
      </xdr:nvPicPr>
      <xdr:blipFill>
        <a:blip r:embed="rId613" cstate="email"/>
        <a:stretch>
          <a:fillRect/>
        </a:stretch>
      </xdr:blipFill>
      <xdr:spPr>
        <a:xfrm>
          <a:off x="243840" y="506909705"/>
          <a:ext cx="0" cy="629285"/>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xdr:cNvPicPr>
          <a:picLocks noChangeAspect="1"/>
        </xdr:cNvPicPr>
      </xdr:nvPicPr>
      <xdr:blipFill>
        <a:blip r:embed="rId614" cstate="email"/>
        <a:stretch>
          <a:fillRect/>
        </a:stretch>
      </xdr:blipFill>
      <xdr:spPr>
        <a:xfrm>
          <a:off x="243840" y="608884355"/>
          <a:ext cx="0" cy="647065"/>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xdr:cNvPicPr>
          <a:picLocks noChangeAspect="1"/>
        </xdr:cNvPicPr>
      </xdr:nvPicPr>
      <xdr:blipFill>
        <a:blip r:embed="rId614" cstate="email"/>
        <a:stretch>
          <a:fillRect/>
        </a:stretch>
      </xdr:blipFill>
      <xdr:spPr>
        <a:xfrm>
          <a:off x="243840" y="609596825"/>
          <a:ext cx="0" cy="646430"/>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xdr:cNvPicPr>
          <a:picLocks noChangeAspect="1"/>
        </xdr:cNvPicPr>
      </xdr:nvPicPr>
      <xdr:blipFill>
        <a:blip r:embed="rId615" cstate="email"/>
        <a:stretch>
          <a:fillRect/>
        </a:stretch>
      </xdr:blipFill>
      <xdr:spPr>
        <a:xfrm>
          <a:off x="243840" y="613096945"/>
          <a:ext cx="0" cy="608330"/>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xdr:cNvPicPr>
          <a:picLocks noChangeAspect="1"/>
        </xdr:cNvPicPr>
      </xdr:nvPicPr>
      <xdr:blipFill>
        <a:blip r:embed="rId615" cstate="email"/>
        <a:stretch>
          <a:fillRect/>
        </a:stretch>
      </xdr:blipFill>
      <xdr:spPr>
        <a:xfrm>
          <a:off x="243840" y="613784650"/>
          <a:ext cx="0" cy="608330"/>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xdr:cNvPicPr>
          <a:picLocks noChangeAspect="1"/>
        </xdr:cNvPicPr>
      </xdr:nvPicPr>
      <xdr:blipFill>
        <a:blip r:embed="rId616" cstate="email"/>
        <a:stretch>
          <a:fillRect/>
        </a:stretch>
      </xdr:blipFill>
      <xdr:spPr>
        <a:xfrm>
          <a:off x="243840" y="599807665"/>
          <a:ext cx="0" cy="646430"/>
        </a:xfrm>
        <a:prstGeom prst="rect">
          <a:avLst/>
        </a:prstGeom>
      </xdr:spPr>
    </xdr:pic>
    <xdr:clientData/>
  </xdr:twoCellAnchor>
  <xdr:twoCellAnchor editAs="oneCell">
    <xdr:from>
      <xdr:col>1</xdr:col>
      <xdr:colOff>191697</xdr:colOff>
      <xdr:row>882</xdr:row>
      <xdr:rowOff>23962</xdr:rowOff>
    </xdr:from>
    <xdr:to>
      <xdr:col>2</xdr:col>
      <xdr:colOff>69777</xdr:colOff>
      <xdr:row>883</xdr:row>
      <xdr:rowOff>0</xdr:rowOff>
    </xdr:to>
    <xdr:pic>
      <xdr:nvPicPr>
        <xdr:cNvPr id="759" name="Picture 758"/>
        <xdr:cNvPicPr>
          <a:picLocks noChangeAspect="1"/>
        </xdr:cNvPicPr>
      </xdr:nvPicPr>
      <xdr:blipFill>
        <a:blip r:embed="rId617" cstate="email"/>
        <a:stretch>
          <a:fillRect/>
        </a:stretch>
      </xdr:blipFill>
      <xdr:spPr>
        <a:xfrm>
          <a:off x="243840" y="615871895"/>
          <a:ext cx="69215" cy="67500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xdr:cNvPicPr>
          <a:picLocks noChangeAspect="1"/>
        </xdr:cNvPicPr>
      </xdr:nvPicPr>
      <xdr:blipFill>
        <a:blip r:embed="rId618" cstate="email"/>
        <a:stretch>
          <a:fillRect/>
        </a:stretch>
      </xdr:blipFill>
      <xdr:spPr>
        <a:xfrm>
          <a:off x="243840" y="592833460"/>
          <a:ext cx="0" cy="586740"/>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xdr:cNvPicPr>
          <a:picLocks noChangeAspect="1"/>
        </xdr:cNvPicPr>
      </xdr:nvPicPr>
      <xdr:blipFill>
        <a:blip r:embed="rId619" cstate="email"/>
        <a:stretch>
          <a:fillRect/>
        </a:stretch>
      </xdr:blipFill>
      <xdr:spPr>
        <a:xfrm>
          <a:off x="243840" y="592110830"/>
          <a:ext cx="0" cy="671195"/>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xdr:cNvPicPr>
          <a:picLocks noChangeAspect="1"/>
        </xdr:cNvPicPr>
      </xdr:nvPicPr>
      <xdr:blipFill>
        <a:blip r:embed="rId620" cstate="email"/>
        <a:stretch>
          <a:fillRect/>
        </a:stretch>
      </xdr:blipFill>
      <xdr:spPr>
        <a:xfrm>
          <a:off x="243840" y="617313345"/>
          <a:ext cx="0" cy="586740"/>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xdr:cNvPicPr>
          <a:picLocks noChangeAspect="1"/>
        </xdr:cNvPicPr>
      </xdr:nvPicPr>
      <xdr:blipFill>
        <a:blip r:embed="rId620" cstate="email"/>
        <a:stretch>
          <a:fillRect/>
        </a:stretch>
      </xdr:blipFill>
      <xdr:spPr>
        <a:xfrm>
          <a:off x="243840" y="617996605"/>
          <a:ext cx="0" cy="586740"/>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xdr:cNvPicPr>
          <a:picLocks noChangeAspect="1"/>
        </xdr:cNvPicPr>
      </xdr:nvPicPr>
      <xdr:blipFill>
        <a:blip r:embed="rId620" cstate="email"/>
        <a:stretch>
          <a:fillRect/>
        </a:stretch>
      </xdr:blipFill>
      <xdr:spPr>
        <a:xfrm>
          <a:off x="243840" y="618703995"/>
          <a:ext cx="0" cy="586740"/>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xdr:cNvPicPr>
          <a:picLocks noChangeAspect="1"/>
        </xdr:cNvPicPr>
      </xdr:nvPicPr>
      <xdr:blipFill>
        <a:blip r:embed="rId620" cstate="email"/>
        <a:stretch>
          <a:fillRect/>
        </a:stretch>
      </xdr:blipFill>
      <xdr:spPr>
        <a:xfrm>
          <a:off x="243840" y="619375190"/>
          <a:ext cx="0" cy="586740"/>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xdr:cNvPicPr>
          <a:picLocks noChangeAspect="1"/>
        </xdr:cNvPicPr>
      </xdr:nvPicPr>
      <xdr:blipFill>
        <a:blip r:embed="rId621" cstate="email"/>
        <a:stretch>
          <a:fillRect/>
        </a:stretch>
      </xdr:blipFill>
      <xdr:spPr>
        <a:xfrm>
          <a:off x="243840" y="620082580"/>
          <a:ext cx="0" cy="628650"/>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xdr:cNvPicPr>
          <a:picLocks noChangeAspect="1"/>
        </xdr:cNvPicPr>
      </xdr:nvPicPr>
      <xdr:blipFill>
        <a:blip r:embed="rId621" cstate="email"/>
        <a:stretch>
          <a:fillRect/>
        </a:stretch>
      </xdr:blipFill>
      <xdr:spPr>
        <a:xfrm>
          <a:off x="243840" y="620765840"/>
          <a:ext cx="0" cy="62801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xdr:cNvPicPr>
          <a:picLocks noChangeAspect="1"/>
        </xdr:cNvPicPr>
      </xdr:nvPicPr>
      <xdr:blipFill>
        <a:blip r:embed="rId622" cstate="email"/>
        <a:stretch>
          <a:fillRect/>
        </a:stretch>
      </xdr:blipFill>
      <xdr:spPr>
        <a:xfrm>
          <a:off x="243840" y="621459895"/>
          <a:ext cx="0" cy="639445"/>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xdr:cNvPicPr>
          <a:picLocks noChangeAspect="1"/>
        </xdr:cNvPicPr>
      </xdr:nvPicPr>
      <xdr:blipFill>
        <a:blip r:embed="rId615" cstate="email"/>
        <a:stretch>
          <a:fillRect/>
        </a:stretch>
      </xdr:blipFill>
      <xdr:spPr>
        <a:xfrm>
          <a:off x="243840" y="622158395"/>
          <a:ext cx="0" cy="608330"/>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xdr:cNvPicPr>
          <a:picLocks noChangeAspect="1"/>
        </xdr:cNvPicPr>
      </xdr:nvPicPr>
      <xdr:blipFill>
        <a:blip r:embed="rId623" cstate="email"/>
        <a:stretch>
          <a:fillRect/>
        </a:stretch>
      </xdr:blipFill>
      <xdr:spPr>
        <a:xfrm>
          <a:off x="241300" y="622856895"/>
          <a:ext cx="254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xdr:cNvPicPr>
          <a:picLocks noChangeAspect="1"/>
        </xdr:cNvPicPr>
      </xdr:nvPicPr>
      <xdr:blipFill>
        <a:blip r:embed="rId624" cstate="email"/>
        <a:stretch>
          <a:fillRect/>
        </a:stretch>
      </xdr:blipFill>
      <xdr:spPr>
        <a:xfrm>
          <a:off x="213995" y="623564285"/>
          <a:ext cx="29845"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xdr:cNvPicPr>
          <a:picLocks noChangeAspect="1"/>
        </xdr:cNvPicPr>
      </xdr:nvPicPr>
      <xdr:blipFill>
        <a:blip r:embed="rId624" cstate="email"/>
        <a:stretch>
          <a:fillRect/>
        </a:stretch>
      </xdr:blipFill>
      <xdr:spPr>
        <a:xfrm>
          <a:off x="210820" y="624247545"/>
          <a:ext cx="3302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xdr:cNvPicPr>
          <a:picLocks noChangeAspect="1"/>
        </xdr:cNvPicPr>
      </xdr:nvPicPr>
      <xdr:blipFill>
        <a:blip r:embed="rId625" cstate="email"/>
        <a:stretch>
          <a:fillRect/>
        </a:stretch>
      </xdr:blipFill>
      <xdr:spPr>
        <a:xfrm>
          <a:off x="229235" y="624952395"/>
          <a:ext cx="14605"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xdr:cNvPicPr>
          <a:picLocks noChangeAspect="1"/>
        </xdr:cNvPicPr>
      </xdr:nvPicPr>
      <xdr:blipFill>
        <a:blip r:embed="rId626" cstate="email"/>
        <a:stretch>
          <a:fillRect/>
        </a:stretch>
      </xdr:blipFill>
      <xdr:spPr>
        <a:xfrm>
          <a:off x="243840" y="625650895"/>
          <a:ext cx="0" cy="676910"/>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xdr:cNvPicPr>
          <a:picLocks noChangeAspect="1"/>
        </xdr:cNvPicPr>
      </xdr:nvPicPr>
      <xdr:blipFill>
        <a:blip r:embed="rId627" cstate="email"/>
        <a:stretch>
          <a:fillRect/>
        </a:stretch>
      </xdr:blipFill>
      <xdr:spPr>
        <a:xfrm>
          <a:off x="243840" y="626349395"/>
          <a:ext cx="0" cy="675005"/>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xdr:cNvPicPr>
          <a:picLocks noChangeAspect="1"/>
        </xdr:cNvPicPr>
      </xdr:nvPicPr>
      <xdr:blipFill>
        <a:blip r:embed="rId628" cstate="email"/>
        <a:stretch>
          <a:fillRect/>
        </a:stretch>
      </xdr:blipFill>
      <xdr:spPr>
        <a:xfrm>
          <a:off x="243840" y="614474895"/>
          <a:ext cx="0" cy="635000"/>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xdr:cNvPicPr>
          <a:picLocks noChangeAspect="1"/>
        </xdr:cNvPicPr>
      </xdr:nvPicPr>
      <xdr:blipFill>
        <a:blip r:embed="rId629" cstate="email"/>
        <a:stretch>
          <a:fillRect/>
        </a:stretch>
      </xdr:blipFill>
      <xdr:spPr>
        <a:xfrm>
          <a:off x="241300" y="627746395"/>
          <a:ext cx="2540" cy="635000"/>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xdr:cNvPicPr>
          <a:picLocks noChangeAspect="1"/>
        </xdr:cNvPicPr>
      </xdr:nvPicPr>
      <xdr:blipFill>
        <a:blip r:embed="rId629" cstate="email"/>
        <a:stretch>
          <a:fillRect/>
        </a:stretch>
      </xdr:blipFill>
      <xdr:spPr>
        <a:xfrm>
          <a:off x="241300" y="628444895"/>
          <a:ext cx="2540" cy="635000"/>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xdr:cNvPicPr>
          <a:picLocks noChangeAspect="1"/>
        </xdr:cNvPicPr>
      </xdr:nvPicPr>
      <xdr:blipFill>
        <a:blip r:embed="rId630" cstate="email"/>
        <a:stretch>
          <a:fillRect/>
        </a:stretch>
      </xdr:blipFill>
      <xdr:spPr>
        <a:xfrm>
          <a:off x="243840" y="629119900"/>
          <a:ext cx="0" cy="646430"/>
        </a:xfrm>
        <a:prstGeom prst="rect">
          <a:avLst/>
        </a:prstGeom>
      </xdr:spPr>
    </xdr:pic>
    <xdr:clientData/>
  </xdr:twoCellAnchor>
  <xdr:twoCellAnchor editAs="oneCell">
    <xdr:from>
      <xdr:col>1</xdr:col>
      <xdr:colOff>119811</xdr:colOff>
      <xdr:row>902</xdr:row>
      <xdr:rowOff>35944</xdr:rowOff>
    </xdr:from>
    <xdr:to>
      <xdr:col>2</xdr:col>
      <xdr:colOff>0</xdr:colOff>
      <xdr:row>903</xdr:row>
      <xdr:rowOff>3466</xdr:rowOff>
    </xdr:to>
    <xdr:pic>
      <xdr:nvPicPr>
        <xdr:cNvPr id="780" name="Picture 779"/>
        <xdr:cNvPicPr>
          <a:picLocks noChangeAspect="1"/>
        </xdr:cNvPicPr>
      </xdr:nvPicPr>
      <xdr:blipFill>
        <a:blip r:embed="rId631" cstate="email"/>
        <a:stretch>
          <a:fillRect/>
        </a:stretch>
      </xdr:blipFill>
      <xdr:spPr>
        <a:xfrm>
          <a:off x="241300" y="629853960"/>
          <a:ext cx="2540" cy="66611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xdr:cNvPicPr>
          <a:picLocks noChangeAspect="1"/>
        </xdr:cNvPicPr>
      </xdr:nvPicPr>
      <xdr:blipFill>
        <a:blip r:embed="rId632" cstate="email"/>
        <a:stretch>
          <a:fillRect/>
        </a:stretch>
      </xdr:blipFill>
      <xdr:spPr>
        <a:xfrm>
          <a:off x="241300" y="627047895"/>
          <a:ext cx="254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xdr:cNvPicPr>
          <a:picLocks noChangeAspect="1"/>
        </xdr:cNvPicPr>
      </xdr:nvPicPr>
      <xdr:blipFill>
        <a:blip r:embed="rId633" cstate="email"/>
        <a:stretch>
          <a:fillRect/>
        </a:stretch>
      </xdr:blipFill>
      <xdr:spPr>
        <a:xfrm>
          <a:off x="241300" y="630552460"/>
          <a:ext cx="2540" cy="626745"/>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xdr:cNvPicPr>
          <a:picLocks noChangeAspect="1"/>
        </xdr:cNvPicPr>
      </xdr:nvPicPr>
      <xdr:blipFill>
        <a:blip r:embed="rId634" cstate="email"/>
        <a:stretch>
          <a:fillRect/>
        </a:stretch>
      </xdr:blipFill>
      <xdr:spPr>
        <a:xfrm>
          <a:off x="243840" y="631238895"/>
          <a:ext cx="0" cy="626745"/>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xdr:cNvPicPr>
          <a:picLocks noChangeAspect="1"/>
        </xdr:cNvPicPr>
      </xdr:nvPicPr>
      <xdr:blipFill>
        <a:blip r:embed="rId634" cstate="email"/>
        <a:stretch>
          <a:fillRect/>
        </a:stretch>
      </xdr:blipFill>
      <xdr:spPr>
        <a:xfrm>
          <a:off x="243840" y="631961525"/>
          <a:ext cx="0" cy="626110"/>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xdr:cNvPicPr>
          <a:picLocks noChangeAspect="1"/>
        </xdr:cNvPicPr>
      </xdr:nvPicPr>
      <xdr:blipFill>
        <a:blip r:embed="rId635" cstate="email"/>
        <a:stretch>
          <a:fillRect/>
        </a:stretch>
      </xdr:blipFill>
      <xdr:spPr>
        <a:xfrm>
          <a:off x="217170" y="632612400"/>
          <a:ext cx="26670" cy="706120"/>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xdr:cNvPicPr>
          <a:picLocks noChangeAspect="1"/>
        </xdr:cNvPicPr>
      </xdr:nvPicPr>
      <xdr:blipFill>
        <a:blip r:embed="rId636" cstate="email"/>
        <a:stretch>
          <a:fillRect/>
        </a:stretch>
      </xdr:blipFill>
      <xdr:spPr>
        <a:xfrm>
          <a:off x="243840" y="633334395"/>
          <a:ext cx="0" cy="661035"/>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xdr:cNvPicPr>
          <a:picLocks noChangeAspect="1"/>
        </xdr:cNvPicPr>
      </xdr:nvPicPr>
      <xdr:blipFill>
        <a:blip r:embed="rId637" cstate="email"/>
        <a:stretch>
          <a:fillRect/>
        </a:stretch>
      </xdr:blipFill>
      <xdr:spPr>
        <a:xfrm>
          <a:off x="241300" y="634032895"/>
          <a:ext cx="2540" cy="647065"/>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xdr:cNvPicPr>
          <a:picLocks noChangeAspect="1"/>
        </xdr:cNvPicPr>
      </xdr:nvPicPr>
      <xdr:blipFill>
        <a:blip r:embed="rId638" cstate="email"/>
        <a:stretch>
          <a:fillRect/>
        </a:stretch>
      </xdr:blipFill>
      <xdr:spPr>
        <a:xfrm>
          <a:off x="243840" y="634731395"/>
          <a:ext cx="0" cy="668020"/>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xdr:cNvPicPr>
          <a:picLocks noChangeAspect="1"/>
        </xdr:cNvPicPr>
      </xdr:nvPicPr>
      <xdr:blipFill>
        <a:blip r:embed="rId639" cstate="email"/>
        <a:stretch>
          <a:fillRect/>
        </a:stretch>
      </xdr:blipFill>
      <xdr:spPr>
        <a:xfrm>
          <a:off x="229235" y="635429895"/>
          <a:ext cx="14605" cy="66167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xdr:cNvPicPr>
          <a:picLocks noChangeAspect="1"/>
        </xdr:cNvPicPr>
      </xdr:nvPicPr>
      <xdr:blipFill>
        <a:blip r:embed="rId640" cstate="email"/>
        <a:stretch>
          <a:fillRect/>
        </a:stretch>
      </xdr:blipFill>
      <xdr:spPr>
        <a:xfrm>
          <a:off x="243840" y="610260400"/>
          <a:ext cx="0" cy="676275"/>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xdr:cNvPicPr>
          <a:picLocks noChangeAspect="1"/>
        </xdr:cNvPicPr>
      </xdr:nvPicPr>
      <xdr:blipFill>
        <a:blip r:embed="rId641" cstate="email"/>
        <a:stretch>
          <a:fillRect/>
        </a:stretch>
      </xdr:blipFill>
      <xdr:spPr>
        <a:xfrm>
          <a:off x="243840" y="611680895"/>
          <a:ext cx="0" cy="655320"/>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xdr:cNvPicPr>
          <a:picLocks noChangeAspect="1"/>
        </xdr:cNvPicPr>
      </xdr:nvPicPr>
      <xdr:blipFill>
        <a:blip r:embed="rId642" cstate="email"/>
        <a:stretch>
          <a:fillRect/>
        </a:stretch>
      </xdr:blipFill>
      <xdr:spPr>
        <a:xfrm>
          <a:off x="243840" y="612391460"/>
          <a:ext cx="0" cy="654685"/>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xdr:cNvPicPr>
          <a:picLocks noChangeAspect="1"/>
        </xdr:cNvPicPr>
      </xdr:nvPicPr>
      <xdr:blipFill>
        <a:blip r:embed="rId640" cstate="email"/>
        <a:stretch>
          <a:fillRect/>
        </a:stretch>
      </xdr:blipFill>
      <xdr:spPr>
        <a:xfrm>
          <a:off x="243840" y="610970330"/>
          <a:ext cx="0" cy="67691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xdr:cNvPicPr>
          <a:picLocks noChangeAspect="1"/>
        </xdr:cNvPicPr>
      </xdr:nvPicPr>
      <xdr:blipFill>
        <a:blip r:embed="rId643" cstate="email"/>
        <a:stretch>
          <a:fillRect/>
        </a:stretch>
      </xdr:blipFill>
      <xdr:spPr>
        <a:xfrm>
          <a:off x="243840" y="615161330"/>
          <a:ext cx="0" cy="63690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xdr:cNvPicPr>
          <a:picLocks noChangeAspect="1"/>
        </xdr:cNvPicPr>
      </xdr:nvPicPr>
      <xdr:blipFill>
        <a:blip r:embed="rId644" cstate="email"/>
        <a:stretch>
          <a:fillRect/>
        </a:stretch>
      </xdr:blipFill>
      <xdr:spPr>
        <a:xfrm>
          <a:off x="193675" y="493636300"/>
          <a:ext cx="50165"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xdr:cNvPicPr>
          <a:picLocks noChangeAspect="1"/>
        </xdr:cNvPicPr>
      </xdr:nvPicPr>
      <xdr:blipFill>
        <a:blip r:embed="rId645" cstate="email"/>
        <a:stretch>
          <a:fillRect/>
        </a:stretch>
      </xdr:blipFill>
      <xdr:spPr>
        <a:xfrm>
          <a:off x="243840" y="460816960"/>
          <a:ext cx="0" cy="637540"/>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xdr:cNvPicPr>
          <a:picLocks noChangeAspect="1"/>
        </xdr:cNvPicPr>
      </xdr:nvPicPr>
      <xdr:blipFill>
        <a:blip r:embed="rId646" cstate="email"/>
        <a:stretch>
          <a:fillRect/>
        </a:stretch>
      </xdr:blipFill>
      <xdr:spPr>
        <a:xfrm>
          <a:off x="243840" y="636841500"/>
          <a:ext cx="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xdr:cNvPicPr>
          <a:picLocks noChangeAspect="1"/>
        </xdr:cNvPicPr>
      </xdr:nvPicPr>
      <xdr:blipFill>
        <a:blip r:embed="rId646" cstate="email"/>
        <a:stretch>
          <a:fillRect/>
        </a:stretch>
      </xdr:blipFill>
      <xdr:spPr>
        <a:xfrm>
          <a:off x="243840" y="637527300"/>
          <a:ext cx="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xdr:cNvPicPr>
          <a:picLocks noChangeAspect="1"/>
        </xdr:cNvPicPr>
      </xdr:nvPicPr>
      <xdr:blipFill>
        <a:blip r:embed="rId647" cstate="email"/>
        <a:stretch>
          <a:fillRect/>
        </a:stretch>
      </xdr:blipFill>
      <xdr:spPr>
        <a:xfrm>
          <a:off x="243840" y="638225800"/>
          <a:ext cx="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xdr:cNvPicPr>
          <a:picLocks noChangeAspect="1"/>
        </xdr:cNvPicPr>
      </xdr:nvPicPr>
      <xdr:blipFill>
        <a:blip r:embed="rId648" cstate="email"/>
        <a:stretch>
          <a:fillRect/>
        </a:stretch>
      </xdr:blipFill>
      <xdr:spPr>
        <a:xfrm>
          <a:off x="243840" y="437770905"/>
          <a:ext cx="0" cy="647065"/>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xdr:cNvPicPr>
          <a:picLocks noChangeAspect="1"/>
        </xdr:cNvPicPr>
      </xdr:nvPicPr>
      <xdr:blipFill>
        <a:blip r:embed="rId649" cstate="email"/>
        <a:stretch>
          <a:fillRect/>
        </a:stretch>
      </xdr:blipFill>
      <xdr:spPr>
        <a:xfrm>
          <a:off x="243840" y="548840660"/>
          <a:ext cx="0" cy="622935"/>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xdr:cNvPicPr>
          <a:picLocks noChangeAspect="1"/>
        </xdr:cNvPicPr>
      </xdr:nvPicPr>
      <xdr:blipFill>
        <a:blip r:embed="rId650" cstate="email"/>
        <a:stretch>
          <a:fillRect/>
        </a:stretch>
      </xdr:blipFill>
      <xdr:spPr>
        <a:xfrm>
          <a:off x="243840" y="557897030"/>
          <a:ext cx="0" cy="629285"/>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xdr:cNvPicPr>
          <a:picLocks noChangeAspect="1"/>
        </xdr:cNvPicPr>
      </xdr:nvPicPr>
      <xdr:blipFill>
        <a:blip r:embed="rId651" cstate="email"/>
        <a:stretch>
          <a:fillRect/>
        </a:stretch>
      </xdr:blipFill>
      <xdr:spPr>
        <a:xfrm>
          <a:off x="243840" y="598425905"/>
          <a:ext cx="0" cy="64643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xdr:cNvPicPr>
          <a:picLocks noChangeAspect="1"/>
        </xdr:cNvPicPr>
      </xdr:nvPicPr>
      <xdr:blipFill>
        <a:blip r:embed="rId652" cstate="email"/>
        <a:stretch>
          <a:fillRect/>
        </a:stretch>
      </xdr:blipFill>
      <xdr:spPr>
        <a:xfrm>
          <a:off x="243840" y="600520135"/>
          <a:ext cx="0" cy="607695"/>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xdr:cNvPicPr>
          <a:picLocks noChangeAspect="1"/>
        </xdr:cNvPicPr>
      </xdr:nvPicPr>
      <xdr:blipFill>
        <a:blip r:embed="rId653" cstate="email"/>
        <a:stretch>
          <a:fillRect/>
        </a:stretch>
      </xdr:blipFill>
      <xdr:spPr>
        <a:xfrm>
          <a:off x="243840" y="601225620"/>
          <a:ext cx="0" cy="607060"/>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xdr:cNvPicPr>
          <a:picLocks noChangeAspect="1"/>
        </xdr:cNvPicPr>
      </xdr:nvPicPr>
      <xdr:blipFill>
        <a:blip r:embed="rId654" cstate="email"/>
        <a:stretch>
          <a:fillRect/>
        </a:stretch>
      </xdr:blipFill>
      <xdr:spPr>
        <a:xfrm>
          <a:off x="227330" y="601927930"/>
          <a:ext cx="16510" cy="671195"/>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xdr:cNvPicPr>
          <a:picLocks noChangeAspect="1"/>
        </xdr:cNvPicPr>
      </xdr:nvPicPr>
      <xdr:blipFill>
        <a:blip r:embed="rId655" cstate="email"/>
        <a:stretch>
          <a:fillRect/>
        </a:stretch>
      </xdr:blipFill>
      <xdr:spPr>
        <a:xfrm>
          <a:off x="167005" y="604000570"/>
          <a:ext cx="76835" cy="626745"/>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xdr:cNvPicPr>
          <a:picLocks noChangeAspect="1"/>
        </xdr:cNvPicPr>
      </xdr:nvPicPr>
      <xdr:blipFill>
        <a:blip r:embed="rId656" cstate="email"/>
        <a:stretch>
          <a:fillRect/>
        </a:stretch>
      </xdr:blipFill>
      <xdr:spPr>
        <a:xfrm>
          <a:off x="182245" y="604702245"/>
          <a:ext cx="61595" cy="657860"/>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xdr:cNvPicPr>
          <a:picLocks noChangeAspect="1"/>
        </xdr:cNvPicPr>
      </xdr:nvPicPr>
      <xdr:blipFill>
        <a:blip r:embed="rId657" cstate="email"/>
        <a:stretch>
          <a:fillRect/>
        </a:stretch>
      </xdr:blipFill>
      <xdr:spPr>
        <a:xfrm>
          <a:off x="182245" y="602640400"/>
          <a:ext cx="61595" cy="638175"/>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xdr:cNvPicPr>
          <a:picLocks noChangeAspect="1"/>
        </xdr:cNvPicPr>
      </xdr:nvPicPr>
      <xdr:blipFill>
        <a:blip r:embed="rId658" cstate="email"/>
        <a:stretch>
          <a:fillRect/>
        </a:stretch>
      </xdr:blipFill>
      <xdr:spPr>
        <a:xfrm>
          <a:off x="198120" y="603309690"/>
          <a:ext cx="45720" cy="635000"/>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xdr:cNvPicPr>
          <a:picLocks noChangeAspect="1"/>
        </xdr:cNvPicPr>
      </xdr:nvPicPr>
      <xdr:blipFill>
        <a:blip r:embed="rId659" cstate="email"/>
        <a:stretch>
          <a:fillRect/>
        </a:stretch>
      </xdr:blipFill>
      <xdr:spPr>
        <a:xfrm>
          <a:off x="197485" y="605408365"/>
          <a:ext cx="46355" cy="612140"/>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xdr:cNvPicPr>
          <a:picLocks noChangeAspect="1"/>
        </xdr:cNvPicPr>
      </xdr:nvPicPr>
      <xdr:blipFill>
        <a:blip r:embed="rId660" cstate="email"/>
        <a:stretch>
          <a:fillRect/>
        </a:stretch>
      </xdr:blipFill>
      <xdr:spPr>
        <a:xfrm>
          <a:off x="197485" y="606099245"/>
          <a:ext cx="46355" cy="65024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xdr:cNvPicPr>
          <a:picLocks noChangeAspect="1"/>
        </xdr:cNvPicPr>
      </xdr:nvPicPr>
      <xdr:blipFill>
        <a:blip r:embed="rId661" cstate="email"/>
        <a:stretch>
          <a:fillRect/>
        </a:stretch>
      </xdr:blipFill>
      <xdr:spPr>
        <a:xfrm>
          <a:off x="242570" y="607496245"/>
          <a:ext cx="1270" cy="614680"/>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xdr:cNvPicPr>
          <a:picLocks noChangeAspect="1"/>
        </xdr:cNvPicPr>
      </xdr:nvPicPr>
      <xdr:blipFill>
        <a:blip r:embed="rId662" cstate="email"/>
        <a:stretch>
          <a:fillRect/>
        </a:stretch>
      </xdr:blipFill>
      <xdr:spPr>
        <a:xfrm>
          <a:off x="243840" y="428002700"/>
          <a:ext cx="0" cy="652780"/>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xdr:cNvPicPr>
          <a:picLocks noChangeAspect="1"/>
        </xdr:cNvPicPr>
      </xdr:nvPicPr>
      <xdr:blipFill>
        <a:blip r:embed="rId663" cstate="email"/>
        <a:stretch>
          <a:fillRect/>
        </a:stretch>
      </xdr:blipFill>
      <xdr:spPr>
        <a:xfrm>
          <a:off x="206375" y="429377475"/>
          <a:ext cx="37465" cy="650240"/>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xdr:cNvPicPr>
          <a:picLocks noChangeAspect="1"/>
        </xdr:cNvPicPr>
      </xdr:nvPicPr>
      <xdr:blipFill>
        <a:blip r:embed="rId645" cstate="email"/>
        <a:stretch>
          <a:fillRect/>
        </a:stretch>
      </xdr:blipFill>
      <xdr:spPr>
        <a:xfrm>
          <a:off x="243840" y="462893410"/>
          <a:ext cx="0" cy="638175"/>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xdr:cNvPicPr>
          <a:picLocks noChangeAspect="1"/>
        </xdr:cNvPicPr>
      </xdr:nvPicPr>
      <xdr:blipFill>
        <a:blip r:embed="rId664" cstate="email"/>
        <a:stretch>
          <a:fillRect/>
        </a:stretch>
      </xdr:blipFill>
      <xdr:spPr>
        <a:xfrm>
          <a:off x="243840" y="479004630"/>
          <a:ext cx="0" cy="628015"/>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xdr:cNvPicPr>
          <a:picLocks noChangeAspect="1"/>
        </xdr:cNvPicPr>
      </xdr:nvPicPr>
      <xdr:blipFill>
        <a:blip r:embed="rId665" cstate="email"/>
        <a:stretch>
          <a:fillRect/>
        </a:stretch>
      </xdr:blipFill>
      <xdr:spPr>
        <a:xfrm>
          <a:off x="243840" y="512486910"/>
          <a:ext cx="0" cy="645795"/>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xdr:cNvPicPr>
          <a:picLocks noChangeAspect="1"/>
        </xdr:cNvPicPr>
      </xdr:nvPicPr>
      <xdr:blipFill>
        <a:blip r:embed="rId666" cstate="email"/>
        <a:stretch>
          <a:fillRect/>
        </a:stretch>
      </xdr:blipFill>
      <xdr:spPr>
        <a:xfrm>
          <a:off x="243840" y="638933825"/>
          <a:ext cx="0" cy="615950"/>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xdr:cNvPicPr>
          <a:picLocks noChangeAspect="1"/>
        </xdr:cNvPicPr>
      </xdr:nvPicPr>
      <xdr:blipFill>
        <a:blip r:embed="rId667" cstate="email"/>
        <a:stretch>
          <a:fillRect/>
        </a:stretch>
      </xdr:blipFill>
      <xdr:spPr>
        <a:xfrm>
          <a:off x="203200" y="639608830"/>
          <a:ext cx="40640" cy="658495"/>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xdr:cNvPicPr>
          <a:picLocks noChangeAspect="1"/>
        </xdr:cNvPicPr>
      </xdr:nvPicPr>
      <xdr:blipFill>
        <a:blip r:embed="rId668" cstate="email"/>
        <a:stretch>
          <a:fillRect/>
        </a:stretch>
      </xdr:blipFill>
      <xdr:spPr>
        <a:xfrm>
          <a:off x="203200" y="640330825"/>
          <a:ext cx="40640" cy="652145"/>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xdr:cNvPicPr>
          <a:picLocks noChangeAspect="1"/>
        </xdr:cNvPicPr>
      </xdr:nvPicPr>
      <xdr:blipFill>
        <a:blip r:embed="rId668" cstate="email"/>
        <a:stretch>
          <a:fillRect/>
        </a:stretch>
      </xdr:blipFill>
      <xdr:spPr>
        <a:xfrm>
          <a:off x="226695" y="641029325"/>
          <a:ext cx="17145" cy="652145"/>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xdr:cNvPicPr>
          <a:picLocks noChangeAspect="1"/>
        </xdr:cNvPicPr>
      </xdr:nvPicPr>
      <xdr:blipFill>
        <a:blip r:embed="rId669" cstate="email"/>
        <a:stretch>
          <a:fillRect/>
        </a:stretch>
      </xdr:blipFill>
      <xdr:spPr>
        <a:xfrm>
          <a:off x="226695" y="641715760"/>
          <a:ext cx="17145" cy="675640"/>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xdr:cNvPicPr>
          <a:picLocks noChangeAspect="1"/>
        </xdr:cNvPicPr>
      </xdr:nvPicPr>
      <xdr:blipFill>
        <a:blip r:embed="rId670" cstate="email"/>
        <a:stretch>
          <a:fillRect/>
        </a:stretch>
      </xdr:blipFill>
      <xdr:spPr>
        <a:xfrm>
          <a:off x="144780" y="642414260"/>
          <a:ext cx="99060"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xdr:cNvPicPr>
          <a:picLocks noChangeAspect="1"/>
        </xdr:cNvPicPr>
      </xdr:nvPicPr>
      <xdr:blipFill>
        <a:blip r:embed="rId671" cstate="email"/>
        <a:stretch>
          <a:fillRect/>
        </a:stretch>
      </xdr:blipFill>
      <xdr:spPr>
        <a:xfrm>
          <a:off x="121920" y="643089900"/>
          <a:ext cx="121920" cy="655955"/>
        </a:xfrm>
        <a:prstGeom prst="rect">
          <a:avLst/>
        </a:prstGeom>
      </xdr:spPr>
    </xdr:pic>
    <xdr:clientData/>
  </xdr:twoCellAnchor>
  <xdr:twoCellAnchor editAs="oneCell">
    <xdr:from>
      <xdr:col>1</xdr:col>
      <xdr:colOff>34954</xdr:colOff>
      <xdr:row>923</xdr:row>
      <xdr:rowOff>23304</xdr:rowOff>
    </xdr:from>
    <xdr:to>
      <xdr:col>2</xdr:col>
      <xdr:colOff>0</xdr:colOff>
      <xdr:row>924</xdr:row>
      <xdr:rowOff>1815</xdr:rowOff>
    </xdr:to>
    <xdr:pic>
      <xdr:nvPicPr>
        <xdr:cNvPr id="826" name="Picture 825"/>
        <xdr:cNvPicPr>
          <a:picLocks noChangeAspect="1"/>
        </xdr:cNvPicPr>
      </xdr:nvPicPr>
      <xdr:blipFill>
        <a:blip r:embed="rId672" cstate="email"/>
        <a:stretch>
          <a:fillRect/>
        </a:stretch>
      </xdr:blipFill>
      <xdr:spPr>
        <a:xfrm>
          <a:off x="156845" y="644509760"/>
          <a:ext cx="86995" cy="676910"/>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xdr:cNvPicPr>
          <a:picLocks noChangeAspect="1"/>
        </xdr:cNvPicPr>
      </xdr:nvPicPr>
      <xdr:blipFill>
        <a:blip r:embed="rId671" cstate="email"/>
        <a:stretch>
          <a:fillRect/>
        </a:stretch>
      </xdr:blipFill>
      <xdr:spPr>
        <a:xfrm>
          <a:off x="121920" y="643788400"/>
          <a:ext cx="121920" cy="655955"/>
        </a:xfrm>
        <a:prstGeom prst="rect">
          <a:avLst/>
        </a:prstGeom>
      </xdr:spPr>
    </xdr:pic>
    <xdr:clientData/>
  </xdr:twoCellAnchor>
  <xdr:twoCellAnchor editAs="oneCell">
    <xdr:from>
      <xdr:col>1</xdr:col>
      <xdr:colOff>46605</xdr:colOff>
      <xdr:row>924</xdr:row>
      <xdr:rowOff>23303</xdr:rowOff>
    </xdr:from>
    <xdr:to>
      <xdr:col>2</xdr:col>
      <xdr:colOff>0</xdr:colOff>
      <xdr:row>924</xdr:row>
      <xdr:rowOff>659284</xdr:rowOff>
    </xdr:to>
    <xdr:pic>
      <xdr:nvPicPr>
        <xdr:cNvPr id="828" name="Picture 827"/>
        <xdr:cNvPicPr>
          <a:picLocks noChangeAspect="1"/>
        </xdr:cNvPicPr>
      </xdr:nvPicPr>
      <xdr:blipFill>
        <a:blip r:embed="rId673" cstate="email"/>
        <a:stretch>
          <a:fillRect/>
        </a:stretch>
      </xdr:blipFill>
      <xdr:spPr>
        <a:xfrm>
          <a:off x="168275" y="645208260"/>
          <a:ext cx="75565" cy="636270"/>
        </a:xfrm>
        <a:prstGeom prst="rect">
          <a:avLst/>
        </a:prstGeom>
      </xdr:spPr>
    </xdr:pic>
    <xdr:clientData/>
  </xdr:twoCellAnchor>
  <xdr:twoCellAnchor editAs="oneCell">
    <xdr:from>
      <xdr:col>1</xdr:col>
      <xdr:colOff>58257</xdr:colOff>
      <xdr:row>925</xdr:row>
      <xdr:rowOff>23302</xdr:rowOff>
    </xdr:from>
    <xdr:to>
      <xdr:col>2</xdr:col>
      <xdr:colOff>0</xdr:colOff>
      <xdr:row>925</xdr:row>
      <xdr:rowOff>657223</xdr:rowOff>
    </xdr:to>
    <xdr:pic>
      <xdr:nvPicPr>
        <xdr:cNvPr id="829" name="Picture 828"/>
        <xdr:cNvPicPr>
          <a:picLocks noChangeAspect="1"/>
        </xdr:cNvPicPr>
      </xdr:nvPicPr>
      <xdr:blipFill>
        <a:blip r:embed="rId674" cstate="email"/>
        <a:stretch>
          <a:fillRect/>
        </a:stretch>
      </xdr:blipFill>
      <xdr:spPr>
        <a:xfrm>
          <a:off x="179705" y="645906760"/>
          <a:ext cx="64135" cy="633730"/>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xdr:cNvPicPr>
          <a:picLocks noChangeAspect="1"/>
        </xdr:cNvPicPr>
      </xdr:nvPicPr>
      <xdr:blipFill>
        <a:blip r:embed="rId675" cstate="email"/>
        <a:stretch>
          <a:fillRect/>
        </a:stretch>
      </xdr:blipFill>
      <xdr:spPr>
        <a:xfrm>
          <a:off x="156845" y="646617325"/>
          <a:ext cx="86995" cy="637540"/>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xdr:cNvPicPr>
          <a:picLocks noChangeAspect="1"/>
        </xdr:cNvPicPr>
      </xdr:nvPicPr>
      <xdr:blipFill>
        <a:blip r:embed="rId676" cstate="email"/>
        <a:stretch>
          <a:fillRect/>
        </a:stretch>
      </xdr:blipFill>
      <xdr:spPr>
        <a:xfrm>
          <a:off x="144780" y="647315825"/>
          <a:ext cx="99060" cy="655955"/>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xdr:cNvPicPr>
          <a:picLocks noChangeAspect="1"/>
        </xdr:cNvPicPr>
      </xdr:nvPicPr>
      <xdr:blipFill>
        <a:blip r:embed="rId677" cstate="email"/>
        <a:stretch>
          <a:fillRect/>
        </a:stretch>
      </xdr:blipFill>
      <xdr:spPr>
        <a:xfrm>
          <a:off x="156845" y="648014325"/>
          <a:ext cx="86995" cy="648970"/>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xdr:cNvPicPr>
          <a:picLocks noChangeAspect="1"/>
        </xdr:cNvPicPr>
      </xdr:nvPicPr>
      <xdr:blipFill>
        <a:blip r:embed="rId678" cstate="email"/>
        <a:stretch>
          <a:fillRect/>
        </a:stretch>
      </xdr:blipFill>
      <xdr:spPr>
        <a:xfrm>
          <a:off x="156845" y="648712825"/>
          <a:ext cx="86995" cy="640715"/>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xdr:cNvPicPr>
          <a:picLocks noChangeAspect="1"/>
        </xdr:cNvPicPr>
      </xdr:nvPicPr>
      <xdr:blipFill>
        <a:blip r:embed="rId679" cstate="email"/>
        <a:stretch>
          <a:fillRect/>
        </a:stretch>
      </xdr:blipFill>
      <xdr:spPr>
        <a:xfrm>
          <a:off x="156845" y="649411325"/>
          <a:ext cx="86995" cy="643255"/>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xdr:cNvPicPr>
          <a:picLocks noChangeAspect="1"/>
        </xdr:cNvPicPr>
      </xdr:nvPicPr>
      <xdr:blipFill>
        <a:blip r:embed="rId680" cstate="email"/>
        <a:stretch>
          <a:fillRect/>
        </a:stretch>
      </xdr:blipFill>
      <xdr:spPr>
        <a:xfrm>
          <a:off x="156845" y="650109825"/>
          <a:ext cx="86995" cy="645795"/>
        </a:xfrm>
        <a:prstGeom prst="rect">
          <a:avLst/>
        </a:prstGeom>
      </xdr:spPr>
    </xdr:pic>
    <xdr:clientData/>
  </xdr:twoCellAnchor>
  <xdr:twoCellAnchor editAs="oneCell">
    <xdr:from>
      <xdr:col>1</xdr:col>
      <xdr:colOff>104861</xdr:colOff>
      <xdr:row>932</xdr:row>
      <xdr:rowOff>58257</xdr:rowOff>
    </xdr:from>
    <xdr:to>
      <xdr:col>2</xdr:col>
      <xdr:colOff>0</xdr:colOff>
      <xdr:row>932</xdr:row>
      <xdr:rowOff>697669</xdr:rowOff>
    </xdr:to>
    <xdr:pic>
      <xdr:nvPicPr>
        <xdr:cNvPr id="836" name="Picture 835"/>
        <xdr:cNvPicPr>
          <a:picLocks noChangeAspect="1"/>
        </xdr:cNvPicPr>
      </xdr:nvPicPr>
      <xdr:blipFill>
        <a:blip r:embed="rId681" cstate="email"/>
        <a:stretch>
          <a:fillRect/>
        </a:stretch>
      </xdr:blipFill>
      <xdr:spPr>
        <a:xfrm>
          <a:off x="226695" y="650831185"/>
          <a:ext cx="17145" cy="639445"/>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xdr:cNvPicPr>
          <a:picLocks noChangeAspect="1"/>
        </xdr:cNvPicPr>
      </xdr:nvPicPr>
      <xdr:blipFill>
        <a:blip r:embed="rId682" cstate="email"/>
        <a:stretch>
          <a:fillRect/>
        </a:stretch>
      </xdr:blipFill>
      <xdr:spPr>
        <a:xfrm>
          <a:off x="156845" y="652903825"/>
          <a:ext cx="86995" cy="643255"/>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xdr:cNvPicPr>
          <a:picLocks noChangeAspect="1"/>
        </xdr:cNvPicPr>
      </xdr:nvPicPr>
      <xdr:blipFill>
        <a:blip r:embed="rId682" cstate="email"/>
        <a:stretch>
          <a:fillRect/>
        </a:stretch>
      </xdr:blipFill>
      <xdr:spPr>
        <a:xfrm>
          <a:off x="121920" y="653567400"/>
          <a:ext cx="121920" cy="643255"/>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xdr:cNvPicPr>
          <a:picLocks noChangeAspect="1"/>
        </xdr:cNvPicPr>
      </xdr:nvPicPr>
      <xdr:blipFill>
        <a:blip r:embed="rId683" cstate="email"/>
        <a:stretch>
          <a:fillRect/>
        </a:stretch>
      </xdr:blipFill>
      <xdr:spPr>
        <a:xfrm>
          <a:off x="191770" y="651506825"/>
          <a:ext cx="52070" cy="64135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xdr:cNvPicPr>
          <a:picLocks noChangeAspect="1"/>
        </xdr:cNvPicPr>
      </xdr:nvPicPr>
      <xdr:blipFill>
        <a:blip r:embed="rId684" cstate="email"/>
        <a:stretch>
          <a:fillRect/>
        </a:stretch>
      </xdr:blipFill>
      <xdr:spPr>
        <a:xfrm>
          <a:off x="121920" y="652170400"/>
          <a:ext cx="121920" cy="64135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xdr:cNvPicPr>
          <a:picLocks noChangeAspect="1"/>
        </xdr:cNvPicPr>
      </xdr:nvPicPr>
      <xdr:blipFill>
        <a:blip r:embed="rId685" cstate="email"/>
        <a:stretch>
          <a:fillRect/>
        </a:stretch>
      </xdr:blipFill>
      <xdr:spPr>
        <a:xfrm>
          <a:off x="133350" y="654265900"/>
          <a:ext cx="110490" cy="664845"/>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xdr:cNvPicPr>
          <a:picLocks noChangeAspect="1"/>
        </xdr:cNvPicPr>
      </xdr:nvPicPr>
      <xdr:blipFill>
        <a:blip r:embed="rId686" cstate="email"/>
        <a:stretch>
          <a:fillRect/>
        </a:stretch>
      </xdr:blipFill>
      <xdr:spPr>
        <a:xfrm>
          <a:off x="146050" y="654999960"/>
          <a:ext cx="97790" cy="664210"/>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xdr:cNvPicPr>
          <a:picLocks noChangeAspect="1"/>
        </xdr:cNvPicPr>
      </xdr:nvPicPr>
      <xdr:blipFill>
        <a:blip r:embed="rId687" cstate="email"/>
        <a:stretch>
          <a:fillRect/>
        </a:stretch>
      </xdr:blipFill>
      <xdr:spPr>
        <a:xfrm>
          <a:off x="158115" y="655711160"/>
          <a:ext cx="85725" cy="664210"/>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xdr:cNvPicPr>
          <a:picLocks noChangeAspect="1"/>
        </xdr:cNvPicPr>
      </xdr:nvPicPr>
      <xdr:blipFill>
        <a:blip r:embed="rId688" cstate="email"/>
        <a:stretch>
          <a:fillRect/>
        </a:stretch>
      </xdr:blipFill>
      <xdr:spPr>
        <a:xfrm>
          <a:off x="168275" y="656407755"/>
          <a:ext cx="75565" cy="629285"/>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xdr:cNvPicPr>
          <a:picLocks noChangeAspect="1"/>
        </xdr:cNvPicPr>
      </xdr:nvPicPr>
      <xdr:blipFill>
        <a:blip r:embed="rId689" cstate="email"/>
        <a:stretch>
          <a:fillRect/>
        </a:stretch>
      </xdr:blipFill>
      <xdr:spPr>
        <a:xfrm>
          <a:off x="179705" y="659190325"/>
          <a:ext cx="64135" cy="628650"/>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xdr:cNvPicPr>
          <a:picLocks noChangeAspect="1"/>
        </xdr:cNvPicPr>
      </xdr:nvPicPr>
      <xdr:blipFill>
        <a:blip r:embed="rId690" cstate="email"/>
        <a:stretch>
          <a:fillRect/>
        </a:stretch>
      </xdr:blipFill>
      <xdr:spPr>
        <a:xfrm>
          <a:off x="156845" y="659865330"/>
          <a:ext cx="86995" cy="62928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xdr:cNvPicPr>
          <a:picLocks noChangeAspect="1"/>
        </xdr:cNvPicPr>
      </xdr:nvPicPr>
      <xdr:blipFill>
        <a:blip r:embed="rId691" cstate="email"/>
        <a:stretch>
          <a:fillRect/>
        </a:stretch>
      </xdr:blipFill>
      <xdr:spPr>
        <a:xfrm>
          <a:off x="168275" y="660587325"/>
          <a:ext cx="75565" cy="617220"/>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xdr:cNvPicPr>
          <a:picLocks noChangeAspect="1"/>
        </xdr:cNvPicPr>
      </xdr:nvPicPr>
      <xdr:blipFill>
        <a:blip r:embed="rId692" cstate="email"/>
        <a:stretch>
          <a:fillRect/>
        </a:stretch>
      </xdr:blipFill>
      <xdr:spPr>
        <a:xfrm>
          <a:off x="156845" y="661297255"/>
          <a:ext cx="86995" cy="66929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xdr:cNvPicPr>
          <a:picLocks noChangeAspect="1"/>
        </xdr:cNvPicPr>
      </xdr:nvPicPr>
      <xdr:blipFill>
        <a:blip r:embed="rId693" cstate="email"/>
        <a:stretch>
          <a:fillRect/>
        </a:stretch>
      </xdr:blipFill>
      <xdr:spPr>
        <a:xfrm>
          <a:off x="179705" y="662007185"/>
          <a:ext cx="64135"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xdr:cNvPicPr>
          <a:picLocks noChangeAspect="1"/>
        </xdr:cNvPicPr>
      </xdr:nvPicPr>
      <xdr:blipFill>
        <a:blip r:embed="rId694" cstate="email"/>
        <a:stretch>
          <a:fillRect/>
        </a:stretch>
      </xdr:blipFill>
      <xdr:spPr>
        <a:xfrm>
          <a:off x="144780" y="662682825"/>
          <a:ext cx="99060" cy="632460"/>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xdr:cNvPicPr>
          <a:picLocks noChangeAspect="1"/>
        </xdr:cNvPicPr>
      </xdr:nvPicPr>
      <xdr:blipFill>
        <a:blip r:embed="rId694" cstate="email"/>
        <a:stretch>
          <a:fillRect/>
        </a:stretch>
      </xdr:blipFill>
      <xdr:spPr>
        <a:xfrm>
          <a:off x="133350" y="663346400"/>
          <a:ext cx="110490" cy="632460"/>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xdr:cNvPicPr>
          <a:picLocks noChangeAspect="1"/>
        </xdr:cNvPicPr>
      </xdr:nvPicPr>
      <xdr:blipFill>
        <a:blip r:embed="rId694" cstate="email"/>
        <a:stretch>
          <a:fillRect/>
        </a:stretch>
      </xdr:blipFill>
      <xdr:spPr>
        <a:xfrm>
          <a:off x="156845" y="664079825"/>
          <a:ext cx="86995" cy="632460"/>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xdr:cNvPicPr>
          <a:picLocks noChangeAspect="1"/>
        </xdr:cNvPicPr>
      </xdr:nvPicPr>
      <xdr:blipFill>
        <a:blip r:embed="rId695" cstate="email"/>
        <a:stretch>
          <a:fillRect/>
        </a:stretch>
      </xdr:blipFill>
      <xdr:spPr>
        <a:xfrm>
          <a:off x="168275" y="664789755"/>
          <a:ext cx="75565" cy="640715"/>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xdr:cNvPicPr>
          <a:picLocks noChangeAspect="1"/>
        </xdr:cNvPicPr>
      </xdr:nvPicPr>
      <xdr:blipFill>
        <a:blip r:embed="rId696" cstate="email"/>
        <a:stretch>
          <a:fillRect/>
        </a:stretch>
      </xdr:blipFill>
      <xdr:spPr>
        <a:xfrm>
          <a:off x="156845" y="665464760"/>
          <a:ext cx="86995" cy="664210"/>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xdr:cNvPicPr>
          <a:picLocks noChangeAspect="1"/>
        </xdr:cNvPicPr>
      </xdr:nvPicPr>
      <xdr:blipFill>
        <a:blip r:embed="rId697" cstate="email"/>
        <a:stretch>
          <a:fillRect/>
        </a:stretch>
      </xdr:blipFill>
      <xdr:spPr>
        <a:xfrm>
          <a:off x="156845" y="666175325"/>
          <a:ext cx="86995" cy="640715"/>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xdr:cNvPicPr>
          <a:picLocks noChangeAspect="1"/>
        </xdr:cNvPicPr>
      </xdr:nvPicPr>
      <xdr:blipFill>
        <a:blip r:embed="rId698" cstate="email"/>
        <a:stretch>
          <a:fillRect/>
        </a:stretch>
      </xdr:blipFill>
      <xdr:spPr>
        <a:xfrm>
          <a:off x="156845" y="666873825"/>
          <a:ext cx="86995" cy="628650"/>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xdr:cNvPicPr>
          <a:picLocks noChangeAspect="1"/>
        </xdr:cNvPicPr>
      </xdr:nvPicPr>
      <xdr:blipFill>
        <a:blip r:embed="rId699" cstate="email"/>
        <a:stretch>
          <a:fillRect/>
        </a:stretch>
      </xdr:blipFill>
      <xdr:spPr>
        <a:xfrm>
          <a:off x="168275" y="667572325"/>
          <a:ext cx="75565" cy="630555"/>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xdr:cNvPicPr>
          <a:picLocks noChangeAspect="1"/>
        </xdr:cNvPicPr>
      </xdr:nvPicPr>
      <xdr:blipFill>
        <a:blip r:embed="rId699" cstate="email"/>
        <a:stretch>
          <a:fillRect/>
        </a:stretch>
      </xdr:blipFill>
      <xdr:spPr>
        <a:xfrm>
          <a:off x="168275" y="668282255"/>
          <a:ext cx="75565" cy="630555"/>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xdr:cNvPicPr>
          <a:picLocks noChangeAspect="1"/>
        </xdr:cNvPicPr>
      </xdr:nvPicPr>
      <xdr:blipFill>
        <a:blip r:embed="rId700" cstate="email"/>
        <a:stretch>
          <a:fillRect/>
        </a:stretch>
      </xdr:blipFill>
      <xdr:spPr>
        <a:xfrm>
          <a:off x="226695" y="672461825"/>
          <a:ext cx="17145" cy="641350"/>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xdr:cNvPicPr>
          <a:picLocks noChangeAspect="1"/>
        </xdr:cNvPicPr>
      </xdr:nvPicPr>
      <xdr:blipFill>
        <a:blip r:embed="rId701" cstate="email"/>
        <a:stretch>
          <a:fillRect/>
        </a:stretch>
      </xdr:blipFill>
      <xdr:spPr>
        <a:xfrm>
          <a:off x="243840" y="673160325"/>
          <a:ext cx="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xdr:cNvPicPr>
          <a:picLocks noChangeAspect="1"/>
        </xdr:cNvPicPr>
      </xdr:nvPicPr>
      <xdr:blipFill>
        <a:blip r:embed="rId701" cstate="email"/>
        <a:stretch>
          <a:fillRect/>
        </a:stretch>
      </xdr:blipFill>
      <xdr:spPr>
        <a:xfrm>
          <a:off x="243840" y="673870255"/>
          <a:ext cx="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xdr:cNvPicPr>
          <a:picLocks noChangeAspect="1"/>
        </xdr:cNvPicPr>
      </xdr:nvPicPr>
      <xdr:blipFill>
        <a:blip r:embed="rId702" cstate="email"/>
        <a:stretch>
          <a:fillRect/>
        </a:stretch>
      </xdr:blipFill>
      <xdr:spPr>
        <a:xfrm>
          <a:off x="243840" y="674557325"/>
          <a:ext cx="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xdr:cNvPicPr>
          <a:picLocks noChangeAspect="1"/>
        </xdr:cNvPicPr>
      </xdr:nvPicPr>
      <xdr:blipFill>
        <a:blip r:embed="rId703" cstate="email"/>
        <a:stretch>
          <a:fillRect/>
        </a:stretch>
      </xdr:blipFill>
      <xdr:spPr>
        <a:xfrm>
          <a:off x="179705" y="669644330"/>
          <a:ext cx="64135" cy="652145"/>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xdr:cNvPicPr>
          <a:picLocks noChangeAspect="1"/>
        </xdr:cNvPicPr>
      </xdr:nvPicPr>
      <xdr:blipFill>
        <a:blip r:embed="rId703" cstate="email"/>
        <a:stretch>
          <a:fillRect/>
        </a:stretch>
      </xdr:blipFill>
      <xdr:spPr>
        <a:xfrm>
          <a:off x="214630" y="670354260"/>
          <a:ext cx="29210" cy="652780"/>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xdr:cNvPicPr>
          <a:picLocks noChangeAspect="1"/>
        </xdr:cNvPicPr>
      </xdr:nvPicPr>
      <xdr:blipFill>
        <a:blip r:embed="rId703" cstate="email"/>
        <a:stretch>
          <a:fillRect/>
        </a:stretch>
      </xdr:blipFill>
      <xdr:spPr>
        <a:xfrm>
          <a:off x="226695" y="671041330"/>
          <a:ext cx="17145" cy="652145"/>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xdr:cNvPicPr>
          <a:picLocks noChangeAspect="1"/>
        </xdr:cNvPicPr>
      </xdr:nvPicPr>
      <xdr:blipFill>
        <a:blip r:embed="rId703" cstate="email"/>
        <a:stretch>
          <a:fillRect/>
        </a:stretch>
      </xdr:blipFill>
      <xdr:spPr>
        <a:xfrm>
          <a:off x="215900" y="671752530"/>
          <a:ext cx="27940" cy="652145"/>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xdr:cNvPicPr>
          <a:picLocks noChangeAspect="1"/>
        </xdr:cNvPicPr>
      </xdr:nvPicPr>
      <xdr:blipFill>
        <a:blip r:embed="rId704" cstate="email"/>
        <a:stretch>
          <a:fillRect/>
        </a:stretch>
      </xdr:blipFill>
      <xdr:spPr>
        <a:xfrm>
          <a:off x="191770" y="668980755"/>
          <a:ext cx="52070" cy="630555"/>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xdr:cNvPicPr>
          <a:picLocks noChangeAspect="1"/>
        </xdr:cNvPicPr>
      </xdr:nvPicPr>
      <xdr:blipFill>
        <a:blip r:embed="rId705" cstate="email"/>
        <a:stretch>
          <a:fillRect/>
        </a:stretch>
      </xdr:blipFill>
      <xdr:spPr>
        <a:xfrm>
          <a:off x="212090" y="658468965"/>
          <a:ext cx="31750" cy="647700"/>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xdr:cNvPicPr>
          <a:picLocks noChangeAspect="1"/>
        </xdr:cNvPicPr>
      </xdr:nvPicPr>
      <xdr:blipFill>
        <a:blip r:embed="rId706" cstate="email"/>
        <a:stretch>
          <a:fillRect/>
        </a:stretch>
      </xdr:blipFill>
      <xdr:spPr>
        <a:xfrm>
          <a:off x="243840" y="657803485"/>
          <a:ext cx="0" cy="675640"/>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xdr:cNvPicPr>
          <a:picLocks noChangeAspect="1"/>
        </xdr:cNvPicPr>
      </xdr:nvPicPr>
      <xdr:blipFill>
        <a:blip r:embed="rId707" cstate="email"/>
        <a:stretch>
          <a:fillRect/>
        </a:stretch>
      </xdr:blipFill>
      <xdr:spPr>
        <a:xfrm>
          <a:off x="189865" y="675255190"/>
          <a:ext cx="53975" cy="664210"/>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xdr:cNvPicPr>
          <a:picLocks noChangeAspect="1"/>
        </xdr:cNvPicPr>
      </xdr:nvPicPr>
      <xdr:blipFill>
        <a:blip r:embed="rId708" cstate="email"/>
        <a:stretch>
          <a:fillRect/>
        </a:stretch>
      </xdr:blipFill>
      <xdr:spPr>
        <a:xfrm>
          <a:off x="243840" y="687106830"/>
          <a:ext cx="0" cy="668020"/>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xdr:cNvPicPr>
          <a:picLocks noChangeAspect="1"/>
        </xdr:cNvPicPr>
      </xdr:nvPicPr>
      <xdr:blipFill>
        <a:blip r:embed="rId508" cstate="email"/>
        <a:stretch>
          <a:fillRect/>
        </a:stretch>
      </xdr:blipFill>
      <xdr:spPr>
        <a:xfrm>
          <a:off x="243840" y="560015390"/>
          <a:ext cx="0" cy="607695"/>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xdr:cNvPicPr>
          <a:picLocks noChangeAspect="1"/>
        </xdr:cNvPicPr>
      </xdr:nvPicPr>
      <xdr:blipFill>
        <a:blip r:embed="rId539" cstate="email"/>
        <a:stretch>
          <a:fillRect/>
        </a:stretch>
      </xdr:blipFill>
      <xdr:spPr>
        <a:xfrm>
          <a:off x="243840" y="591442810"/>
          <a:ext cx="0" cy="605790"/>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xdr:cNvPicPr>
          <a:picLocks noChangeAspect="1"/>
        </xdr:cNvPicPr>
      </xdr:nvPicPr>
      <xdr:blipFill>
        <a:blip r:embed="rId539" cstate="email"/>
        <a:stretch>
          <a:fillRect/>
        </a:stretch>
      </xdr:blipFill>
      <xdr:spPr>
        <a:xfrm>
          <a:off x="243840" y="709489310"/>
          <a:ext cx="0" cy="605790"/>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xdr:cNvPicPr>
          <a:picLocks noChangeAspect="1"/>
        </xdr:cNvPicPr>
      </xdr:nvPicPr>
      <xdr:blipFill>
        <a:blip r:embed="rId539" cstate="email"/>
        <a:stretch>
          <a:fillRect/>
        </a:stretch>
      </xdr:blipFill>
      <xdr:spPr>
        <a:xfrm>
          <a:off x="243840" y="709489310"/>
          <a:ext cx="0" cy="605790"/>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xdr:cNvPicPr>
          <a:picLocks noChangeAspect="1"/>
        </xdr:cNvPicPr>
      </xdr:nvPicPr>
      <xdr:blipFill>
        <a:blip r:embed="rId709" cstate="email"/>
        <a:stretch>
          <a:fillRect/>
        </a:stretch>
      </xdr:blipFill>
      <xdr:spPr>
        <a:xfrm>
          <a:off x="243840" y="596341200"/>
          <a:ext cx="0" cy="622300"/>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xdr:cNvPicPr>
          <a:picLocks noChangeAspect="1"/>
        </xdr:cNvPicPr>
      </xdr:nvPicPr>
      <xdr:blipFill>
        <a:blip r:embed="rId694" cstate="email"/>
        <a:stretch>
          <a:fillRect/>
        </a:stretch>
      </xdr:blipFill>
      <xdr:spPr>
        <a:xfrm>
          <a:off x="228600" y="710192255"/>
          <a:ext cx="15240" cy="633095"/>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xdr:cNvPicPr>
          <a:picLocks noChangeAspect="1"/>
        </xdr:cNvPicPr>
      </xdr:nvPicPr>
      <xdr:blipFill>
        <a:blip r:embed="rId615" cstate="email"/>
        <a:stretch>
          <a:fillRect/>
        </a:stretch>
      </xdr:blipFill>
      <xdr:spPr>
        <a:xfrm>
          <a:off x="243840" y="616578650"/>
          <a:ext cx="0" cy="608330"/>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xdr:cNvPicPr>
          <a:picLocks noChangeAspect="1"/>
        </xdr:cNvPicPr>
      </xdr:nvPicPr>
      <xdr:blipFill>
        <a:blip r:embed="rId654" cstate="email"/>
        <a:stretch>
          <a:fillRect/>
        </a:stretch>
      </xdr:blipFill>
      <xdr:spPr>
        <a:xfrm>
          <a:off x="227330" y="713687930"/>
          <a:ext cx="16510" cy="671195"/>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xdr:cNvPicPr>
          <a:picLocks noChangeAspect="1"/>
        </xdr:cNvPicPr>
      </xdr:nvPicPr>
      <xdr:blipFill>
        <a:blip r:embed="rId710" cstate="email"/>
        <a:stretch>
          <a:fillRect/>
        </a:stretch>
      </xdr:blipFill>
      <xdr:spPr>
        <a:xfrm>
          <a:off x="213360" y="717191860"/>
          <a:ext cx="30480"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xdr:cNvPicPr>
          <a:picLocks noChangeAspect="1"/>
        </xdr:cNvPicPr>
      </xdr:nvPicPr>
      <xdr:blipFill>
        <a:blip r:embed="rId711" cstate="email"/>
        <a:stretch>
          <a:fillRect/>
        </a:stretch>
      </xdr:blipFill>
      <xdr:spPr>
        <a:xfrm>
          <a:off x="243840" y="717880200"/>
          <a:ext cx="0" cy="626745"/>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xdr:cNvPicPr>
          <a:picLocks noChangeAspect="1"/>
        </xdr:cNvPicPr>
      </xdr:nvPicPr>
      <xdr:blipFill>
        <a:blip r:embed="rId712" cstate="email"/>
        <a:stretch>
          <a:fillRect/>
        </a:stretch>
      </xdr:blipFill>
      <xdr:spPr>
        <a:xfrm>
          <a:off x="243840" y="718566000"/>
          <a:ext cx="0" cy="631825"/>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xdr:cNvPicPr>
          <a:picLocks noChangeAspect="1"/>
        </xdr:cNvPicPr>
      </xdr:nvPicPr>
      <xdr:blipFill>
        <a:blip r:embed="rId713" cstate="email"/>
        <a:stretch>
          <a:fillRect/>
        </a:stretch>
      </xdr:blipFill>
      <xdr:spPr>
        <a:xfrm>
          <a:off x="172720" y="719261325"/>
          <a:ext cx="71120" cy="641350"/>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xdr:cNvPicPr>
          <a:picLocks noChangeAspect="1"/>
        </xdr:cNvPicPr>
      </xdr:nvPicPr>
      <xdr:blipFill>
        <a:blip r:embed="rId713" cstate="email"/>
        <a:stretch>
          <a:fillRect/>
        </a:stretch>
      </xdr:blipFill>
      <xdr:spPr>
        <a:xfrm>
          <a:off x="197485" y="719962365"/>
          <a:ext cx="46355" cy="641985"/>
        </a:xfrm>
        <a:prstGeom prst="rect">
          <a:avLst/>
        </a:prstGeom>
      </xdr:spPr>
    </xdr:pic>
    <xdr:clientData/>
  </xdr:twoCellAnchor>
  <xdr:twoCellAnchor editAs="oneCell">
    <xdr:from>
      <xdr:col>1</xdr:col>
      <xdr:colOff>101600</xdr:colOff>
      <xdr:row>1032</xdr:row>
      <xdr:rowOff>42848</xdr:rowOff>
    </xdr:from>
    <xdr:to>
      <xdr:col>2</xdr:col>
      <xdr:colOff>0</xdr:colOff>
      <xdr:row>1032</xdr:row>
      <xdr:rowOff>663707</xdr:rowOff>
    </xdr:to>
    <xdr:pic>
      <xdr:nvPicPr>
        <xdr:cNvPr id="885" name="Picture 884"/>
        <xdr:cNvPicPr>
          <a:picLocks noChangeAspect="1"/>
        </xdr:cNvPicPr>
      </xdr:nvPicPr>
      <xdr:blipFill>
        <a:blip r:embed="rId714" cstate="email"/>
        <a:stretch>
          <a:fillRect/>
        </a:stretch>
      </xdr:blipFill>
      <xdr:spPr>
        <a:xfrm>
          <a:off x="223520" y="720665945"/>
          <a:ext cx="20320" cy="621030"/>
        </a:xfrm>
        <a:prstGeom prst="rect">
          <a:avLst/>
        </a:prstGeom>
      </xdr:spPr>
    </xdr:pic>
    <xdr:clientData/>
  </xdr:twoCellAnchor>
  <xdr:twoCellAnchor editAs="oneCell">
    <xdr:from>
      <xdr:col>1</xdr:col>
      <xdr:colOff>101600</xdr:colOff>
      <xdr:row>1033</xdr:row>
      <xdr:rowOff>38100</xdr:rowOff>
    </xdr:from>
    <xdr:to>
      <xdr:col>2</xdr:col>
      <xdr:colOff>0</xdr:colOff>
      <xdr:row>1033</xdr:row>
      <xdr:rowOff>658959</xdr:rowOff>
    </xdr:to>
    <xdr:pic>
      <xdr:nvPicPr>
        <xdr:cNvPr id="886" name="Picture 885"/>
        <xdr:cNvPicPr>
          <a:picLocks noChangeAspect="1"/>
        </xdr:cNvPicPr>
      </xdr:nvPicPr>
      <xdr:blipFill>
        <a:blip r:embed="rId714" cstate="email"/>
        <a:stretch>
          <a:fillRect/>
        </a:stretch>
      </xdr:blipFill>
      <xdr:spPr>
        <a:xfrm>
          <a:off x="223520" y="721360000"/>
          <a:ext cx="20320" cy="620395"/>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xdr:cNvPicPr>
          <a:picLocks noChangeAspect="1"/>
        </xdr:cNvPicPr>
      </xdr:nvPicPr>
      <xdr:blipFill>
        <a:blip r:embed="rId715" cstate="email"/>
        <a:stretch>
          <a:fillRect/>
        </a:stretch>
      </xdr:blipFill>
      <xdr:spPr>
        <a:xfrm>
          <a:off x="223520" y="722071200"/>
          <a:ext cx="20320" cy="62484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xdr:cNvPicPr>
          <a:picLocks noChangeAspect="1"/>
        </xdr:cNvPicPr>
      </xdr:nvPicPr>
      <xdr:blipFill>
        <a:blip r:embed="rId716" cstate="email"/>
        <a:stretch>
          <a:fillRect/>
        </a:stretch>
      </xdr:blipFill>
      <xdr:spPr>
        <a:xfrm>
          <a:off x="236220" y="722782400"/>
          <a:ext cx="7620" cy="598170"/>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xdr:cNvPicPr>
          <a:picLocks noChangeAspect="1"/>
        </xdr:cNvPicPr>
      </xdr:nvPicPr>
      <xdr:blipFill>
        <a:blip r:embed="rId717" cstate="email"/>
        <a:stretch>
          <a:fillRect/>
        </a:stretch>
      </xdr:blipFill>
      <xdr:spPr>
        <a:xfrm>
          <a:off x="236220" y="723452325"/>
          <a:ext cx="7620" cy="638175"/>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xdr:cNvPicPr>
          <a:picLocks noChangeAspect="1"/>
        </xdr:cNvPicPr>
      </xdr:nvPicPr>
      <xdr:blipFill>
        <a:blip r:embed="rId718" cstate="email"/>
        <a:stretch>
          <a:fillRect/>
        </a:stretch>
      </xdr:blipFill>
      <xdr:spPr>
        <a:xfrm>
          <a:off x="223520" y="724154000"/>
          <a:ext cx="20320" cy="637540"/>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xdr:cNvPicPr>
          <a:picLocks noChangeAspect="1"/>
        </xdr:cNvPicPr>
      </xdr:nvPicPr>
      <xdr:blipFill>
        <a:blip r:embed="rId719" cstate="email"/>
        <a:stretch>
          <a:fillRect/>
        </a:stretch>
      </xdr:blipFill>
      <xdr:spPr>
        <a:xfrm>
          <a:off x="198120" y="724839800"/>
          <a:ext cx="45720" cy="637540"/>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xdr:cNvPicPr>
          <a:picLocks noChangeAspect="1"/>
        </xdr:cNvPicPr>
      </xdr:nvPicPr>
      <xdr:blipFill>
        <a:blip r:embed="rId720" cstate="email"/>
        <a:stretch>
          <a:fillRect/>
        </a:stretch>
      </xdr:blipFill>
      <xdr:spPr>
        <a:xfrm>
          <a:off x="177165" y="725579575"/>
          <a:ext cx="66675" cy="584835"/>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xdr:cNvPicPr>
          <a:picLocks noChangeAspect="1"/>
        </xdr:cNvPicPr>
      </xdr:nvPicPr>
      <xdr:blipFill>
        <a:blip r:embed="rId720" cstate="email"/>
        <a:stretch>
          <a:fillRect/>
        </a:stretch>
      </xdr:blipFill>
      <xdr:spPr>
        <a:xfrm>
          <a:off x="233045" y="726278075"/>
          <a:ext cx="10795" cy="584835"/>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xdr:cNvPicPr>
          <a:picLocks noChangeAspect="1"/>
        </xdr:cNvPicPr>
      </xdr:nvPicPr>
      <xdr:blipFill>
        <a:blip r:embed="rId720" cstate="email"/>
        <a:stretch>
          <a:fillRect/>
        </a:stretch>
      </xdr:blipFill>
      <xdr:spPr>
        <a:xfrm>
          <a:off x="243840" y="726954350"/>
          <a:ext cx="0" cy="584835"/>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xdr:cNvPicPr>
          <a:picLocks noChangeAspect="1"/>
        </xdr:cNvPicPr>
      </xdr:nvPicPr>
      <xdr:blipFill>
        <a:blip r:embed="rId721" cstate="email"/>
        <a:stretch>
          <a:fillRect/>
        </a:stretch>
      </xdr:blipFill>
      <xdr:spPr>
        <a:xfrm>
          <a:off x="233045" y="727640785"/>
          <a:ext cx="10795" cy="63563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xdr:cNvPicPr>
          <a:picLocks noChangeAspect="1"/>
        </xdr:cNvPicPr>
      </xdr:nvPicPr>
      <xdr:blipFill>
        <a:blip r:embed="rId722" cstate="email"/>
        <a:stretch>
          <a:fillRect/>
        </a:stretch>
      </xdr:blipFill>
      <xdr:spPr>
        <a:xfrm>
          <a:off x="166370" y="728339920"/>
          <a:ext cx="77470" cy="645160"/>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xdr:cNvPicPr>
          <a:picLocks noChangeAspect="1"/>
        </xdr:cNvPicPr>
      </xdr:nvPicPr>
      <xdr:blipFill>
        <a:blip r:embed="rId723" cstate="email"/>
        <a:stretch>
          <a:fillRect/>
        </a:stretch>
      </xdr:blipFill>
      <xdr:spPr>
        <a:xfrm>
          <a:off x="188595" y="729060645"/>
          <a:ext cx="55245" cy="643255"/>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xdr:cNvPicPr>
          <a:picLocks noChangeAspect="1"/>
        </xdr:cNvPicPr>
      </xdr:nvPicPr>
      <xdr:blipFill>
        <a:blip r:embed="rId724" cstate="email"/>
        <a:stretch>
          <a:fillRect/>
        </a:stretch>
      </xdr:blipFill>
      <xdr:spPr>
        <a:xfrm>
          <a:off x="177165" y="729750890"/>
          <a:ext cx="66675" cy="621030"/>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xdr:cNvPicPr>
          <a:picLocks noChangeAspect="1"/>
        </xdr:cNvPicPr>
      </xdr:nvPicPr>
      <xdr:blipFill>
        <a:blip r:embed="rId725" cstate="email"/>
        <a:stretch>
          <a:fillRect/>
        </a:stretch>
      </xdr:blipFill>
      <xdr:spPr>
        <a:xfrm>
          <a:off x="199390" y="730435420"/>
          <a:ext cx="44450" cy="621030"/>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xdr:cNvPicPr>
          <a:picLocks noChangeAspect="1"/>
        </xdr:cNvPicPr>
      </xdr:nvPicPr>
      <xdr:blipFill>
        <a:blip r:embed="rId726" cstate="email"/>
        <a:stretch>
          <a:fillRect/>
        </a:stretch>
      </xdr:blipFill>
      <xdr:spPr>
        <a:xfrm>
          <a:off x="188595" y="731156145"/>
          <a:ext cx="55245" cy="621030"/>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xdr:cNvPicPr>
          <a:picLocks noChangeAspect="1"/>
        </xdr:cNvPicPr>
      </xdr:nvPicPr>
      <xdr:blipFill>
        <a:blip r:embed="rId727" cstate="email"/>
        <a:stretch>
          <a:fillRect/>
        </a:stretch>
      </xdr:blipFill>
      <xdr:spPr>
        <a:xfrm>
          <a:off x="188595" y="731841945"/>
          <a:ext cx="55245" cy="625475"/>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xdr:cNvPicPr>
          <a:picLocks noChangeAspect="1"/>
        </xdr:cNvPicPr>
      </xdr:nvPicPr>
      <xdr:blipFill>
        <a:blip r:embed="rId727" cstate="email"/>
        <a:stretch>
          <a:fillRect/>
        </a:stretch>
      </xdr:blipFill>
      <xdr:spPr>
        <a:xfrm>
          <a:off x="188595" y="732520125"/>
          <a:ext cx="55245" cy="625475"/>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xdr:cNvPicPr>
          <a:picLocks noChangeAspect="1"/>
        </xdr:cNvPicPr>
      </xdr:nvPicPr>
      <xdr:blipFill>
        <a:blip r:embed="rId728" cstate="email"/>
        <a:stretch>
          <a:fillRect/>
        </a:stretch>
      </xdr:blipFill>
      <xdr:spPr>
        <a:xfrm>
          <a:off x="207010" y="733248470"/>
          <a:ext cx="36830" cy="625475"/>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xdr:cNvPicPr>
          <a:picLocks noChangeAspect="1"/>
        </xdr:cNvPicPr>
      </xdr:nvPicPr>
      <xdr:blipFill>
        <a:blip r:embed="rId729" cstate="email"/>
        <a:stretch>
          <a:fillRect/>
        </a:stretch>
      </xdr:blipFill>
      <xdr:spPr>
        <a:xfrm>
          <a:off x="233045" y="736733350"/>
          <a:ext cx="10795" cy="629920"/>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xdr:cNvPicPr>
          <a:picLocks noChangeAspect="1"/>
        </xdr:cNvPicPr>
      </xdr:nvPicPr>
      <xdr:blipFill>
        <a:blip r:embed="rId730" cstate="email"/>
        <a:stretch>
          <a:fillRect/>
        </a:stretch>
      </xdr:blipFill>
      <xdr:spPr>
        <a:xfrm>
          <a:off x="199390" y="734626420"/>
          <a:ext cx="44450" cy="630555"/>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xdr:cNvPicPr>
          <a:picLocks noChangeAspect="1"/>
        </xdr:cNvPicPr>
      </xdr:nvPicPr>
      <xdr:blipFill>
        <a:blip r:embed="rId731" cstate="email"/>
        <a:stretch>
          <a:fillRect/>
        </a:stretch>
      </xdr:blipFill>
      <xdr:spPr>
        <a:xfrm>
          <a:off x="218440" y="735343970"/>
          <a:ext cx="25400" cy="629920"/>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xdr:cNvPicPr>
          <a:picLocks noChangeAspect="1"/>
        </xdr:cNvPicPr>
      </xdr:nvPicPr>
      <xdr:blipFill>
        <a:blip r:embed="rId729" cstate="email"/>
        <a:stretch>
          <a:fillRect/>
        </a:stretch>
      </xdr:blipFill>
      <xdr:spPr>
        <a:xfrm>
          <a:off x="236855" y="736027230"/>
          <a:ext cx="6985" cy="630555"/>
        </a:xfrm>
        <a:prstGeom prst="rect">
          <a:avLst/>
        </a:prstGeom>
      </xdr:spPr>
    </xdr:pic>
    <xdr:clientData/>
  </xdr:twoCellAnchor>
  <xdr:twoCellAnchor editAs="oneCell">
    <xdr:from>
      <xdr:col>1</xdr:col>
      <xdr:colOff>100262</xdr:colOff>
      <xdr:row>1051</xdr:row>
      <xdr:rowOff>53202</xdr:rowOff>
    </xdr:from>
    <xdr:to>
      <xdr:col>2</xdr:col>
      <xdr:colOff>0</xdr:colOff>
      <xdr:row>1052</xdr:row>
      <xdr:rowOff>2502</xdr:rowOff>
    </xdr:to>
    <xdr:pic>
      <xdr:nvPicPr>
        <xdr:cNvPr id="908" name="Picture 907"/>
        <xdr:cNvPicPr>
          <a:picLocks noChangeAspect="1"/>
        </xdr:cNvPicPr>
      </xdr:nvPicPr>
      <xdr:blipFill>
        <a:blip r:embed="rId732" cstate="email"/>
        <a:stretch>
          <a:fillRect/>
        </a:stretch>
      </xdr:blipFill>
      <xdr:spPr>
        <a:xfrm>
          <a:off x="221615" y="733947605"/>
          <a:ext cx="22225" cy="647700"/>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xdr:cNvPicPr>
          <a:picLocks noChangeAspect="1"/>
        </xdr:cNvPicPr>
      </xdr:nvPicPr>
      <xdr:blipFill>
        <a:blip r:embed="rId733" cstate="email"/>
        <a:stretch>
          <a:fillRect/>
        </a:stretch>
      </xdr:blipFill>
      <xdr:spPr>
        <a:xfrm>
          <a:off x="210820" y="737398195"/>
          <a:ext cx="33020" cy="662940"/>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xdr:cNvPicPr>
          <a:picLocks noChangeAspect="1"/>
        </xdr:cNvPicPr>
      </xdr:nvPicPr>
      <xdr:blipFill>
        <a:blip r:embed="rId734" cstate="email"/>
        <a:stretch>
          <a:fillRect/>
        </a:stretch>
      </xdr:blipFill>
      <xdr:spPr>
        <a:xfrm>
          <a:off x="221615" y="738118920"/>
          <a:ext cx="22225"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xdr:cNvPicPr>
          <a:picLocks noChangeAspect="1"/>
        </xdr:cNvPicPr>
      </xdr:nvPicPr>
      <xdr:blipFill>
        <a:blip r:embed="rId735" cstate="email"/>
        <a:stretch>
          <a:fillRect/>
        </a:stretch>
      </xdr:blipFill>
      <xdr:spPr>
        <a:xfrm>
          <a:off x="166370" y="738837740"/>
          <a:ext cx="77470" cy="640080"/>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xdr:cNvPicPr>
          <a:picLocks noChangeAspect="1"/>
        </xdr:cNvPicPr>
      </xdr:nvPicPr>
      <xdr:blipFill>
        <a:blip r:embed="rId736" cstate="email"/>
        <a:stretch>
          <a:fillRect/>
        </a:stretch>
      </xdr:blipFill>
      <xdr:spPr>
        <a:xfrm>
          <a:off x="229870" y="739515920"/>
          <a:ext cx="13970" cy="635635"/>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xdr:cNvPicPr>
          <a:picLocks noChangeAspect="1"/>
        </xdr:cNvPicPr>
      </xdr:nvPicPr>
      <xdr:blipFill>
        <a:blip r:embed="rId737" cstate="email"/>
        <a:stretch>
          <a:fillRect/>
        </a:stretch>
      </xdr:blipFill>
      <xdr:spPr>
        <a:xfrm>
          <a:off x="243840" y="740225850"/>
          <a:ext cx="0" cy="635635"/>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xdr:cNvPicPr>
          <a:picLocks noChangeAspect="1"/>
        </xdr:cNvPicPr>
      </xdr:nvPicPr>
      <xdr:blipFill>
        <a:blip r:embed="rId737" cstate="email"/>
        <a:stretch>
          <a:fillRect/>
        </a:stretch>
      </xdr:blipFill>
      <xdr:spPr>
        <a:xfrm>
          <a:off x="243840" y="740909745"/>
          <a:ext cx="0" cy="635635"/>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xdr:cNvPicPr>
          <a:picLocks noChangeAspect="1"/>
        </xdr:cNvPicPr>
      </xdr:nvPicPr>
      <xdr:blipFill>
        <a:blip r:embed="rId738" cstate="email"/>
        <a:stretch>
          <a:fillRect/>
        </a:stretch>
      </xdr:blipFill>
      <xdr:spPr>
        <a:xfrm>
          <a:off x="231775" y="741633010"/>
          <a:ext cx="12065" cy="607695"/>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xdr:cNvPicPr>
          <a:picLocks noChangeAspect="1"/>
        </xdr:cNvPicPr>
      </xdr:nvPicPr>
      <xdr:blipFill>
        <a:blip r:embed="rId739" cstate="email"/>
        <a:stretch>
          <a:fillRect/>
        </a:stretch>
      </xdr:blipFill>
      <xdr:spPr>
        <a:xfrm>
          <a:off x="218440" y="742320715"/>
          <a:ext cx="25400" cy="612775"/>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xdr:cNvPicPr>
          <a:picLocks noChangeAspect="1"/>
        </xdr:cNvPicPr>
      </xdr:nvPicPr>
      <xdr:blipFill>
        <a:blip r:embed="rId740" cstate="email"/>
        <a:stretch>
          <a:fillRect/>
        </a:stretch>
      </xdr:blipFill>
      <xdr:spPr>
        <a:xfrm>
          <a:off x="176530" y="743025565"/>
          <a:ext cx="67310" cy="624205"/>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xdr:cNvPicPr>
          <a:picLocks noChangeAspect="1"/>
        </xdr:cNvPicPr>
      </xdr:nvPicPr>
      <xdr:blipFill>
        <a:blip r:embed="rId741" cstate="email"/>
        <a:stretch>
          <a:fillRect/>
        </a:stretch>
      </xdr:blipFill>
      <xdr:spPr>
        <a:xfrm>
          <a:off x="176530" y="743715175"/>
          <a:ext cx="67310" cy="64833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xdr:cNvPicPr>
          <a:picLocks noChangeAspect="1"/>
        </xdr:cNvPicPr>
      </xdr:nvPicPr>
      <xdr:blipFill>
        <a:blip r:embed="rId742" cstate="email"/>
        <a:stretch>
          <a:fillRect/>
        </a:stretch>
      </xdr:blipFill>
      <xdr:spPr>
        <a:xfrm>
          <a:off x="218440" y="744421930"/>
          <a:ext cx="25400" cy="590550"/>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xdr:cNvPicPr>
          <a:picLocks noChangeAspect="1"/>
        </xdr:cNvPicPr>
      </xdr:nvPicPr>
      <xdr:blipFill>
        <a:blip r:embed="rId743" cstate="email"/>
        <a:stretch>
          <a:fillRect/>
        </a:stretch>
      </xdr:blipFill>
      <xdr:spPr>
        <a:xfrm>
          <a:off x="243840" y="745126145"/>
          <a:ext cx="0" cy="640715"/>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xdr:cNvPicPr>
          <a:picLocks noChangeAspect="1"/>
        </xdr:cNvPicPr>
      </xdr:nvPicPr>
      <xdr:blipFill>
        <a:blip r:embed="rId744" cstate="email"/>
        <a:stretch>
          <a:fillRect/>
        </a:stretch>
      </xdr:blipFill>
      <xdr:spPr>
        <a:xfrm>
          <a:off x="218440" y="745832900"/>
          <a:ext cx="25400" cy="591185"/>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xdr:cNvPicPr>
          <a:picLocks noChangeAspect="1"/>
        </xdr:cNvPicPr>
      </xdr:nvPicPr>
      <xdr:blipFill>
        <a:blip r:embed="rId745" cstate="email"/>
        <a:stretch>
          <a:fillRect/>
        </a:stretch>
      </xdr:blipFill>
      <xdr:spPr>
        <a:xfrm>
          <a:off x="243840" y="746518065"/>
          <a:ext cx="0" cy="629285"/>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xdr:cNvPicPr>
          <a:picLocks noChangeAspect="1"/>
        </xdr:cNvPicPr>
      </xdr:nvPicPr>
      <xdr:blipFill>
        <a:blip r:embed="rId746" cstate="email"/>
        <a:stretch>
          <a:fillRect/>
        </a:stretch>
      </xdr:blipFill>
      <xdr:spPr>
        <a:xfrm>
          <a:off x="210820" y="747195610"/>
          <a:ext cx="33020" cy="641350"/>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xdr:cNvPicPr>
          <a:picLocks noChangeAspect="1"/>
        </xdr:cNvPicPr>
      </xdr:nvPicPr>
      <xdr:blipFill>
        <a:blip r:embed="rId747" cstate="email"/>
        <a:stretch>
          <a:fillRect/>
        </a:stretch>
      </xdr:blipFill>
      <xdr:spPr>
        <a:xfrm>
          <a:off x="236220" y="747910620"/>
          <a:ext cx="7620" cy="653415"/>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xdr:cNvPicPr>
          <a:picLocks noChangeAspect="1"/>
        </xdr:cNvPicPr>
      </xdr:nvPicPr>
      <xdr:blipFill>
        <a:blip r:embed="rId748" cstate="email"/>
        <a:stretch>
          <a:fillRect/>
        </a:stretch>
      </xdr:blipFill>
      <xdr:spPr>
        <a:xfrm>
          <a:off x="243840" y="748623725"/>
          <a:ext cx="0" cy="587375"/>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xdr:cNvPicPr>
          <a:picLocks noChangeAspect="1"/>
        </xdr:cNvPicPr>
      </xdr:nvPicPr>
      <xdr:blipFill>
        <a:blip r:embed="rId749" cstate="email"/>
        <a:stretch>
          <a:fillRect/>
        </a:stretch>
      </xdr:blipFill>
      <xdr:spPr>
        <a:xfrm>
          <a:off x="210820" y="749312700"/>
          <a:ext cx="33020" cy="604520"/>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xdr:cNvPicPr>
          <a:picLocks noChangeAspect="1"/>
        </xdr:cNvPicPr>
      </xdr:nvPicPr>
      <xdr:blipFill>
        <a:blip r:embed="rId750" cstate="email"/>
        <a:stretch>
          <a:fillRect/>
        </a:stretch>
      </xdr:blipFill>
      <xdr:spPr>
        <a:xfrm>
          <a:off x="217170" y="750011200"/>
          <a:ext cx="2667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xdr:cNvPicPr>
          <a:picLocks noChangeAspect="1"/>
        </xdr:cNvPicPr>
      </xdr:nvPicPr>
      <xdr:blipFill>
        <a:blip r:embed="rId751" cstate="email"/>
        <a:stretch>
          <a:fillRect/>
        </a:stretch>
      </xdr:blipFill>
      <xdr:spPr>
        <a:xfrm>
          <a:off x="210820" y="750714780"/>
          <a:ext cx="33020" cy="642620"/>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xdr:cNvPicPr>
          <a:picLocks noChangeAspect="1"/>
        </xdr:cNvPicPr>
      </xdr:nvPicPr>
      <xdr:blipFill>
        <a:blip r:embed="rId752" cstate="email"/>
        <a:stretch>
          <a:fillRect/>
        </a:stretch>
      </xdr:blipFill>
      <xdr:spPr>
        <a:xfrm>
          <a:off x="243840" y="751392960"/>
          <a:ext cx="0" cy="637540"/>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xdr:cNvPicPr>
          <a:picLocks noChangeAspect="1"/>
        </xdr:cNvPicPr>
      </xdr:nvPicPr>
      <xdr:blipFill>
        <a:blip r:embed="rId753" cstate="email"/>
        <a:stretch>
          <a:fillRect/>
        </a:stretch>
      </xdr:blipFill>
      <xdr:spPr>
        <a:xfrm>
          <a:off x="243840" y="752119400"/>
          <a:ext cx="0" cy="611505"/>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xdr:cNvPicPr>
          <a:picLocks noChangeAspect="1"/>
        </xdr:cNvPicPr>
      </xdr:nvPicPr>
      <xdr:blipFill>
        <a:blip r:embed="rId754" cstate="email"/>
        <a:stretch>
          <a:fillRect/>
        </a:stretch>
      </xdr:blipFill>
      <xdr:spPr>
        <a:xfrm>
          <a:off x="243840" y="752805200"/>
          <a:ext cx="0" cy="626110"/>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xdr:cNvPicPr>
          <a:picLocks noChangeAspect="1"/>
        </xdr:cNvPicPr>
      </xdr:nvPicPr>
      <xdr:blipFill>
        <a:blip r:embed="rId754" cstate="email"/>
        <a:stretch>
          <a:fillRect/>
        </a:stretch>
      </xdr:blipFill>
      <xdr:spPr>
        <a:xfrm>
          <a:off x="243840" y="753503700"/>
          <a:ext cx="0" cy="626110"/>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xdr:cNvPicPr>
          <a:picLocks noChangeAspect="1"/>
        </xdr:cNvPicPr>
      </xdr:nvPicPr>
      <xdr:blipFill>
        <a:blip r:embed="rId755" cstate="email"/>
        <a:stretch>
          <a:fillRect/>
        </a:stretch>
      </xdr:blipFill>
      <xdr:spPr>
        <a:xfrm>
          <a:off x="182880" y="754193310"/>
          <a:ext cx="60960" cy="63500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xdr:cNvPicPr>
          <a:picLocks noChangeAspect="1"/>
        </xdr:cNvPicPr>
      </xdr:nvPicPr>
      <xdr:blipFill>
        <a:blip r:embed="rId756" cstate="email"/>
        <a:stretch>
          <a:fillRect/>
        </a:stretch>
      </xdr:blipFill>
      <xdr:spPr>
        <a:xfrm>
          <a:off x="229870" y="754891175"/>
          <a:ext cx="13970" cy="607695"/>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xdr:cNvPicPr>
          <a:picLocks noChangeAspect="1"/>
        </xdr:cNvPicPr>
      </xdr:nvPicPr>
      <xdr:blipFill>
        <a:blip r:embed="rId757" cstate="email"/>
        <a:stretch>
          <a:fillRect/>
        </a:stretch>
      </xdr:blipFill>
      <xdr:spPr>
        <a:xfrm>
          <a:off x="243840" y="755602375"/>
          <a:ext cx="0" cy="607695"/>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xdr:cNvPicPr>
          <a:picLocks noChangeAspect="1"/>
        </xdr:cNvPicPr>
      </xdr:nvPicPr>
      <xdr:blipFill>
        <a:blip r:embed="rId758" cstate="email"/>
        <a:stretch>
          <a:fillRect/>
        </a:stretch>
      </xdr:blipFill>
      <xdr:spPr>
        <a:xfrm>
          <a:off x="243840" y="756284365"/>
          <a:ext cx="0" cy="62230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xdr:cNvPicPr>
          <a:picLocks noChangeAspect="1"/>
        </xdr:cNvPicPr>
      </xdr:nvPicPr>
      <xdr:blipFill>
        <a:blip r:embed="rId759" cstate="email"/>
        <a:stretch>
          <a:fillRect/>
        </a:stretch>
      </xdr:blipFill>
      <xdr:spPr>
        <a:xfrm>
          <a:off x="243840" y="756965085"/>
          <a:ext cx="0" cy="621665"/>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xdr:cNvPicPr>
          <a:picLocks noChangeAspect="1"/>
        </xdr:cNvPicPr>
      </xdr:nvPicPr>
      <xdr:blipFill>
        <a:blip r:embed="rId759" cstate="email"/>
        <a:stretch>
          <a:fillRect/>
        </a:stretch>
      </xdr:blipFill>
      <xdr:spPr>
        <a:xfrm>
          <a:off x="243840" y="757692160"/>
          <a:ext cx="0" cy="621665"/>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xdr:cNvPicPr>
          <a:picLocks noChangeAspect="1"/>
        </xdr:cNvPicPr>
      </xdr:nvPicPr>
      <xdr:blipFill>
        <a:blip r:embed="rId759" cstate="email"/>
        <a:stretch>
          <a:fillRect/>
        </a:stretch>
      </xdr:blipFill>
      <xdr:spPr>
        <a:xfrm>
          <a:off x="243840" y="758372880"/>
          <a:ext cx="0" cy="621665"/>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xdr:cNvPicPr>
          <a:picLocks noChangeAspect="1"/>
        </xdr:cNvPicPr>
      </xdr:nvPicPr>
      <xdr:blipFill>
        <a:blip r:embed="rId760" cstate="email"/>
        <a:stretch>
          <a:fillRect/>
        </a:stretch>
      </xdr:blipFill>
      <xdr:spPr>
        <a:xfrm>
          <a:off x="229870" y="759102495"/>
          <a:ext cx="13970" cy="640715"/>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xdr:cNvPicPr>
          <a:picLocks noChangeAspect="1"/>
        </xdr:cNvPicPr>
      </xdr:nvPicPr>
      <xdr:blipFill>
        <a:blip r:embed="rId761" cstate="email"/>
        <a:stretch>
          <a:fillRect/>
        </a:stretch>
      </xdr:blipFill>
      <xdr:spPr>
        <a:xfrm>
          <a:off x="229870" y="759821315"/>
          <a:ext cx="13970" cy="568325"/>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xdr:cNvPicPr>
          <a:picLocks noChangeAspect="1"/>
        </xdr:cNvPicPr>
      </xdr:nvPicPr>
      <xdr:blipFill>
        <a:blip r:embed="rId762" cstate="email"/>
        <a:stretch>
          <a:fillRect/>
        </a:stretch>
      </xdr:blipFill>
      <xdr:spPr>
        <a:xfrm>
          <a:off x="229870" y="760514735"/>
          <a:ext cx="13970" cy="594995"/>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xdr:cNvPicPr>
          <a:picLocks noChangeAspect="1"/>
        </xdr:cNvPicPr>
      </xdr:nvPicPr>
      <xdr:blipFill>
        <a:blip r:embed="rId763" cstate="email"/>
        <a:stretch>
          <a:fillRect/>
        </a:stretch>
      </xdr:blipFill>
      <xdr:spPr>
        <a:xfrm>
          <a:off x="243840" y="761177040"/>
          <a:ext cx="0" cy="594360"/>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xdr:cNvPicPr>
          <a:picLocks noChangeAspect="1"/>
        </xdr:cNvPicPr>
      </xdr:nvPicPr>
      <xdr:blipFill>
        <a:blip r:embed="rId764" cstate="email"/>
        <a:stretch>
          <a:fillRect/>
        </a:stretch>
      </xdr:blipFill>
      <xdr:spPr>
        <a:xfrm>
          <a:off x="196850" y="761911735"/>
          <a:ext cx="46990" cy="573405"/>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xdr:cNvPicPr>
          <a:picLocks noChangeAspect="1"/>
        </xdr:cNvPicPr>
      </xdr:nvPicPr>
      <xdr:blipFill>
        <a:blip r:embed="rId765" cstate="email"/>
        <a:stretch>
          <a:fillRect/>
        </a:stretch>
      </xdr:blipFill>
      <xdr:spPr>
        <a:xfrm>
          <a:off x="183515" y="762584835"/>
          <a:ext cx="60325" cy="593725"/>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xdr:cNvPicPr>
          <a:picLocks noChangeAspect="1"/>
        </xdr:cNvPicPr>
      </xdr:nvPicPr>
      <xdr:blipFill>
        <a:blip r:embed="rId766" cstate="email"/>
        <a:stretch>
          <a:fillRect/>
        </a:stretch>
      </xdr:blipFill>
      <xdr:spPr>
        <a:xfrm>
          <a:off x="236855" y="763275080"/>
          <a:ext cx="6985" cy="629920"/>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xdr:cNvPicPr>
          <a:picLocks noChangeAspect="1"/>
        </xdr:cNvPicPr>
      </xdr:nvPicPr>
      <xdr:blipFill>
        <a:blip r:embed="rId767" cstate="email"/>
        <a:stretch>
          <a:fillRect/>
        </a:stretch>
      </xdr:blipFill>
      <xdr:spPr>
        <a:xfrm>
          <a:off x="243840" y="763969135"/>
          <a:ext cx="0" cy="626110"/>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xdr:cNvPicPr>
          <a:picLocks noChangeAspect="1"/>
        </xdr:cNvPicPr>
      </xdr:nvPicPr>
      <xdr:blipFill>
        <a:blip r:embed="rId768" cstate="email"/>
        <a:stretch>
          <a:fillRect/>
        </a:stretch>
      </xdr:blipFill>
      <xdr:spPr>
        <a:xfrm>
          <a:off x="243840" y="764705735"/>
          <a:ext cx="0" cy="584200"/>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xdr:cNvPicPr>
          <a:picLocks noChangeAspect="1"/>
        </xdr:cNvPicPr>
      </xdr:nvPicPr>
      <xdr:blipFill>
        <a:blip r:embed="rId769" cstate="email"/>
        <a:stretch>
          <a:fillRect/>
        </a:stretch>
      </xdr:blipFill>
      <xdr:spPr>
        <a:xfrm>
          <a:off x="243840" y="765366770"/>
          <a:ext cx="0" cy="638810"/>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xdr:cNvPicPr>
          <a:picLocks noChangeAspect="1"/>
        </xdr:cNvPicPr>
      </xdr:nvPicPr>
      <xdr:blipFill>
        <a:blip r:embed="rId770" cstate="email"/>
        <a:stretch>
          <a:fillRect/>
        </a:stretch>
      </xdr:blipFill>
      <xdr:spPr>
        <a:xfrm>
          <a:off x="243840" y="766064000"/>
          <a:ext cx="0"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xdr:cNvPicPr>
          <a:picLocks noChangeAspect="1"/>
        </xdr:cNvPicPr>
      </xdr:nvPicPr>
      <xdr:blipFill>
        <a:blip r:embed="rId770" cstate="email"/>
        <a:stretch>
          <a:fillRect/>
        </a:stretch>
      </xdr:blipFill>
      <xdr:spPr>
        <a:xfrm>
          <a:off x="243840" y="766775200"/>
          <a:ext cx="0"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xdr:cNvPicPr>
          <a:picLocks noChangeAspect="1"/>
        </xdr:cNvPicPr>
      </xdr:nvPicPr>
      <xdr:blipFill>
        <a:blip r:embed="rId770" cstate="email"/>
        <a:stretch>
          <a:fillRect/>
        </a:stretch>
      </xdr:blipFill>
      <xdr:spPr>
        <a:xfrm>
          <a:off x="243840" y="767448300"/>
          <a:ext cx="0"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xdr:cNvPicPr>
          <a:picLocks noChangeAspect="1"/>
        </xdr:cNvPicPr>
      </xdr:nvPicPr>
      <xdr:blipFill>
        <a:blip r:embed="rId771" cstate="email"/>
        <a:stretch>
          <a:fillRect/>
        </a:stretch>
      </xdr:blipFill>
      <xdr:spPr>
        <a:xfrm>
          <a:off x="243840" y="768172835"/>
          <a:ext cx="0" cy="621665"/>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xdr:cNvPicPr>
          <a:picLocks noChangeAspect="1"/>
        </xdr:cNvPicPr>
      </xdr:nvPicPr>
      <xdr:blipFill>
        <a:blip r:embed="rId771" cstate="email"/>
        <a:stretch>
          <a:fillRect/>
        </a:stretch>
      </xdr:blipFill>
      <xdr:spPr>
        <a:xfrm>
          <a:off x="243840" y="768883400"/>
          <a:ext cx="0" cy="621030"/>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xdr:cNvPicPr>
          <a:picLocks noChangeAspect="1"/>
        </xdr:cNvPicPr>
      </xdr:nvPicPr>
      <xdr:blipFill>
        <a:blip r:embed="rId771" cstate="email"/>
        <a:stretch>
          <a:fillRect/>
        </a:stretch>
      </xdr:blipFill>
      <xdr:spPr>
        <a:xfrm>
          <a:off x="243840" y="769556500"/>
          <a:ext cx="0" cy="621030"/>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xdr:cNvPicPr>
          <a:picLocks noChangeAspect="1"/>
        </xdr:cNvPicPr>
      </xdr:nvPicPr>
      <xdr:blipFill>
        <a:blip r:embed="rId772" cstate="email"/>
        <a:stretch>
          <a:fillRect/>
        </a:stretch>
      </xdr:blipFill>
      <xdr:spPr>
        <a:xfrm>
          <a:off x="243840" y="770286115"/>
          <a:ext cx="0" cy="629285"/>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xdr:cNvPicPr>
          <a:picLocks noChangeAspect="1"/>
        </xdr:cNvPicPr>
      </xdr:nvPicPr>
      <xdr:blipFill>
        <a:blip r:embed="rId773" cstate="email"/>
        <a:stretch>
          <a:fillRect/>
        </a:stretch>
      </xdr:blipFill>
      <xdr:spPr>
        <a:xfrm>
          <a:off x="243840" y="770928100"/>
          <a:ext cx="0"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xdr:cNvPicPr>
          <a:picLocks noChangeAspect="1"/>
        </xdr:cNvPicPr>
      </xdr:nvPicPr>
      <xdr:blipFill>
        <a:blip r:embed="rId774" cstate="email"/>
        <a:stretch>
          <a:fillRect/>
        </a:stretch>
      </xdr:blipFill>
      <xdr:spPr>
        <a:xfrm>
          <a:off x="243840" y="771652000"/>
          <a:ext cx="0" cy="636270"/>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xdr:cNvPicPr>
          <a:picLocks noChangeAspect="1"/>
        </xdr:cNvPicPr>
      </xdr:nvPicPr>
      <xdr:blipFill>
        <a:blip r:embed="rId775" cstate="email"/>
        <a:stretch>
          <a:fillRect/>
        </a:stretch>
      </xdr:blipFill>
      <xdr:spPr>
        <a:xfrm>
          <a:off x="223520" y="772350500"/>
          <a:ext cx="20320" cy="636270"/>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xdr:cNvPicPr>
          <a:picLocks noChangeAspect="1"/>
        </xdr:cNvPicPr>
      </xdr:nvPicPr>
      <xdr:blipFill>
        <a:blip r:embed="rId774" cstate="email"/>
        <a:stretch>
          <a:fillRect/>
        </a:stretch>
      </xdr:blipFill>
      <xdr:spPr>
        <a:xfrm>
          <a:off x="243840" y="773036300"/>
          <a:ext cx="0" cy="636270"/>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xdr:cNvPicPr>
          <a:picLocks noChangeAspect="1"/>
        </xdr:cNvPicPr>
      </xdr:nvPicPr>
      <xdr:blipFill>
        <a:blip r:embed="rId774" cstate="email"/>
        <a:stretch>
          <a:fillRect/>
        </a:stretch>
      </xdr:blipFill>
      <xdr:spPr>
        <a:xfrm>
          <a:off x="243840" y="773709400"/>
          <a:ext cx="0" cy="636270"/>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xdr:cNvPicPr>
          <a:picLocks noChangeAspect="1"/>
        </xdr:cNvPicPr>
      </xdr:nvPicPr>
      <xdr:blipFill>
        <a:blip r:embed="rId776" cstate="email"/>
        <a:stretch>
          <a:fillRect/>
        </a:stretch>
      </xdr:blipFill>
      <xdr:spPr>
        <a:xfrm>
          <a:off x="198120" y="774471400"/>
          <a:ext cx="4572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xdr:cNvPicPr>
          <a:picLocks noChangeAspect="1"/>
        </xdr:cNvPicPr>
      </xdr:nvPicPr>
      <xdr:blipFill>
        <a:blip r:embed="rId777" cstate="email"/>
        <a:stretch>
          <a:fillRect/>
        </a:stretch>
      </xdr:blipFill>
      <xdr:spPr>
        <a:xfrm>
          <a:off x="223520" y="775144500"/>
          <a:ext cx="20320"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xdr:cNvPicPr>
          <a:picLocks noChangeAspect="1"/>
        </xdr:cNvPicPr>
      </xdr:nvPicPr>
      <xdr:blipFill>
        <a:blip r:embed="rId778" cstate="email"/>
        <a:stretch>
          <a:fillRect/>
        </a:stretch>
      </xdr:blipFill>
      <xdr:spPr>
        <a:xfrm>
          <a:off x="243840" y="775855700"/>
          <a:ext cx="0"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xdr:cNvPicPr>
          <a:picLocks noChangeAspect="1"/>
        </xdr:cNvPicPr>
      </xdr:nvPicPr>
      <xdr:blipFill>
        <a:blip r:embed="rId778" cstate="email"/>
        <a:stretch>
          <a:fillRect/>
        </a:stretch>
      </xdr:blipFill>
      <xdr:spPr>
        <a:xfrm>
          <a:off x="243840" y="776528800"/>
          <a:ext cx="0"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xdr:cNvPicPr>
          <a:picLocks noChangeAspect="1"/>
        </xdr:cNvPicPr>
      </xdr:nvPicPr>
      <xdr:blipFill>
        <a:blip r:embed="rId779" cstate="email"/>
        <a:stretch>
          <a:fillRect/>
        </a:stretch>
      </xdr:blipFill>
      <xdr:spPr>
        <a:xfrm>
          <a:off x="243840" y="777265400"/>
          <a:ext cx="0" cy="643255"/>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xdr:cNvPicPr>
          <a:picLocks noChangeAspect="1"/>
        </xdr:cNvPicPr>
      </xdr:nvPicPr>
      <xdr:blipFill>
        <a:blip r:embed="rId780" cstate="email"/>
        <a:stretch>
          <a:fillRect/>
        </a:stretch>
      </xdr:blipFill>
      <xdr:spPr>
        <a:xfrm>
          <a:off x="243840" y="778624300"/>
          <a:ext cx="0" cy="643255"/>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xdr:cNvPicPr>
          <a:picLocks noChangeAspect="1"/>
        </xdr:cNvPicPr>
      </xdr:nvPicPr>
      <xdr:blipFill>
        <a:blip r:embed="rId780" cstate="email"/>
        <a:stretch>
          <a:fillRect/>
        </a:stretch>
      </xdr:blipFill>
      <xdr:spPr>
        <a:xfrm>
          <a:off x="243840" y="779335500"/>
          <a:ext cx="0" cy="643255"/>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xdr:cNvPicPr>
          <a:picLocks noChangeAspect="1"/>
        </xdr:cNvPicPr>
      </xdr:nvPicPr>
      <xdr:blipFill>
        <a:blip r:embed="rId780" cstate="email"/>
        <a:stretch>
          <a:fillRect/>
        </a:stretch>
      </xdr:blipFill>
      <xdr:spPr>
        <a:xfrm>
          <a:off x="243840" y="777938500"/>
          <a:ext cx="0" cy="643255"/>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xdr:cNvPicPr>
          <a:picLocks noChangeAspect="1"/>
        </xdr:cNvPicPr>
      </xdr:nvPicPr>
      <xdr:blipFill>
        <a:blip r:embed="rId781" cstate="email"/>
        <a:stretch>
          <a:fillRect/>
        </a:stretch>
      </xdr:blipFill>
      <xdr:spPr>
        <a:xfrm>
          <a:off x="243840" y="780034000"/>
          <a:ext cx="0" cy="624205"/>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xdr:cNvPicPr>
          <a:picLocks noChangeAspect="1"/>
        </xdr:cNvPicPr>
      </xdr:nvPicPr>
      <xdr:blipFill>
        <a:blip r:embed="rId782" cstate="email"/>
        <a:stretch>
          <a:fillRect/>
        </a:stretch>
      </xdr:blipFill>
      <xdr:spPr>
        <a:xfrm>
          <a:off x="236220" y="780719800"/>
          <a:ext cx="7620" cy="678180"/>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xdr:cNvPicPr>
          <a:picLocks noChangeAspect="1"/>
        </xdr:cNvPicPr>
      </xdr:nvPicPr>
      <xdr:blipFill>
        <a:blip r:embed="rId783" cstate="email"/>
        <a:stretch>
          <a:fillRect/>
        </a:stretch>
      </xdr:blipFill>
      <xdr:spPr>
        <a:xfrm>
          <a:off x="198120" y="781443700"/>
          <a:ext cx="45720" cy="636905"/>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xdr:cNvPicPr>
          <a:picLocks noChangeAspect="1"/>
        </xdr:cNvPicPr>
      </xdr:nvPicPr>
      <xdr:blipFill>
        <a:blip r:embed="rId784" cstate="email"/>
        <a:stretch>
          <a:fillRect/>
        </a:stretch>
      </xdr:blipFill>
      <xdr:spPr>
        <a:xfrm>
          <a:off x="223520" y="782135215"/>
          <a:ext cx="20320" cy="641985"/>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xdr:cNvPicPr>
          <a:picLocks noChangeAspect="1"/>
        </xdr:cNvPicPr>
      </xdr:nvPicPr>
      <xdr:blipFill>
        <a:blip r:embed="rId785" cstate="email"/>
        <a:stretch>
          <a:fillRect/>
        </a:stretch>
      </xdr:blipFill>
      <xdr:spPr>
        <a:xfrm>
          <a:off x="198120" y="782815300"/>
          <a:ext cx="45720" cy="648335"/>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xdr:cNvPicPr>
          <a:picLocks noChangeAspect="1"/>
        </xdr:cNvPicPr>
      </xdr:nvPicPr>
      <xdr:blipFill>
        <a:blip r:embed="rId786" cstate="email"/>
        <a:stretch>
          <a:fillRect/>
        </a:stretch>
      </xdr:blipFill>
      <xdr:spPr>
        <a:xfrm>
          <a:off x="236220" y="783527770"/>
          <a:ext cx="7620" cy="644525"/>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xdr:cNvPicPr>
          <a:picLocks noChangeAspect="1"/>
        </xdr:cNvPicPr>
      </xdr:nvPicPr>
      <xdr:blipFill>
        <a:blip r:embed="rId787" cstate="email"/>
        <a:stretch>
          <a:fillRect/>
        </a:stretch>
      </xdr:blipFill>
      <xdr:spPr>
        <a:xfrm>
          <a:off x="243840" y="784237700"/>
          <a:ext cx="0"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xdr:cNvPicPr>
          <a:picLocks noChangeAspect="1"/>
        </xdr:cNvPicPr>
      </xdr:nvPicPr>
      <xdr:blipFill>
        <a:blip r:embed="rId788" cstate="email"/>
        <a:stretch>
          <a:fillRect/>
        </a:stretch>
      </xdr:blipFill>
      <xdr:spPr>
        <a:xfrm>
          <a:off x="223520" y="785625175"/>
          <a:ext cx="20320" cy="664210"/>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xdr:cNvPicPr>
          <a:picLocks noChangeAspect="1"/>
        </xdr:cNvPicPr>
      </xdr:nvPicPr>
      <xdr:blipFill>
        <a:blip r:embed="rId789" cstate="email"/>
        <a:stretch>
          <a:fillRect/>
        </a:stretch>
      </xdr:blipFill>
      <xdr:spPr>
        <a:xfrm>
          <a:off x="243840" y="784923500"/>
          <a:ext cx="0"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xdr:cNvPicPr>
          <a:picLocks noChangeAspect="1"/>
        </xdr:cNvPicPr>
      </xdr:nvPicPr>
      <xdr:blipFill>
        <a:blip r:embed="rId790" cstate="email"/>
        <a:stretch>
          <a:fillRect/>
        </a:stretch>
      </xdr:blipFill>
      <xdr:spPr>
        <a:xfrm>
          <a:off x="210820" y="786307800"/>
          <a:ext cx="33020" cy="663575"/>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xdr:cNvPicPr>
          <a:picLocks noChangeAspect="1"/>
        </xdr:cNvPicPr>
      </xdr:nvPicPr>
      <xdr:blipFill>
        <a:blip r:embed="rId788" cstate="email"/>
        <a:stretch>
          <a:fillRect/>
        </a:stretch>
      </xdr:blipFill>
      <xdr:spPr>
        <a:xfrm>
          <a:off x="223520" y="786993600"/>
          <a:ext cx="20320" cy="663575"/>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xdr:cNvPicPr>
          <a:picLocks noChangeAspect="1"/>
        </xdr:cNvPicPr>
      </xdr:nvPicPr>
      <xdr:blipFill>
        <a:blip r:embed="rId791" cstate="email"/>
        <a:stretch>
          <a:fillRect/>
        </a:stretch>
      </xdr:blipFill>
      <xdr:spPr>
        <a:xfrm>
          <a:off x="210820" y="787730200"/>
          <a:ext cx="33020" cy="629920"/>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xdr:cNvPicPr>
          <a:picLocks noChangeAspect="1"/>
        </xdr:cNvPicPr>
      </xdr:nvPicPr>
      <xdr:blipFill>
        <a:blip r:embed="rId792" cstate="email"/>
        <a:stretch>
          <a:fillRect/>
        </a:stretch>
      </xdr:blipFill>
      <xdr:spPr>
        <a:xfrm>
          <a:off x="243840" y="806580810"/>
          <a:ext cx="0" cy="650240"/>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xdr:cNvPicPr>
          <a:picLocks noChangeAspect="1"/>
        </xdr:cNvPicPr>
      </xdr:nvPicPr>
      <xdr:blipFill>
        <a:blip r:embed="rId793" cstate="email"/>
        <a:stretch>
          <a:fillRect/>
        </a:stretch>
      </xdr:blipFill>
      <xdr:spPr>
        <a:xfrm>
          <a:off x="243840" y="807976540"/>
          <a:ext cx="0" cy="626110"/>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xdr:cNvPicPr>
          <a:picLocks noChangeAspect="1"/>
        </xdr:cNvPicPr>
      </xdr:nvPicPr>
      <xdr:blipFill>
        <a:blip r:embed="rId793" cstate="email"/>
        <a:stretch>
          <a:fillRect/>
        </a:stretch>
      </xdr:blipFill>
      <xdr:spPr>
        <a:xfrm>
          <a:off x="243840" y="808666150"/>
          <a:ext cx="0" cy="626745"/>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xdr:cNvPicPr>
          <a:picLocks noChangeAspect="1"/>
        </xdr:cNvPicPr>
      </xdr:nvPicPr>
      <xdr:blipFill>
        <a:blip r:embed="rId793" cstate="email"/>
        <a:stretch>
          <a:fillRect/>
        </a:stretch>
      </xdr:blipFill>
      <xdr:spPr>
        <a:xfrm>
          <a:off x="243840" y="809421800"/>
          <a:ext cx="0" cy="626745"/>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xdr:cNvPicPr>
          <a:picLocks noChangeAspect="1"/>
        </xdr:cNvPicPr>
      </xdr:nvPicPr>
      <xdr:blipFill>
        <a:blip r:embed="rId792" cstate="email"/>
        <a:stretch>
          <a:fillRect/>
        </a:stretch>
      </xdr:blipFill>
      <xdr:spPr>
        <a:xfrm>
          <a:off x="243840" y="807262800"/>
          <a:ext cx="0" cy="649605"/>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xdr:cNvPicPr>
          <a:picLocks noChangeAspect="1"/>
        </xdr:cNvPicPr>
      </xdr:nvPicPr>
      <xdr:blipFill>
        <a:blip r:embed="rId793" cstate="email"/>
        <a:stretch>
          <a:fillRect/>
        </a:stretch>
      </xdr:blipFill>
      <xdr:spPr>
        <a:xfrm>
          <a:off x="243840" y="810079660"/>
          <a:ext cx="0" cy="626110"/>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xdr:cNvPicPr>
          <a:picLocks noChangeAspect="1"/>
        </xdr:cNvPicPr>
      </xdr:nvPicPr>
      <xdr:blipFill>
        <a:blip r:embed="rId794" cstate="email"/>
        <a:stretch>
          <a:fillRect/>
        </a:stretch>
      </xdr:blipFill>
      <xdr:spPr>
        <a:xfrm>
          <a:off x="243840" y="810787685"/>
          <a:ext cx="0" cy="607060"/>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xdr:cNvPicPr>
          <a:picLocks noChangeAspect="1"/>
        </xdr:cNvPicPr>
      </xdr:nvPicPr>
      <xdr:blipFill>
        <a:blip r:embed="rId794" cstate="email"/>
        <a:stretch>
          <a:fillRect/>
        </a:stretch>
      </xdr:blipFill>
      <xdr:spPr>
        <a:xfrm>
          <a:off x="243840" y="811467135"/>
          <a:ext cx="0" cy="606425"/>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xdr:cNvPicPr>
          <a:picLocks noChangeAspect="1"/>
        </xdr:cNvPicPr>
      </xdr:nvPicPr>
      <xdr:blipFill>
        <a:blip r:embed="rId794" cstate="email"/>
        <a:stretch>
          <a:fillRect/>
        </a:stretch>
      </xdr:blipFill>
      <xdr:spPr>
        <a:xfrm>
          <a:off x="243840" y="812155475"/>
          <a:ext cx="0" cy="607060"/>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xdr:cNvPicPr>
          <a:picLocks noChangeAspect="1"/>
        </xdr:cNvPicPr>
      </xdr:nvPicPr>
      <xdr:blipFill>
        <a:blip r:embed="rId794" cstate="email"/>
        <a:stretch>
          <a:fillRect/>
        </a:stretch>
      </xdr:blipFill>
      <xdr:spPr>
        <a:xfrm>
          <a:off x="243840" y="812864135"/>
          <a:ext cx="0" cy="606425"/>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xdr:cNvPicPr>
          <a:picLocks noChangeAspect="1"/>
        </xdr:cNvPicPr>
      </xdr:nvPicPr>
      <xdr:blipFill>
        <a:blip r:embed="rId794" cstate="email"/>
        <a:stretch>
          <a:fillRect/>
        </a:stretch>
      </xdr:blipFill>
      <xdr:spPr>
        <a:xfrm>
          <a:off x="243840" y="813562635"/>
          <a:ext cx="0" cy="606425"/>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xdr:cNvPicPr>
          <a:picLocks noChangeAspect="1"/>
        </xdr:cNvPicPr>
      </xdr:nvPicPr>
      <xdr:blipFill>
        <a:blip r:embed="rId795" cstate="email"/>
        <a:stretch>
          <a:fillRect/>
        </a:stretch>
      </xdr:blipFill>
      <xdr:spPr>
        <a:xfrm>
          <a:off x="243840" y="814252880"/>
          <a:ext cx="0" cy="647700"/>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xdr:cNvPicPr>
          <a:picLocks noChangeAspect="1"/>
        </xdr:cNvPicPr>
      </xdr:nvPicPr>
      <xdr:blipFill>
        <a:blip r:embed="rId795" cstate="email"/>
        <a:stretch>
          <a:fillRect/>
        </a:stretch>
      </xdr:blipFill>
      <xdr:spPr>
        <a:xfrm>
          <a:off x="243840" y="814959635"/>
          <a:ext cx="0" cy="647700"/>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xdr:cNvPicPr>
          <a:picLocks noChangeAspect="1"/>
        </xdr:cNvPicPr>
      </xdr:nvPicPr>
      <xdr:blipFill>
        <a:blip r:embed="rId795" cstate="email"/>
        <a:stretch>
          <a:fillRect/>
        </a:stretch>
      </xdr:blipFill>
      <xdr:spPr>
        <a:xfrm>
          <a:off x="243840" y="815647975"/>
          <a:ext cx="0" cy="648335"/>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xdr:cNvPicPr>
          <a:picLocks noChangeAspect="1"/>
        </xdr:cNvPicPr>
      </xdr:nvPicPr>
      <xdr:blipFill>
        <a:blip r:embed="rId795" cstate="email"/>
        <a:stretch>
          <a:fillRect/>
        </a:stretch>
      </xdr:blipFill>
      <xdr:spPr>
        <a:xfrm>
          <a:off x="243840" y="816356635"/>
          <a:ext cx="0" cy="647700"/>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xdr:cNvPicPr>
          <a:picLocks noChangeAspect="1"/>
        </xdr:cNvPicPr>
      </xdr:nvPicPr>
      <xdr:blipFill>
        <a:blip r:embed="rId796" cstate="email"/>
        <a:stretch>
          <a:fillRect/>
        </a:stretch>
      </xdr:blipFill>
      <xdr:spPr>
        <a:xfrm>
          <a:off x="243840" y="817036720"/>
          <a:ext cx="0" cy="676910"/>
        </a:xfrm>
        <a:prstGeom prst="rect">
          <a:avLst/>
        </a:prstGeom>
      </xdr:spPr>
    </xdr:pic>
    <xdr:clientData/>
  </xdr:twoCellAnchor>
  <xdr:twoCellAnchor editAs="oneCell">
    <xdr:from>
      <xdr:col>1</xdr:col>
      <xdr:colOff>172721</xdr:colOff>
      <xdr:row>1171</xdr:row>
      <xdr:rowOff>40640</xdr:rowOff>
    </xdr:from>
    <xdr:to>
      <xdr:col>2</xdr:col>
      <xdr:colOff>50801</xdr:colOff>
      <xdr:row>1171</xdr:row>
      <xdr:rowOff>653143</xdr:rowOff>
    </xdr:to>
    <xdr:pic>
      <xdr:nvPicPr>
        <xdr:cNvPr id="998" name="Picture 997"/>
        <xdr:cNvPicPr>
          <a:picLocks noChangeAspect="1"/>
        </xdr:cNvPicPr>
      </xdr:nvPicPr>
      <xdr:blipFill>
        <a:blip r:embed="rId797" cstate="email"/>
        <a:stretch>
          <a:fillRect/>
        </a:stretch>
      </xdr:blipFill>
      <xdr:spPr>
        <a:xfrm>
          <a:off x="243840" y="817755540"/>
          <a:ext cx="50800" cy="612140"/>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xdr:cNvPicPr>
          <a:picLocks noChangeAspect="1"/>
        </xdr:cNvPicPr>
      </xdr:nvPicPr>
      <xdr:blipFill>
        <a:blip r:embed="rId798" cstate="email"/>
        <a:stretch>
          <a:fillRect/>
        </a:stretch>
      </xdr:blipFill>
      <xdr:spPr>
        <a:xfrm>
          <a:off x="243840" y="818454040"/>
          <a:ext cx="0"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xdr:cNvPicPr>
          <a:picLocks noChangeAspect="1"/>
        </xdr:cNvPicPr>
      </xdr:nvPicPr>
      <xdr:blipFill>
        <a:blip r:embed="rId799" cstate="email"/>
        <a:stretch>
          <a:fillRect/>
        </a:stretch>
      </xdr:blipFill>
      <xdr:spPr>
        <a:xfrm>
          <a:off x="243840" y="819162065"/>
          <a:ext cx="0" cy="630555"/>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xdr:cNvPicPr>
          <a:picLocks noChangeAspect="1"/>
        </xdr:cNvPicPr>
      </xdr:nvPicPr>
      <xdr:blipFill>
        <a:blip r:embed="rId800" cstate="email"/>
        <a:stretch>
          <a:fillRect/>
        </a:stretch>
      </xdr:blipFill>
      <xdr:spPr>
        <a:xfrm>
          <a:off x="243840" y="821237880"/>
          <a:ext cx="0" cy="623570"/>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xdr:cNvPicPr>
          <a:picLocks noChangeAspect="1"/>
        </xdr:cNvPicPr>
      </xdr:nvPicPr>
      <xdr:blipFill>
        <a:blip r:embed="rId801" cstate="email"/>
        <a:stretch>
          <a:fillRect/>
        </a:stretch>
      </xdr:blipFill>
      <xdr:spPr>
        <a:xfrm>
          <a:off x="243840" y="819839610"/>
          <a:ext cx="0" cy="64135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xdr:cNvPicPr>
          <a:picLocks noChangeAspect="1"/>
        </xdr:cNvPicPr>
      </xdr:nvPicPr>
      <xdr:blipFill>
        <a:blip r:embed="rId801" cstate="email"/>
        <a:stretch>
          <a:fillRect/>
        </a:stretch>
      </xdr:blipFill>
      <xdr:spPr>
        <a:xfrm>
          <a:off x="243840" y="820548270"/>
          <a:ext cx="0" cy="64135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xdr:cNvPicPr>
          <a:picLocks noChangeAspect="1"/>
        </xdr:cNvPicPr>
      </xdr:nvPicPr>
      <xdr:blipFill>
        <a:blip r:embed="rId802" cstate="email"/>
        <a:stretch>
          <a:fillRect/>
        </a:stretch>
      </xdr:blipFill>
      <xdr:spPr>
        <a:xfrm>
          <a:off x="243840" y="821952890"/>
          <a:ext cx="0" cy="65722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xdr:cNvPicPr>
          <a:picLocks noChangeAspect="1"/>
        </xdr:cNvPicPr>
      </xdr:nvPicPr>
      <xdr:blipFill>
        <a:blip r:embed="rId802" cstate="email"/>
        <a:stretch>
          <a:fillRect/>
        </a:stretch>
      </xdr:blipFill>
      <xdr:spPr>
        <a:xfrm>
          <a:off x="243840" y="822625990"/>
          <a:ext cx="0" cy="65722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xdr:cNvPicPr>
          <a:picLocks noChangeAspect="1"/>
        </xdr:cNvPicPr>
      </xdr:nvPicPr>
      <xdr:blipFill>
        <a:blip r:embed="rId803" cstate="email"/>
        <a:stretch>
          <a:fillRect/>
        </a:stretch>
      </xdr:blipFill>
      <xdr:spPr>
        <a:xfrm>
          <a:off x="243840" y="823353700"/>
          <a:ext cx="0"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xdr:cNvPicPr>
          <a:picLocks noChangeAspect="1"/>
        </xdr:cNvPicPr>
      </xdr:nvPicPr>
      <xdr:blipFill>
        <a:blip r:embed="rId804" cstate="email"/>
        <a:stretch>
          <a:fillRect/>
        </a:stretch>
      </xdr:blipFill>
      <xdr:spPr>
        <a:xfrm>
          <a:off x="243840" y="824062360"/>
          <a:ext cx="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xdr:cNvPicPr>
          <a:picLocks noChangeAspect="1"/>
        </xdr:cNvPicPr>
      </xdr:nvPicPr>
      <xdr:blipFill>
        <a:blip r:embed="rId805" cstate="email"/>
        <a:stretch>
          <a:fillRect/>
        </a:stretch>
      </xdr:blipFill>
      <xdr:spPr>
        <a:xfrm>
          <a:off x="243840" y="824753875"/>
          <a:ext cx="0" cy="63182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xdr:cNvPicPr>
          <a:picLocks noChangeAspect="1"/>
        </xdr:cNvPicPr>
      </xdr:nvPicPr>
      <xdr:blipFill>
        <a:blip r:embed="rId805" cstate="email"/>
        <a:stretch>
          <a:fillRect/>
        </a:stretch>
      </xdr:blipFill>
      <xdr:spPr>
        <a:xfrm>
          <a:off x="243840" y="825444120"/>
          <a:ext cx="0" cy="63182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xdr:cNvPicPr>
          <a:picLocks noChangeAspect="1"/>
        </xdr:cNvPicPr>
      </xdr:nvPicPr>
      <xdr:blipFill>
        <a:blip r:embed="rId805" cstate="email"/>
        <a:stretch>
          <a:fillRect/>
        </a:stretch>
      </xdr:blipFill>
      <xdr:spPr>
        <a:xfrm>
          <a:off x="121920" y="826096900"/>
          <a:ext cx="121920" cy="63182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xdr:cNvPicPr>
          <a:picLocks noChangeAspect="1"/>
        </xdr:cNvPicPr>
      </xdr:nvPicPr>
      <xdr:blipFill>
        <a:blip r:embed="rId805" cstate="email"/>
        <a:stretch>
          <a:fillRect/>
        </a:stretch>
      </xdr:blipFill>
      <xdr:spPr>
        <a:xfrm>
          <a:off x="121920" y="826795400"/>
          <a:ext cx="121920" cy="63182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xdr:cNvPicPr>
          <a:picLocks noChangeAspect="1"/>
        </xdr:cNvPicPr>
      </xdr:nvPicPr>
      <xdr:blipFill>
        <a:blip r:embed="rId806" cstate="email"/>
        <a:stretch>
          <a:fillRect/>
        </a:stretch>
      </xdr:blipFill>
      <xdr:spPr>
        <a:xfrm>
          <a:off x="208280" y="827530095"/>
          <a:ext cx="35560" cy="650240"/>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xdr:cNvPicPr>
          <a:picLocks noChangeAspect="1"/>
        </xdr:cNvPicPr>
      </xdr:nvPicPr>
      <xdr:blipFill>
        <a:blip r:embed="rId807" cstate="email"/>
        <a:stretch>
          <a:fillRect/>
        </a:stretch>
      </xdr:blipFill>
      <xdr:spPr>
        <a:xfrm>
          <a:off x="121920" y="828192400"/>
          <a:ext cx="121920" cy="650240"/>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xdr:cNvPicPr>
          <a:picLocks noChangeAspect="1"/>
        </xdr:cNvPicPr>
      </xdr:nvPicPr>
      <xdr:blipFill>
        <a:blip r:embed="rId807" cstate="email"/>
        <a:stretch>
          <a:fillRect/>
        </a:stretch>
      </xdr:blipFill>
      <xdr:spPr>
        <a:xfrm>
          <a:off x="121920" y="828890900"/>
          <a:ext cx="121920" cy="650240"/>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xdr:cNvPicPr>
          <a:picLocks noChangeAspect="1"/>
        </xdr:cNvPicPr>
      </xdr:nvPicPr>
      <xdr:blipFill>
        <a:blip r:embed="rId808" cstate="email"/>
        <a:stretch>
          <a:fillRect/>
        </a:stretch>
      </xdr:blipFill>
      <xdr:spPr>
        <a:xfrm>
          <a:off x="169545" y="829628770"/>
          <a:ext cx="74295" cy="642620"/>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xdr:cNvPicPr>
          <a:picLocks noChangeAspect="1"/>
        </xdr:cNvPicPr>
      </xdr:nvPicPr>
      <xdr:blipFill>
        <a:blip r:embed="rId809" cstate="email"/>
        <a:stretch>
          <a:fillRect/>
        </a:stretch>
      </xdr:blipFill>
      <xdr:spPr>
        <a:xfrm>
          <a:off x="160020" y="830319650"/>
          <a:ext cx="83820" cy="651510"/>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xdr:cNvPicPr>
          <a:picLocks noChangeAspect="1"/>
        </xdr:cNvPicPr>
      </xdr:nvPicPr>
      <xdr:blipFill>
        <a:blip r:embed="rId810" cstate="email"/>
        <a:stretch>
          <a:fillRect/>
        </a:stretch>
      </xdr:blipFill>
      <xdr:spPr>
        <a:xfrm>
          <a:off x="189230" y="831024500"/>
          <a:ext cx="54610" cy="644525"/>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xdr:cNvPicPr>
          <a:picLocks noChangeAspect="1"/>
        </xdr:cNvPicPr>
      </xdr:nvPicPr>
      <xdr:blipFill>
        <a:blip r:embed="rId811" cstate="email"/>
        <a:stretch>
          <a:fillRect/>
        </a:stretch>
      </xdr:blipFill>
      <xdr:spPr>
        <a:xfrm>
          <a:off x="172720" y="831725540"/>
          <a:ext cx="71120" cy="652780"/>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xdr:cNvPicPr>
          <a:picLocks noChangeAspect="1"/>
        </xdr:cNvPicPr>
      </xdr:nvPicPr>
      <xdr:blipFill>
        <a:blip r:embed="rId811" cstate="email"/>
        <a:stretch>
          <a:fillRect/>
        </a:stretch>
      </xdr:blipFill>
      <xdr:spPr>
        <a:xfrm>
          <a:off x="121920" y="832383400"/>
          <a:ext cx="121920" cy="652780"/>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xdr:cNvPicPr>
          <a:picLocks noChangeAspect="1"/>
        </xdr:cNvPicPr>
      </xdr:nvPicPr>
      <xdr:blipFill>
        <a:blip r:embed="rId811" cstate="email"/>
        <a:stretch>
          <a:fillRect/>
        </a:stretch>
      </xdr:blipFill>
      <xdr:spPr>
        <a:xfrm>
          <a:off x="121920" y="833081900"/>
          <a:ext cx="121920" cy="652780"/>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xdr:cNvPicPr>
          <a:picLocks noChangeAspect="1"/>
        </xdr:cNvPicPr>
      </xdr:nvPicPr>
      <xdr:blipFill>
        <a:blip r:embed="rId812" cstate="email"/>
        <a:stretch>
          <a:fillRect/>
        </a:stretch>
      </xdr:blipFill>
      <xdr:spPr>
        <a:xfrm>
          <a:off x="182880" y="833836280"/>
          <a:ext cx="60960" cy="593725"/>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xdr:cNvPicPr>
          <a:picLocks noChangeAspect="1"/>
        </xdr:cNvPicPr>
      </xdr:nvPicPr>
      <xdr:blipFill>
        <a:blip r:embed="rId812" cstate="email"/>
        <a:stretch>
          <a:fillRect/>
        </a:stretch>
      </xdr:blipFill>
      <xdr:spPr>
        <a:xfrm>
          <a:off x="182880" y="834544940"/>
          <a:ext cx="60960" cy="593725"/>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xdr:cNvPicPr>
          <a:picLocks noChangeAspect="1"/>
        </xdr:cNvPicPr>
      </xdr:nvPicPr>
      <xdr:blipFill>
        <a:blip r:embed="rId812" cstate="email"/>
        <a:stretch>
          <a:fillRect/>
        </a:stretch>
      </xdr:blipFill>
      <xdr:spPr>
        <a:xfrm>
          <a:off x="142240" y="835223120"/>
          <a:ext cx="101600" cy="593725"/>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xdr:cNvPicPr>
          <a:picLocks noChangeAspect="1"/>
        </xdr:cNvPicPr>
      </xdr:nvPicPr>
      <xdr:blipFill>
        <a:blip r:embed="rId813" cstate="email"/>
        <a:stretch>
          <a:fillRect/>
        </a:stretch>
      </xdr:blipFill>
      <xdr:spPr>
        <a:xfrm>
          <a:off x="162560" y="835922890"/>
          <a:ext cx="81280" cy="643890"/>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xdr:cNvPicPr>
          <a:picLocks noChangeAspect="1"/>
        </xdr:cNvPicPr>
      </xdr:nvPicPr>
      <xdr:blipFill>
        <a:blip r:embed="rId813" cstate="email"/>
        <a:stretch>
          <a:fillRect/>
        </a:stretch>
      </xdr:blipFill>
      <xdr:spPr>
        <a:xfrm>
          <a:off x="121920" y="836574400"/>
          <a:ext cx="121920" cy="643255"/>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xdr:cNvPicPr>
          <a:picLocks noChangeAspect="1"/>
        </xdr:cNvPicPr>
      </xdr:nvPicPr>
      <xdr:blipFill>
        <a:blip r:embed="rId813" cstate="email"/>
        <a:stretch>
          <a:fillRect/>
        </a:stretch>
      </xdr:blipFill>
      <xdr:spPr>
        <a:xfrm>
          <a:off x="121920" y="837272900"/>
          <a:ext cx="121920" cy="643255"/>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xdr:cNvPicPr>
          <a:picLocks noChangeAspect="1"/>
        </xdr:cNvPicPr>
      </xdr:nvPicPr>
      <xdr:blipFill>
        <a:blip r:embed="rId814" cstate="email"/>
        <a:stretch>
          <a:fillRect/>
        </a:stretch>
      </xdr:blipFill>
      <xdr:spPr>
        <a:xfrm>
          <a:off x="182880" y="837994260"/>
          <a:ext cx="60960" cy="647065"/>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xdr:cNvPicPr>
          <a:picLocks noChangeAspect="1"/>
        </xdr:cNvPicPr>
      </xdr:nvPicPr>
      <xdr:blipFill>
        <a:blip r:embed="rId815" cstate="email"/>
        <a:stretch>
          <a:fillRect/>
        </a:stretch>
      </xdr:blipFill>
      <xdr:spPr>
        <a:xfrm>
          <a:off x="203200" y="838694665"/>
          <a:ext cx="40640" cy="645795"/>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xdr:cNvPicPr>
          <a:picLocks noChangeAspect="1"/>
        </xdr:cNvPicPr>
      </xdr:nvPicPr>
      <xdr:blipFill>
        <a:blip r:embed="rId816" cstate="email"/>
        <a:stretch>
          <a:fillRect/>
        </a:stretch>
      </xdr:blipFill>
      <xdr:spPr>
        <a:xfrm>
          <a:off x="213360" y="839407135"/>
          <a:ext cx="30480" cy="628650"/>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xdr:cNvPicPr>
          <a:picLocks noChangeAspect="1"/>
        </xdr:cNvPicPr>
      </xdr:nvPicPr>
      <xdr:blipFill>
        <a:blip r:embed="rId817" cstate="email"/>
        <a:stretch>
          <a:fillRect/>
        </a:stretch>
      </xdr:blipFill>
      <xdr:spPr>
        <a:xfrm>
          <a:off x="182880" y="840105635"/>
          <a:ext cx="60960" cy="628650"/>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xdr:cNvPicPr>
          <a:picLocks noChangeAspect="1"/>
        </xdr:cNvPicPr>
      </xdr:nvPicPr>
      <xdr:blipFill>
        <a:blip r:embed="rId817" cstate="email"/>
        <a:stretch>
          <a:fillRect/>
        </a:stretch>
      </xdr:blipFill>
      <xdr:spPr>
        <a:xfrm>
          <a:off x="182880" y="840804135"/>
          <a:ext cx="60960" cy="628650"/>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xdr:cNvPicPr>
          <a:picLocks noChangeAspect="1"/>
        </xdr:cNvPicPr>
      </xdr:nvPicPr>
      <xdr:blipFill>
        <a:blip r:embed="rId818" cstate="email"/>
        <a:stretch>
          <a:fillRect/>
        </a:stretch>
      </xdr:blipFill>
      <xdr:spPr>
        <a:xfrm>
          <a:off x="172720" y="841481045"/>
          <a:ext cx="71120" cy="658495"/>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xdr:cNvPicPr>
          <a:picLocks noChangeAspect="1"/>
        </xdr:cNvPicPr>
      </xdr:nvPicPr>
      <xdr:blipFill>
        <a:blip r:embed="rId819" cstate="email"/>
        <a:stretch>
          <a:fillRect/>
        </a:stretch>
      </xdr:blipFill>
      <xdr:spPr>
        <a:xfrm>
          <a:off x="162560" y="842203040"/>
          <a:ext cx="81280" cy="638810"/>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xdr:cNvPicPr>
          <a:picLocks noChangeAspect="1"/>
        </xdr:cNvPicPr>
      </xdr:nvPicPr>
      <xdr:blipFill>
        <a:blip r:embed="rId820" cstate="email"/>
        <a:stretch>
          <a:fillRect/>
        </a:stretch>
      </xdr:blipFill>
      <xdr:spPr>
        <a:xfrm>
          <a:off x="162560" y="842901540"/>
          <a:ext cx="81280" cy="635000"/>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xdr:cNvPicPr>
          <a:picLocks noChangeAspect="1"/>
        </xdr:cNvPicPr>
      </xdr:nvPicPr>
      <xdr:blipFill>
        <a:blip r:embed="rId820" cstate="email"/>
        <a:stretch>
          <a:fillRect/>
        </a:stretch>
      </xdr:blipFill>
      <xdr:spPr>
        <a:xfrm>
          <a:off x="162560" y="843589880"/>
          <a:ext cx="81280" cy="635000"/>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xdr:cNvPicPr>
          <a:picLocks noChangeAspect="1"/>
        </xdr:cNvPicPr>
      </xdr:nvPicPr>
      <xdr:blipFill>
        <a:blip r:embed="rId820" cstate="email"/>
        <a:stretch>
          <a:fillRect/>
        </a:stretch>
      </xdr:blipFill>
      <xdr:spPr>
        <a:xfrm>
          <a:off x="162560" y="844298540"/>
          <a:ext cx="81280" cy="635000"/>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xdr:cNvPicPr>
          <a:picLocks noChangeAspect="1"/>
        </xdr:cNvPicPr>
      </xdr:nvPicPr>
      <xdr:blipFill>
        <a:blip r:embed="rId821" cstate="email"/>
        <a:stretch>
          <a:fillRect/>
        </a:stretch>
      </xdr:blipFill>
      <xdr:spPr>
        <a:xfrm>
          <a:off x="182880" y="844997040"/>
          <a:ext cx="60960" cy="639445"/>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xdr:cNvPicPr>
          <a:picLocks noChangeAspect="1"/>
        </xdr:cNvPicPr>
      </xdr:nvPicPr>
      <xdr:blipFill>
        <a:blip r:embed="rId821" cstate="email"/>
        <a:stretch>
          <a:fillRect/>
        </a:stretch>
      </xdr:blipFill>
      <xdr:spPr>
        <a:xfrm>
          <a:off x="182880" y="847092540"/>
          <a:ext cx="60960" cy="639445"/>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xdr:cNvPicPr>
          <a:picLocks noChangeAspect="1"/>
        </xdr:cNvPicPr>
      </xdr:nvPicPr>
      <xdr:blipFill>
        <a:blip r:embed="rId822" cstate="email"/>
        <a:stretch>
          <a:fillRect/>
        </a:stretch>
      </xdr:blipFill>
      <xdr:spPr>
        <a:xfrm>
          <a:off x="203200" y="849876380"/>
          <a:ext cx="40640" cy="639445"/>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xdr:cNvPicPr>
          <a:picLocks noChangeAspect="1"/>
        </xdr:cNvPicPr>
      </xdr:nvPicPr>
      <xdr:blipFill>
        <a:blip r:embed="rId823" cstate="email"/>
        <a:stretch>
          <a:fillRect/>
        </a:stretch>
      </xdr:blipFill>
      <xdr:spPr>
        <a:xfrm>
          <a:off x="185420" y="850574880"/>
          <a:ext cx="58420"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xdr:cNvPicPr>
          <a:picLocks noChangeAspect="1"/>
        </xdr:cNvPicPr>
      </xdr:nvPicPr>
      <xdr:blipFill>
        <a:blip r:embed="rId824" cstate="email"/>
        <a:stretch>
          <a:fillRect/>
        </a:stretch>
      </xdr:blipFill>
      <xdr:spPr>
        <a:xfrm>
          <a:off x="152400" y="851242900"/>
          <a:ext cx="91440"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xdr:cNvPicPr>
          <a:picLocks noChangeAspect="1"/>
        </xdr:cNvPicPr>
      </xdr:nvPicPr>
      <xdr:blipFill>
        <a:blip r:embed="rId825" cstate="email"/>
        <a:stretch>
          <a:fillRect/>
        </a:stretch>
      </xdr:blipFill>
      <xdr:spPr>
        <a:xfrm>
          <a:off x="172720" y="851982040"/>
          <a:ext cx="71120"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xdr:cNvPicPr>
          <a:picLocks noChangeAspect="1"/>
        </xdr:cNvPicPr>
      </xdr:nvPicPr>
      <xdr:blipFill>
        <a:blip r:embed="rId824" cstate="email"/>
        <a:stretch>
          <a:fillRect/>
        </a:stretch>
      </xdr:blipFill>
      <xdr:spPr>
        <a:xfrm>
          <a:off x="152400" y="852670380"/>
          <a:ext cx="91440"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xdr:cNvPicPr>
          <a:picLocks noChangeAspect="1"/>
        </xdr:cNvPicPr>
      </xdr:nvPicPr>
      <xdr:blipFill>
        <a:blip r:embed="rId826" cstate="email"/>
        <a:stretch>
          <a:fillRect/>
        </a:stretch>
      </xdr:blipFill>
      <xdr:spPr>
        <a:xfrm>
          <a:off x="193040" y="845685380"/>
          <a:ext cx="50800" cy="639445"/>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xdr:cNvPicPr>
          <a:picLocks noChangeAspect="1"/>
        </xdr:cNvPicPr>
      </xdr:nvPicPr>
      <xdr:blipFill>
        <a:blip r:embed="rId827" cstate="email"/>
        <a:stretch>
          <a:fillRect/>
        </a:stretch>
      </xdr:blipFill>
      <xdr:spPr>
        <a:xfrm>
          <a:off x="172720" y="846383880"/>
          <a:ext cx="71120" cy="639445"/>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xdr:cNvPicPr>
          <a:picLocks noChangeAspect="1"/>
        </xdr:cNvPicPr>
      </xdr:nvPicPr>
      <xdr:blipFill>
        <a:blip r:embed="rId828" cstate="email"/>
        <a:stretch>
          <a:fillRect/>
        </a:stretch>
      </xdr:blipFill>
      <xdr:spPr>
        <a:xfrm>
          <a:off x="121920" y="847750400"/>
          <a:ext cx="121920" cy="639445"/>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xdr:cNvPicPr>
          <a:picLocks noChangeAspect="1"/>
        </xdr:cNvPicPr>
      </xdr:nvPicPr>
      <xdr:blipFill>
        <a:blip r:embed="rId828" cstate="email"/>
        <a:stretch>
          <a:fillRect/>
        </a:stretch>
      </xdr:blipFill>
      <xdr:spPr>
        <a:xfrm>
          <a:off x="121920" y="848448900"/>
          <a:ext cx="121920" cy="639445"/>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xdr:cNvPicPr>
          <a:picLocks noChangeAspect="1"/>
        </xdr:cNvPicPr>
      </xdr:nvPicPr>
      <xdr:blipFill>
        <a:blip r:embed="rId829" cstate="email"/>
        <a:stretch>
          <a:fillRect/>
        </a:stretch>
      </xdr:blipFill>
      <xdr:spPr>
        <a:xfrm>
          <a:off x="162560" y="853378405"/>
          <a:ext cx="81280" cy="635635"/>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xdr:cNvPicPr>
          <a:picLocks noChangeAspect="1"/>
        </xdr:cNvPicPr>
      </xdr:nvPicPr>
      <xdr:blipFill>
        <a:blip r:embed="rId830" cstate="email"/>
        <a:stretch>
          <a:fillRect/>
        </a:stretch>
      </xdr:blipFill>
      <xdr:spPr>
        <a:xfrm>
          <a:off x="142240" y="854085795"/>
          <a:ext cx="101600" cy="62738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xdr:cNvPicPr>
          <a:picLocks noChangeAspect="1"/>
        </xdr:cNvPicPr>
      </xdr:nvPicPr>
      <xdr:blipFill>
        <a:blip r:embed="rId831" cstate="email"/>
        <a:stretch>
          <a:fillRect/>
        </a:stretch>
      </xdr:blipFill>
      <xdr:spPr>
        <a:xfrm>
          <a:off x="182880" y="854765880"/>
          <a:ext cx="60960"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xdr:cNvPicPr>
          <a:picLocks noChangeAspect="1"/>
        </xdr:cNvPicPr>
      </xdr:nvPicPr>
      <xdr:blipFill>
        <a:blip r:embed="rId832" cstate="email"/>
        <a:stretch>
          <a:fillRect/>
        </a:stretch>
      </xdr:blipFill>
      <xdr:spPr>
        <a:xfrm>
          <a:off x="162560" y="856854395"/>
          <a:ext cx="81280" cy="663575"/>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xdr:cNvPicPr>
          <a:picLocks noChangeAspect="1"/>
        </xdr:cNvPicPr>
      </xdr:nvPicPr>
      <xdr:blipFill>
        <a:blip r:embed="rId833" cstate="email"/>
        <a:stretch>
          <a:fillRect/>
        </a:stretch>
      </xdr:blipFill>
      <xdr:spPr>
        <a:xfrm>
          <a:off x="193040" y="855464380"/>
          <a:ext cx="50800"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xdr:cNvPicPr>
          <a:picLocks noChangeAspect="1"/>
        </xdr:cNvPicPr>
      </xdr:nvPicPr>
      <xdr:blipFill>
        <a:blip r:embed="rId834" cstate="email"/>
        <a:stretch>
          <a:fillRect/>
        </a:stretch>
      </xdr:blipFill>
      <xdr:spPr>
        <a:xfrm>
          <a:off x="203200" y="856162880"/>
          <a:ext cx="40640"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xdr:cNvPicPr>
          <a:picLocks noChangeAspect="1"/>
        </xdr:cNvPicPr>
      </xdr:nvPicPr>
      <xdr:blipFill>
        <a:blip r:embed="rId835" cstate="email"/>
        <a:stretch>
          <a:fillRect/>
        </a:stretch>
      </xdr:blipFill>
      <xdr:spPr>
        <a:xfrm>
          <a:off x="193040" y="857549720"/>
          <a:ext cx="50800" cy="663575"/>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xdr:cNvPicPr>
          <a:picLocks noChangeAspect="1"/>
        </xdr:cNvPicPr>
      </xdr:nvPicPr>
      <xdr:blipFill>
        <a:blip r:embed="rId836" cstate="email"/>
        <a:stretch>
          <a:fillRect/>
        </a:stretch>
      </xdr:blipFill>
      <xdr:spPr>
        <a:xfrm>
          <a:off x="213360" y="858268540"/>
          <a:ext cx="30480"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xdr:cNvPicPr>
          <a:picLocks noChangeAspect="1"/>
        </xdr:cNvPicPr>
      </xdr:nvPicPr>
      <xdr:blipFill>
        <a:blip r:embed="rId837" cstate="email"/>
        <a:stretch>
          <a:fillRect/>
        </a:stretch>
      </xdr:blipFill>
      <xdr:spPr>
        <a:xfrm>
          <a:off x="194945" y="858956880"/>
          <a:ext cx="48895" cy="645795"/>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xdr:cNvPicPr>
          <a:picLocks noChangeAspect="1"/>
        </xdr:cNvPicPr>
      </xdr:nvPicPr>
      <xdr:blipFill>
        <a:blip r:embed="rId838" cstate="email"/>
        <a:stretch>
          <a:fillRect/>
        </a:stretch>
      </xdr:blipFill>
      <xdr:spPr>
        <a:xfrm>
          <a:off x="121920" y="859624900"/>
          <a:ext cx="121920" cy="645795"/>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xdr:cNvPicPr>
          <a:picLocks noChangeAspect="1"/>
        </xdr:cNvPicPr>
      </xdr:nvPicPr>
      <xdr:blipFill>
        <a:blip r:embed="rId839" cstate="email"/>
        <a:stretch>
          <a:fillRect/>
        </a:stretch>
      </xdr:blipFill>
      <xdr:spPr>
        <a:xfrm>
          <a:off x="152400" y="860364040"/>
          <a:ext cx="91440" cy="645795"/>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xdr:cNvPicPr>
          <a:picLocks noChangeAspect="1"/>
        </xdr:cNvPicPr>
      </xdr:nvPicPr>
      <xdr:blipFill>
        <a:blip r:embed="rId840" cstate="email"/>
        <a:stretch>
          <a:fillRect/>
        </a:stretch>
      </xdr:blipFill>
      <xdr:spPr>
        <a:xfrm>
          <a:off x="142240" y="861062540"/>
          <a:ext cx="101600" cy="645795"/>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xdr:cNvPicPr>
          <a:picLocks noChangeAspect="1"/>
        </xdr:cNvPicPr>
      </xdr:nvPicPr>
      <xdr:blipFill>
        <a:blip r:embed="rId841" cstate="email"/>
        <a:stretch>
          <a:fillRect/>
        </a:stretch>
      </xdr:blipFill>
      <xdr:spPr>
        <a:xfrm>
          <a:off x="153670" y="861750880"/>
          <a:ext cx="90170" cy="654685"/>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xdr:cNvPicPr>
          <a:picLocks noChangeAspect="1"/>
        </xdr:cNvPicPr>
      </xdr:nvPicPr>
      <xdr:blipFill>
        <a:blip r:embed="rId842" cstate="email"/>
        <a:stretch>
          <a:fillRect/>
        </a:stretch>
      </xdr:blipFill>
      <xdr:spPr>
        <a:xfrm>
          <a:off x="152400" y="862449380"/>
          <a:ext cx="91440" cy="654685"/>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xdr:cNvPicPr>
          <a:picLocks noChangeAspect="1"/>
        </xdr:cNvPicPr>
      </xdr:nvPicPr>
      <xdr:blipFill>
        <a:blip r:embed="rId843" cstate="email"/>
        <a:stretch>
          <a:fillRect/>
        </a:stretch>
      </xdr:blipFill>
      <xdr:spPr>
        <a:xfrm>
          <a:off x="121920" y="863117400"/>
          <a:ext cx="121920" cy="654685"/>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xdr:cNvPicPr>
          <a:picLocks noChangeAspect="1"/>
        </xdr:cNvPicPr>
      </xdr:nvPicPr>
      <xdr:blipFill>
        <a:blip r:embed="rId844" cstate="email"/>
        <a:stretch>
          <a:fillRect/>
        </a:stretch>
      </xdr:blipFill>
      <xdr:spPr>
        <a:xfrm>
          <a:off x="162560" y="863866700"/>
          <a:ext cx="81280"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xdr:cNvPicPr>
          <a:picLocks noChangeAspect="1"/>
        </xdr:cNvPicPr>
      </xdr:nvPicPr>
      <xdr:blipFill>
        <a:blip r:embed="rId845" cstate="email"/>
        <a:stretch>
          <a:fillRect/>
        </a:stretch>
      </xdr:blipFill>
      <xdr:spPr>
        <a:xfrm>
          <a:off x="162560" y="865966010"/>
          <a:ext cx="81280" cy="626110"/>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xdr:cNvPicPr>
          <a:picLocks noChangeAspect="1"/>
        </xdr:cNvPicPr>
      </xdr:nvPicPr>
      <xdr:blipFill>
        <a:blip r:embed="rId845" cstate="email"/>
        <a:stretch>
          <a:fillRect/>
        </a:stretch>
      </xdr:blipFill>
      <xdr:spPr>
        <a:xfrm>
          <a:off x="162560" y="866664510"/>
          <a:ext cx="81280" cy="626110"/>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xdr:cNvPicPr>
          <a:picLocks noChangeAspect="1"/>
        </xdr:cNvPicPr>
      </xdr:nvPicPr>
      <xdr:blipFill>
        <a:blip r:embed="rId846" cstate="email"/>
        <a:stretch>
          <a:fillRect/>
        </a:stretch>
      </xdr:blipFill>
      <xdr:spPr>
        <a:xfrm>
          <a:off x="162560" y="865236395"/>
          <a:ext cx="81280" cy="659765"/>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xdr:cNvPicPr>
          <a:picLocks noChangeAspect="1"/>
        </xdr:cNvPicPr>
      </xdr:nvPicPr>
      <xdr:blipFill>
        <a:blip r:embed="rId846" cstate="email"/>
        <a:stretch>
          <a:fillRect/>
        </a:stretch>
      </xdr:blipFill>
      <xdr:spPr>
        <a:xfrm>
          <a:off x="162560" y="864544880"/>
          <a:ext cx="81280" cy="659765"/>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xdr:cNvPicPr>
          <a:picLocks noChangeAspect="1"/>
        </xdr:cNvPicPr>
      </xdr:nvPicPr>
      <xdr:blipFill>
        <a:blip r:embed="rId847" cstate="email"/>
        <a:stretch>
          <a:fillRect/>
        </a:stretch>
      </xdr:blipFill>
      <xdr:spPr>
        <a:xfrm>
          <a:off x="162560" y="870148755"/>
          <a:ext cx="81280" cy="623570"/>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xdr:cNvPicPr>
          <a:picLocks noChangeAspect="1"/>
        </xdr:cNvPicPr>
      </xdr:nvPicPr>
      <xdr:blipFill>
        <a:blip r:embed="rId848" cstate="email"/>
        <a:stretch>
          <a:fillRect/>
        </a:stretch>
      </xdr:blipFill>
      <xdr:spPr>
        <a:xfrm>
          <a:off x="167005" y="872249335"/>
          <a:ext cx="76835" cy="642620"/>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xdr:cNvPicPr>
          <a:picLocks noChangeAspect="1"/>
        </xdr:cNvPicPr>
      </xdr:nvPicPr>
      <xdr:blipFill>
        <a:blip r:embed="rId849" cstate="email"/>
        <a:stretch>
          <a:fillRect/>
        </a:stretch>
      </xdr:blipFill>
      <xdr:spPr>
        <a:xfrm>
          <a:off x="127635" y="871533690"/>
          <a:ext cx="116205" cy="648335"/>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xdr:cNvPicPr>
          <a:picLocks noChangeAspect="1"/>
        </xdr:cNvPicPr>
      </xdr:nvPicPr>
      <xdr:blipFill>
        <a:blip r:embed="rId850" cstate="email"/>
        <a:stretch>
          <a:fillRect/>
        </a:stretch>
      </xdr:blipFill>
      <xdr:spPr>
        <a:xfrm>
          <a:off x="236220" y="881988330"/>
          <a:ext cx="7620" cy="68580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xdr:cNvPicPr>
          <a:picLocks noChangeAspect="1"/>
        </xdr:cNvPicPr>
      </xdr:nvPicPr>
      <xdr:blipFill>
        <a:blip r:embed="rId851" cstate="email"/>
        <a:stretch>
          <a:fillRect/>
        </a:stretch>
      </xdr:blipFill>
      <xdr:spPr>
        <a:xfrm>
          <a:off x="239395" y="882701435"/>
          <a:ext cx="4445" cy="687070"/>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xdr:cNvPicPr>
          <a:picLocks noChangeAspect="1"/>
        </xdr:cNvPicPr>
      </xdr:nvPicPr>
      <xdr:blipFill>
        <a:blip r:embed="rId852" cstate="email"/>
        <a:stretch>
          <a:fillRect/>
        </a:stretch>
      </xdr:blipFill>
      <xdr:spPr>
        <a:xfrm>
          <a:off x="213360" y="881320310"/>
          <a:ext cx="30480" cy="633095"/>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xdr:cNvPicPr>
          <a:picLocks noChangeAspect="1"/>
        </xdr:cNvPicPr>
      </xdr:nvPicPr>
      <xdr:blipFill>
        <a:blip r:embed="rId853" cstate="email"/>
        <a:stretch>
          <a:fillRect/>
        </a:stretch>
      </xdr:blipFill>
      <xdr:spPr>
        <a:xfrm>
          <a:off x="167640" y="880602760"/>
          <a:ext cx="76200" cy="663575"/>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xdr:cNvPicPr>
          <a:picLocks noChangeAspect="1"/>
        </xdr:cNvPicPr>
      </xdr:nvPicPr>
      <xdr:blipFill>
        <a:blip r:embed="rId854" cstate="email"/>
        <a:stretch>
          <a:fillRect/>
        </a:stretch>
      </xdr:blipFill>
      <xdr:spPr>
        <a:xfrm>
          <a:off x="149225" y="885482735"/>
          <a:ext cx="94615" cy="673735"/>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xdr:cNvPicPr>
          <a:picLocks noChangeAspect="1"/>
        </xdr:cNvPicPr>
      </xdr:nvPicPr>
      <xdr:blipFill>
        <a:blip r:embed="rId855" cstate="email"/>
        <a:stretch>
          <a:fillRect/>
        </a:stretch>
      </xdr:blipFill>
      <xdr:spPr>
        <a:xfrm>
          <a:off x="189865" y="888288800"/>
          <a:ext cx="53975" cy="650240"/>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xdr:cNvPicPr>
          <a:picLocks noChangeAspect="1"/>
        </xdr:cNvPicPr>
      </xdr:nvPicPr>
      <xdr:blipFill>
        <a:blip r:embed="rId856" cstate="email"/>
        <a:stretch>
          <a:fillRect/>
        </a:stretch>
      </xdr:blipFill>
      <xdr:spPr>
        <a:xfrm>
          <a:off x="176530" y="887592205"/>
          <a:ext cx="67310" cy="650240"/>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xdr:cNvPicPr>
          <a:picLocks noChangeAspect="1"/>
        </xdr:cNvPicPr>
      </xdr:nvPicPr>
      <xdr:blipFill>
        <a:blip r:embed="rId857" cstate="email"/>
        <a:stretch>
          <a:fillRect/>
        </a:stretch>
      </xdr:blipFill>
      <xdr:spPr>
        <a:xfrm>
          <a:off x="164465" y="886196475"/>
          <a:ext cx="79375" cy="678180"/>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xdr:cNvPicPr>
          <a:picLocks noChangeAspect="1"/>
        </xdr:cNvPicPr>
      </xdr:nvPicPr>
      <xdr:blipFill>
        <a:blip r:embed="rId858" cstate="email"/>
        <a:stretch>
          <a:fillRect/>
        </a:stretch>
      </xdr:blipFill>
      <xdr:spPr>
        <a:xfrm>
          <a:off x="176530" y="886884180"/>
          <a:ext cx="67310" cy="673735"/>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xdr:cNvPicPr>
          <a:picLocks noChangeAspect="1"/>
        </xdr:cNvPicPr>
      </xdr:nvPicPr>
      <xdr:blipFill>
        <a:blip r:embed="rId859" cstate="email"/>
        <a:stretch>
          <a:fillRect/>
        </a:stretch>
      </xdr:blipFill>
      <xdr:spPr>
        <a:xfrm>
          <a:off x="161290" y="888986030"/>
          <a:ext cx="82550" cy="663575"/>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xdr:cNvPicPr>
          <a:picLocks noChangeAspect="1"/>
        </xdr:cNvPicPr>
      </xdr:nvPicPr>
      <xdr:blipFill>
        <a:blip r:embed="rId860" cstate="email"/>
        <a:stretch>
          <a:fillRect/>
        </a:stretch>
      </xdr:blipFill>
      <xdr:spPr>
        <a:xfrm>
          <a:off x="179070" y="890391285"/>
          <a:ext cx="64770" cy="631825"/>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xdr:cNvPicPr>
          <a:picLocks noChangeAspect="1"/>
        </xdr:cNvPicPr>
      </xdr:nvPicPr>
      <xdr:blipFill>
        <a:blip r:embed="rId861" cstate="email"/>
        <a:stretch>
          <a:fillRect/>
        </a:stretch>
      </xdr:blipFill>
      <xdr:spPr>
        <a:xfrm>
          <a:off x="201930" y="891796540"/>
          <a:ext cx="41910" cy="650875"/>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xdr:cNvPicPr>
          <a:picLocks noChangeAspect="1"/>
        </xdr:cNvPicPr>
      </xdr:nvPicPr>
      <xdr:blipFill>
        <a:blip r:embed="rId862" cstate="email"/>
        <a:stretch>
          <a:fillRect/>
        </a:stretch>
      </xdr:blipFill>
      <xdr:spPr>
        <a:xfrm>
          <a:off x="141605" y="893193540"/>
          <a:ext cx="102235" cy="640715"/>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xdr:cNvPicPr>
          <a:picLocks noChangeAspect="1"/>
        </xdr:cNvPicPr>
      </xdr:nvPicPr>
      <xdr:blipFill>
        <a:blip r:embed="rId862" cstate="email"/>
        <a:stretch>
          <a:fillRect/>
        </a:stretch>
      </xdr:blipFill>
      <xdr:spPr>
        <a:xfrm>
          <a:off x="146050" y="892495040"/>
          <a:ext cx="97790" cy="640715"/>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xdr:cNvPicPr>
          <a:picLocks noChangeAspect="1"/>
        </xdr:cNvPicPr>
      </xdr:nvPicPr>
      <xdr:blipFill>
        <a:blip r:embed="rId863" cstate="email"/>
        <a:stretch>
          <a:fillRect/>
        </a:stretch>
      </xdr:blipFill>
      <xdr:spPr>
        <a:xfrm>
          <a:off x="137795" y="884803920"/>
          <a:ext cx="106045" cy="6191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xdr:cNvPicPr>
          <a:picLocks noChangeAspect="1"/>
        </xdr:cNvPicPr>
      </xdr:nvPicPr>
      <xdr:blipFill>
        <a:blip r:embed="rId864" cstate="email"/>
        <a:stretch>
          <a:fillRect/>
        </a:stretch>
      </xdr:blipFill>
      <xdr:spPr>
        <a:xfrm>
          <a:off x="235585" y="884104785"/>
          <a:ext cx="8255" cy="665480"/>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xdr:cNvPicPr>
          <a:picLocks noChangeAspect="1"/>
        </xdr:cNvPicPr>
      </xdr:nvPicPr>
      <xdr:blipFill>
        <a:blip r:embed="rId865" cstate="email"/>
        <a:stretch>
          <a:fillRect/>
        </a:stretch>
      </xdr:blipFill>
      <xdr:spPr>
        <a:xfrm>
          <a:off x="199390" y="883406285"/>
          <a:ext cx="44450" cy="663575"/>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xdr:cNvPicPr>
          <a:picLocks noChangeAspect="1"/>
        </xdr:cNvPicPr>
      </xdr:nvPicPr>
      <xdr:blipFill>
        <a:blip r:embed="rId866" cstate="email"/>
        <a:stretch>
          <a:fillRect/>
        </a:stretch>
      </xdr:blipFill>
      <xdr:spPr>
        <a:xfrm>
          <a:off x="158750" y="879897275"/>
          <a:ext cx="85090" cy="674370"/>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xdr:cNvPicPr>
          <a:picLocks noChangeAspect="1"/>
        </xdr:cNvPicPr>
      </xdr:nvPicPr>
      <xdr:blipFill>
        <a:blip r:embed="rId867" cstate="email"/>
        <a:stretch>
          <a:fillRect/>
        </a:stretch>
      </xdr:blipFill>
      <xdr:spPr>
        <a:xfrm>
          <a:off x="170180" y="879231795"/>
          <a:ext cx="73660" cy="634365"/>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xdr:cNvPicPr>
          <a:picLocks noChangeAspect="1"/>
        </xdr:cNvPicPr>
      </xdr:nvPicPr>
      <xdr:blipFill>
        <a:blip r:embed="rId867" cstate="email"/>
        <a:stretch>
          <a:fillRect/>
        </a:stretch>
      </xdr:blipFill>
      <xdr:spPr>
        <a:xfrm>
          <a:off x="157480" y="878521230"/>
          <a:ext cx="86360" cy="634365"/>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xdr:cNvPicPr>
          <a:picLocks noChangeAspect="1"/>
        </xdr:cNvPicPr>
      </xdr:nvPicPr>
      <xdr:blipFill>
        <a:blip r:embed="rId868" cstate="email"/>
        <a:stretch>
          <a:fillRect/>
        </a:stretch>
      </xdr:blipFill>
      <xdr:spPr>
        <a:xfrm>
          <a:off x="160655" y="877826540"/>
          <a:ext cx="83185" cy="645160"/>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xdr:cNvPicPr>
          <a:picLocks noChangeAspect="1"/>
        </xdr:cNvPicPr>
      </xdr:nvPicPr>
      <xdr:blipFill>
        <a:blip r:embed="rId869" cstate="email"/>
        <a:stretch>
          <a:fillRect/>
        </a:stretch>
      </xdr:blipFill>
      <xdr:spPr>
        <a:xfrm>
          <a:off x="162560" y="877117880"/>
          <a:ext cx="81280" cy="651510"/>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xdr:cNvPicPr>
          <a:picLocks noChangeAspect="1"/>
        </xdr:cNvPicPr>
      </xdr:nvPicPr>
      <xdr:blipFill>
        <a:blip r:embed="rId870" cstate="email"/>
        <a:stretch>
          <a:fillRect/>
        </a:stretch>
      </xdr:blipFill>
      <xdr:spPr>
        <a:xfrm>
          <a:off x="189230" y="876417475"/>
          <a:ext cx="54610" cy="640715"/>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xdr:cNvPicPr>
          <a:picLocks noChangeAspect="1"/>
        </xdr:cNvPicPr>
      </xdr:nvPicPr>
      <xdr:blipFill>
        <a:blip r:embed="rId871" cstate="email"/>
        <a:stretch>
          <a:fillRect/>
        </a:stretch>
      </xdr:blipFill>
      <xdr:spPr>
        <a:xfrm>
          <a:off x="145415" y="875728500"/>
          <a:ext cx="98425" cy="595630"/>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xdr:cNvPicPr>
          <a:picLocks noChangeAspect="1"/>
        </xdr:cNvPicPr>
      </xdr:nvPicPr>
      <xdr:blipFill>
        <a:blip r:embed="rId871" cstate="email"/>
        <a:stretch>
          <a:fillRect/>
        </a:stretch>
      </xdr:blipFill>
      <xdr:spPr>
        <a:xfrm>
          <a:off x="155575" y="875063655"/>
          <a:ext cx="88265" cy="595630"/>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xdr:cNvPicPr>
          <a:picLocks noChangeAspect="1"/>
        </xdr:cNvPicPr>
      </xdr:nvPicPr>
      <xdr:blipFill>
        <a:blip r:embed="rId871" cstate="email"/>
        <a:stretch>
          <a:fillRect/>
        </a:stretch>
      </xdr:blipFill>
      <xdr:spPr>
        <a:xfrm>
          <a:off x="165100" y="874339755"/>
          <a:ext cx="78740" cy="595630"/>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xdr:cNvPicPr>
          <a:picLocks noChangeAspect="1"/>
        </xdr:cNvPicPr>
      </xdr:nvPicPr>
      <xdr:blipFill>
        <a:blip r:embed="rId871" cstate="email"/>
        <a:stretch>
          <a:fillRect/>
        </a:stretch>
      </xdr:blipFill>
      <xdr:spPr>
        <a:xfrm>
          <a:off x="187325" y="873651415"/>
          <a:ext cx="56515" cy="595630"/>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xdr:cNvPicPr>
          <a:picLocks noChangeAspect="1"/>
        </xdr:cNvPicPr>
      </xdr:nvPicPr>
      <xdr:blipFill>
        <a:blip r:embed="rId828" cstate="email"/>
        <a:stretch>
          <a:fillRect/>
        </a:stretch>
      </xdr:blipFill>
      <xdr:spPr>
        <a:xfrm>
          <a:off x="121920" y="849147400"/>
          <a:ext cx="121920" cy="639445"/>
        </a:xfrm>
        <a:prstGeom prst="rect">
          <a:avLst/>
        </a:prstGeom>
      </xdr:spPr>
    </xdr:pic>
    <xdr:clientData/>
  </xdr:twoCellAnchor>
</xdr:wsDr>
</file>

<file path=xl/tables/table1.xml><?xml version="1.0" encoding="utf-8"?>
<table xmlns="http://schemas.openxmlformats.org/spreadsheetml/2006/main" id="1" name="STOCK" displayName="STOCK" ref="A1:AC1673" totalsRowShown="0">
  <autoFilter ref="A1:AC1673"/>
  <tableColumns count="29">
    <tableColumn id="28" name="Code" dataDxfId="0"/>
    <tableColumn id="1" name="Foto" dataDxfId="1"/>
    <tableColumn id="3" name="Type" dataDxfId="2"/>
    <tableColumn id="4" name="Category" dataDxfId="3"/>
    <tableColumn id="5" name="Nombre del artículo" dataDxfId="4"/>
    <tableColumn id="6" name="Talla" dataDxfId="5"/>
    <tableColumn id="7" name="Brand" dataDxfId="6"/>
    <tableColumn id="12" name="Precio" dataDxfId="7"/>
    <tableColumn id="13" name="Pricing 1" dataDxfId="8"/>
    <tableColumn id="15" name="Entradas" dataDxfId="9"/>
    <tableColumn id="16" name="Salidas" dataDxfId="10"/>
    <tableColumn id="17" name="Stock Actual" dataDxfId="11"/>
    <tableColumn id="8" name="Comisión 10%" dataDxfId="12"/>
    <tableColumn id="18" name="Costo Unitario (MXN)" dataDxfId="13"/>
    <tableColumn id="19" name="USD -&gt; MXN" dataDxfId="14"/>
    <tableColumn id="20" name="Costo Unitario (USD)" dataDxfId="15"/>
    <tableColumn id="21" name="Peso (g)" dataDxfId="16"/>
    <tableColumn id="22" name="Precio Envío Kilogramo (USD)" dataDxfId="17"/>
    <tableColumn id="23" name="Costo Envío (USD)" dataDxfId="18"/>
    <tableColumn id="25" name="Costo total" dataDxfId="19"/>
    <tableColumn id="26" name="Precio Venta Ideal (x1.5)" dataDxfId="20"/>
    <tableColumn id="14" name="Precio Final" dataDxfId="21"/>
    <tableColumn id="27" name="Ganancia Unitaria" dataDxfId="22"/>
    <tableColumn id="9" name="Ganancia x Cant Ventas" dataDxfId="23"/>
    <tableColumn id="2" name="Detalles de la Compra" dataDxfId="24"/>
    <tableColumn id="11" name="Comisión Bazar 25%" dataDxfId="25"/>
    <tableColumn id="10" name="Gastos totales" dataDxfId="26"/>
    <tableColumn id="24" name="Valor Stock Actual" dataDxfId="27"/>
    <tableColumn id="29" name="Precio Promocion" dataDxfId="28"/>
  </tableColumns>
  <tableStyleInfo name="TableStyleLight17" showFirstColumn="0" showLastColumn="0" showRowStripes="1" showColumnStripes="0"/>
</table>
</file>

<file path=xl/tables/table2.xml><?xml version="1.0" encoding="utf-8"?>
<table xmlns="http://schemas.openxmlformats.org/spreadsheetml/2006/main" id="5" name="VENTAS" displayName="VENTAS" ref="A2:M1662" totalsRowShown="0">
  <autoFilter ref="A2:M1662"/>
  <tableColumns count="13">
    <tableColumn id="10" name="Fecha" dataDxfId="33"/>
    <tableColumn id="1" name="Detalle de compra" dataDxfId="34"/>
    <tableColumn id="2" name="Nombre del Cliente" dataDxfId="35"/>
    <tableColumn id="16" name="Nombre del Gestor" dataDxfId="36"/>
    <tableColumn id="3" name="Código del producto Vendido" dataDxfId="37"/>
    <tableColumn id="4" name="Descripcion" dataDxfId="38"/>
    <tableColumn id="5" name="Cantidad" dataDxfId="39"/>
    <tableColumn id="6" name="Precio Venta" dataDxfId="40"/>
    <tableColumn id="9" name="Total" dataDxfId="41"/>
    <tableColumn id="17" name="Comisión 10%" dataDxfId="42"/>
    <tableColumn id="7" name="Costo SIN Comision" dataDxfId="43"/>
    <tableColumn id="8" name="Ganancia" dataDxfId="44"/>
    <tableColumn id="11" name="Observaciones" dataDxfId="45"/>
  </tableColumns>
  <tableStyleInfo name="TableStyleMedium4" showFirstColumn="0" showLastColumn="0" showRowStripes="1" showColumnStripes="0"/>
</table>
</file>

<file path=xl/tables/table3.xml><?xml version="1.0" encoding="utf-8"?>
<table xmlns="http://schemas.openxmlformats.org/spreadsheetml/2006/main" id="3" name="VENTAS4" displayName="VENTAS4" ref="A1:C1303" totalsRowShown="0">
  <autoFilter ref="A1:C1303"/>
  <tableColumns count="3">
    <tableColumn id="3" name="Code" dataDxfId="46"/>
    <tableColumn id="1" name="Foto" dataDxfId="47"/>
    <tableColumn id="4" name="Descripcion" dataDxfId="48"/>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defRPr kumimoji="0" sz="1200" b="0" i="0" u="none" strike="noStrike" cap="none" spc="0" normalizeH="0" baseline="0">
            <a:ln>
              <a:noFill/>
            </a:ln>
            <a:solidFill>
              <a:srgbClr val="FFFFFF"/>
            </a:solidFill>
            <a:effectLst/>
            <a:uFillTx/>
            <a:latin typeface="Helvetica Neue Medium" panose="02000503000000020004"/>
            <a:ea typeface="Helvetica Neue Medium" panose="02000503000000020004"/>
            <a:cs typeface="Helvetica Neue Medium" panose="02000503000000020004"/>
            <a:sym typeface="Helvetica Neue Medium"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pageSetUpPr fitToPage="1"/>
  </sheetPr>
  <dimension ref="A1:AD1677"/>
  <sheetViews>
    <sheetView showGridLines="0" tabSelected="1" workbookViewId="0">
      <pane ySplit="1" topLeftCell="A1649" activePane="bottomLeft" state="frozen"/>
      <selection/>
      <selection pane="bottomLeft" activeCell="D1653" sqref="D1653"/>
    </sheetView>
  </sheetViews>
  <sheetFormatPr defaultColWidth="8" defaultRowHeight="20" customHeight="1"/>
  <cols>
    <col min="1" max="1" width="93" style="80" customWidth="1"/>
    <col min="2" max="3" width="68" style="80" customWidth="1"/>
    <col min="4" max="4" width="163" style="81" customWidth="1"/>
    <col min="5" max="5" width="257" style="82" customWidth="1"/>
    <col min="6" max="6" width="104" style="82" customWidth="1"/>
    <col min="7" max="7" width="3" style="80" hidden="1" customWidth="1"/>
    <col min="8" max="9" width="70" style="80" customWidth="1"/>
    <col min="10" max="10" width="59" style="80" customWidth="1"/>
    <col min="11" max="11" width="70" style="80" customWidth="1"/>
    <col min="12" max="12" width="71" style="80" customWidth="1"/>
    <col min="13" max="13" width="70" style="80" customWidth="1"/>
    <col min="14" max="14" width="74" style="80" customWidth="1"/>
    <col min="15" max="15" width="53" style="83" customWidth="1"/>
    <col min="16" max="16" width="72" style="83" customWidth="1"/>
    <col min="17" max="17" width="70" style="80" customWidth="1"/>
    <col min="18" max="18" width="106" style="80" customWidth="1"/>
    <col min="19" max="19" width="60" style="83" customWidth="1"/>
    <col min="20" max="20" width="70" style="83" customWidth="1"/>
    <col min="21" max="21" width="94" style="84" customWidth="1"/>
    <col min="22" max="22" width="52" style="83" customWidth="1"/>
    <col min="23" max="23" width="74" style="83" customWidth="1"/>
    <col min="24" max="24" width="76" style="83" customWidth="1"/>
    <col min="25" max="25" width="213" style="85" customWidth="1"/>
    <col min="26" max="26" width="76" style="80" customWidth="1"/>
    <col min="27" max="28" width="70" style="80" customWidth="1"/>
    <col min="29" max="29" width="64" style="80" customWidth="1"/>
    <col min="30" max="16384" width="8" style="80"/>
  </cols>
  <sheetData>
    <row r="1" s="75" customFormat="1" ht="55" customHeight="1" spans="1:29">
      <c r="A1" s="86" t="s">
        <v>0</v>
      </c>
      <c r="B1" s="86" t="s">
        <v>1</v>
      </c>
      <c r="C1" s="87" t="s">
        <v>2</v>
      </c>
      <c r="D1" s="88" t="s">
        <v>3</v>
      </c>
      <c r="E1" s="88" t="s">
        <v>4</v>
      </c>
      <c r="F1" s="88" t="s">
        <v>5</v>
      </c>
      <c r="G1" s="88" t="s">
        <v>6</v>
      </c>
      <c r="H1" s="88" t="s">
        <v>7</v>
      </c>
      <c r="I1" s="89" t="s">
        <v>8</v>
      </c>
      <c r="J1" s="90" t="s">
        <v>9</v>
      </c>
      <c r="K1" s="90" t="s">
        <v>10</v>
      </c>
      <c r="L1" s="90" t="s">
        <v>11</v>
      </c>
      <c r="M1" s="88" t="s">
        <v>12</v>
      </c>
      <c r="N1" s="89" t="s">
        <v>13</v>
      </c>
      <c r="O1" s="89" t="s">
        <v>14</v>
      </c>
      <c r="P1" s="89" t="s">
        <v>15</v>
      </c>
      <c r="Q1" s="90" t="s">
        <v>16</v>
      </c>
      <c r="R1" s="89" t="s">
        <v>17</v>
      </c>
      <c r="S1" s="89" t="s">
        <v>18</v>
      </c>
      <c r="T1" s="89" t="s">
        <v>19</v>
      </c>
      <c r="U1" s="93" t="s">
        <v>20</v>
      </c>
      <c r="V1" s="89" t="s">
        <v>21</v>
      </c>
      <c r="W1" s="89" t="s">
        <v>22</v>
      </c>
      <c r="X1" s="89" t="s">
        <v>23</v>
      </c>
      <c r="Y1" s="88" t="s">
        <v>24</v>
      </c>
      <c r="Z1" s="89" t="s">
        <v>25</v>
      </c>
      <c r="AA1" s="89" t="s">
        <v>26</v>
      </c>
      <c r="AB1" s="89" t="s">
        <v>27</v>
      </c>
      <c r="AC1" s="89" t="s">
        <v>28</v>
      </c>
    </row>
    <row r="2" s="76" customFormat="1" ht="50" customHeight="1" spans="1:28">
      <c r="A2" s="76" t="s">
        <v>29</v>
      </c>
      <c r="B2" s="6"/>
      <c r="C2" s="76" t="s">
        <v>30</v>
      </c>
      <c r="D2" s="76" t="s">
        <v>31</v>
      </c>
      <c r="E2" s="76" t="s">
        <v>32</v>
      </c>
      <c r="F2" s="76" t="s">
        <v>33</v>
      </c>
      <c r="G2" s="76" t="s">
        <v>34</v>
      </c>
      <c r="H2" s="76">
        <f>STOCK[[#This Row],[Precio Final]]</f>
        <v>8</v>
      </c>
      <c r="I2" s="76">
        <f>STOCK[[#This Row],[Precio Venta Ideal (x1.5)]]</f>
        <v>7.70583333333333</v>
      </c>
      <c r="J2" s="91">
        <v>15</v>
      </c>
      <c r="K2" s="91">
        <f>SUMIFS(VENTAS[Cantidad],VENTAS[Código del producto Vendido],STOCK[[#This Row],[Code]])</f>
        <v>13</v>
      </c>
      <c r="L2" s="91">
        <v>0</v>
      </c>
      <c r="M2" s="76">
        <f>STOCK[[#This Row],[Precio Final]]*10%</f>
        <v>0.8</v>
      </c>
      <c r="N2" s="76">
        <v>49</v>
      </c>
      <c r="O2" s="76">
        <v>18</v>
      </c>
      <c r="P2" s="76">
        <v>2.72222222222222</v>
      </c>
      <c r="Q2" s="91">
        <v>95</v>
      </c>
      <c r="R2" s="76">
        <v>17</v>
      </c>
      <c r="S2" s="76">
        <f>STOCK[[#This Row],[Peso (g)]]*STOCK[[#This Row],[Precio Envío Kilogramo (USD)]]/1000</f>
        <v>1.615</v>
      </c>
      <c r="T2" s="76">
        <f>STOCK[[#This Row],[Costo Unitario (USD)]]+STOCK[[#This Row],[Costo Envío (USD)]]+STOCK[[#This Row],[Comisión 10%]]</f>
        <v>5.13722222222222</v>
      </c>
      <c r="U2" s="76">
        <f>STOCK[[#This Row],[Costo total]]*1.5</f>
        <v>7.70583333333333</v>
      </c>
      <c r="V2" s="76">
        <v>8</v>
      </c>
      <c r="W2" s="76">
        <f>STOCK[[#This Row],[Precio Final]]-STOCK[[#This Row],[Costo total]]</f>
        <v>2.86277777777778</v>
      </c>
      <c r="X2" s="76">
        <f>STOCK[[#This Row],[Ganancia Unitaria]]*STOCK[[#This Row],[Salidas]]</f>
        <v>37.2161111111111</v>
      </c>
      <c r="AA2" s="76">
        <f>STOCK[[#This Row],[Costo total]]*STOCK[[#This Row],[Entradas]]</f>
        <v>77.0583333333333</v>
      </c>
      <c r="AB2" s="76">
        <f>STOCK[[#This Row],[Stock Actual]]*STOCK[[#This Row],[Costo total]]</f>
        <v>0</v>
      </c>
    </row>
    <row r="3" s="77" customFormat="1" ht="50" customHeight="1" spans="1:28">
      <c r="A3" s="77" t="s">
        <v>35</v>
      </c>
      <c r="B3" s="6"/>
      <c r="C3" s="77" t="s">
        <v>30</v>
      </c>
      <c r="D3" s="77" t="s">
        <v>36</v>
      </c>
      <c r="E3" s="77" t="s">
        <v>37</v>
      </c>
      <c r="F3" s="77" t="s">
        <v>38</v>
      </c>
      <c r="G3" s="77" t="s">
        <v>34</v>
      </c>
      <c r="H3" s="77">
        <f>STOCK[[#This Row],[Precio Final]]</f>
        <v>28</v>
      </c>
      <c r="I3" s="77">
        <f>STOCK[[#This Row],[Precio Venta Ideal (x1.5)]]</f>
        <v>31.7566666666666</v>
      </c>
      <c r="J3" s="92">
        <v>1</v>
      </c>
      <c r="K3" s="92">
        <f>SUMIFS(VENTAS[Cantidad],VENTAS[Código del producto Vendido],STOCK[[#This Row],[Code]])</f>
        <v>1</v>
      </c>
      <c r="L3" s="92">
        <f>STOCK[[#This Row],[Entradas]]-STOCK[[#This Row],[Salidas]]</f>
        <v>0</v>
      </c>
      <c r="M3" s="77">
        <f>STOCK[[#This Row],[Precio Final]]*10%</f>
        <v>2.8</v>
      </c>
      <c r="N3" s="77">
        <v>245</v>
      </c>
      <c r="O3" s="77">
        <v>18</v>
      </c>
      <c r="P3" s="77">
        <v>13.6111111111111</v>
      </c>
      <c r="Q3" s="92">
        <v>280</v>
      </c>
      <c r="R3" s="77">
        <v>17</v>
      </c>
      <c r="S3" s="77">
        <f>STOCK[[#This Row],[Peso (g)]]*STOCK[[#This Row],[Precio Envío Kilogramo (USD)]]/1000</f>
        <v>4.76</v>
      </c>
      <c r="T3" s="76">
        <f>STOCK[[#This Row],[Costo Unitario (USD)]]+STOCK[[#This Row],[Costo Envío (USD)]]+STOCK[[#This Row],[Comisión 10%]]</f>
        <v>21.1711111111111</v>
      </c>
      <c r="U3" s="77">
        <f>STOCK[[#This Row],[Costo total]]*1.5</f>
        <v>31.7566666666666</v>
      </c>
      <c r="V3" s="77">
        <v>28</v>
      </c>
      <c r="W3" s="77">
        <f>STOCK[[#This Row],[Precio Final]]-STOCK[[#This Row],[Costo total]]</f>
        <v>6.8288888888889</v>
      </c>
      <c r="X3" s="77">
        <f>STOCK[[#This Row],[Ganancia Unitaria]]*STOCK[[#This Row],[Salidas]]</f>
        <v>6.8288888888889</v>
      </c>
      <c r="AA3" s="77">
        <f>STOCK[[#This Row],[Costo total]]*STOCK[[#This Row],[Entradas]]</f>
        <v>21.1711111111111</v>
      </c>
      <c r="AB3" s="77">
        <f>STOCK[[#This Row],[Stock Actual]]*STOCK[[#This Row],[Costo total]]</f>
        <v>0</v>
      </c>
    </row>
    <row r="4" s="76" customFormat="1" ht="50" customHeight="1" spans="1:28">
      <c r="A4" s="76" t="s">
        <v>39</v>
      </c>
      <c r="B4" s="6"/>
      <c r="C4" s="76" t="s">
        <v>30</v>
      </c>
      <c r="D4" s="76" t="s">
        <v>36</v>
      </c>
      <c r="E4" s="76" t="s">
        <v>37</v>
      </c>
      <c r="F4" s="76" t="s">
        <v>40</v>
      </c>
      <c r="G4" s="76" t="s">
        <v>34</v>
      </c>
      <c r="H4" s="76">
        <f>STOCK[[#This Row],[Precio Final]]</f>
        <v>28</v>
      </c>
      <c r="I4" s="76">
        <f>STOCK[[#This Row],[Precio Venta Ideal (x1.5)]]</f>
        <v>33.5416666666667</v>
      </c>
      <c r="J4" s="91">
        <v>3</v>
      </c>
      <c r="K4" s="91">
        <f>SUMIFS(VENTAS[Cantidad],VENTAS[Código del producto Vendido],STOCK[[#This Row],[Code]])</f>
        <v>3</v>
      </c>
      <c r="L4" s="91">
        <f>STOCK[[#This Row],[Entradas]]-STOCK[[#This Row],[Salidas]]</f>
        <v>0</v>
      </c>
      <c r="M4" s="76">
        <f>STOCK[[#This Row],[Precio Final]]*10%</f>
        <v>2.8</v>
      </c>
      <c r="N4" s="76">
        <v>245</v>
      </c>
      <c r="O4" s="76">
        <v>18</v>
      </c>
      <c r="P4" s="76">
        <v>13.6111111111111</v>
      </c>
      <c r="Q4" s="91">
        <v>350</v>
      </c>
      <c r="R4" s="76">
        <v>17</v>
      </c>
      <c r="S4" s="76">
        <f>STOCK[[#This Row],[Peso (g)]]*STOCK[[#This Row],[Precio Envío Kilogramo (USD)]]/1000</f>
        <v>5.95</v>
      </c>
      <c r="T4" s="76">
        <f>STOCK[[#This Row],[Costo Unitario (USD)]]+STOCK[[#This Row],[Costo Envío (USD)]]+STOCK[[#This Row],[Comisión 10%]]</f>
        <v>22.3611111111111</v>
      </c>
      <c r="U4" s="76">
        <f>STOCK[[#This Row],[Costo total]]*1.5</f>
        <v>33.5416666666667</v>
      </c>
      <c r="V4" s="76">
        <v>28</v>
      </c>
      <c r="W4" s="76">
        <f>STOCK[[#This Row],[Precio Final]]-STOCK[[#This Row],[Costo total]]</f>
        <v>5.6388888888889</v>
      </c>
      <c r="X4" s="76">
        <f>STOCK[[#This Row],[Ganancia Unitaria]]*STOCK[[#This Row],[Salidas]]</f>
        <v>16.9166666666667</v>
      </c>
      <c r="AA4" s="76">
        <f>STOCK[[#This Row],[Costo total]]*STOCK[[#This Row],[Entradas]]</f>
        <v>67.0833333333333</v>
      </c>
      <c r="AB4" s="76">
        <f>STOCK[[#This Row],[Stock Actual]]*STOCK[[#This Row],[Costo total]]</f>
        <v>0</v>
      </c>
    </row>
    <row r="5" s="77" customFormat="1" ht="50" customHeight="1" spans="1:28">
      <c r="A5" s="77" t="s">
        <v>41</v>
      </c>
      <c r="B5" s="6"/>
      <c r="C5" s="77" t="s">
        <v>30</v>
      </c>
      <c r="D5" s="77" t="s">
        <v>42</v>
      </c>
      <c r="E5" s="77" t="s">
        <v>43</v>
      </c>
      <c r="F5" s="77" t="s">
        <v>44</v>
      </c>
      <c r="G5" s="77" t="s">
        <v>34</v>
      </c>
      <c r="H5" s="77">
        <f>STOCK[[#This Row],[Precio Final]]</f>
        <v>30</v>
      </c>
      <c r="I5" s="77">
        <f>STOCK[[#This Row],[Precio Venta Ideal (x1.5)]]</f>
        <v>33.0033333333333</v>
      </c>
      <c r="J5" s="92">
        <v>1</v>
      </c>
      <c r="K5" s="92">
        <f>SUMIFS(VENTAS[Cantidad],VENTAS[Código del producto Vendido],STOCK[[#This Row],[Code]])</f>
        <v>1</v>
      </c>
      <c r="L5" s="92">
        <f>STOCK[[#This Row],[Entradas]]-STOCK[[#This Row],[Salidas]]</f>
        <v>0</v>
      </c>
      <c r="M5" s="77">
        <f>STOCK[[#This Row],[Precio Final]]*10%</f>
        <v>3</v>
      </c>
      <c r="N5" s="77">
        <v>238</v>
      </c>
      <c r="O5" s="77">
        <v>18</v>
      </c>
      <c r="P5" s="77">
        <v>13.2222222222222</v>
      </c>
      <c r="Q5" s="92">
        <v>340</v>
      </c>
      <c r="R5" s="77">
        <v>17</v>
      </c>
      <c r="S5" s="77">
        <f>STOCK[[#This Row],[Peso (g)]]*STOCK[[#This Row],[Precio Envío Kilogramo (USD)]]/1000</f>
        <v>5.78</v>
      </c>
      <c r="T5" s="76">
        <f>STOCK[[#This Row],[Costo Unitario (USD)]]+STOCK[[#This Row],[Costo Envío (USD)]]+STOCK[[#This Row],[Comisión 10%]]</f>
        <v>22.0022222222222</v>
      </c>
      <c r="U5" s="77">
        <f>STOCK[[#This Row],[Costo total]]*1.5</f>
        <v>33.0033333333333</v>
      </c>
      <c r="V5" s="77">
        <v>30</v>
      </c>
      <c r="W5" s="77">
        <f>STOCK[[#This Row],[Precio Final]]-STOCK[[#This Row],[Costo total]]</f>
        <v>7.9977777777778</v>
      </c>
      <c r="X5" s="77">
        <f>STOCK[[#This Row],[Ganancia Unitaria]]*STOCK[[#This Row],[Salidas]]</f>
        <v>7.9977777777778</v>
      </c>
      <c r="AA5" s="77">
        <f>STOCK[[#This Row],[Costo total]]*STOCK[[#This Row],[Entradas]]</f>
        <v>22.0022222222222</v>
      </c>
      <c r="AB5" s="77">
        <f>STOCK[[#This Row],[Stock Actual]]*STOCK[[#This Row],[Costo total]]</f>
        <v>0</v>
      </c>
    </row>
    <row r="6" s="76" customFormat="1" ht="50" customHeight="1" spans="1:28">
      <c r="A6" s="76" t="s">
        <v>45</v>
      </c>
      <c r="B6" s="6"/>
      <c r="C6" s="76" t="s">
        <v>30</v>
      </c>
      <c r="D6" s="76" t="s">
        <v>42</v>
      </c>
      <c r="E6" s="76" t="s">
        <v>46</v>
      </c>
      <c r="F6" s="76" t="s">
        <v>47</v>
      </c>
      <c r="G6" s="76" t="s">
        <v>34</v>
      </c>
      <c r="H6" s="76">
        <f>STOCK[[#This Row],[Precio Final]]</f>
        <v>30</v>
      </c>
      <c r="I6" s="76">
        <f>STOCK[[#This Row],[Precio Venta Ideal (x1.5)]]</f>
        <v>33.0033333333333</v>
      </c>
      <c r="J6" s="91">
        <v>1</v>
      </c>
      <c r="K6" s="91">
        <f>SUMIFS(VENTAS[Cantidad],VENTAS[Código del producto Vendido],STOCK[[#This Row],[Code]])</f>
        <v>1</v>
      </c>
      <c r="L6" s="91">
        <f>STOCK[[#This Row],[Entradas]]-STOCK[[#This Row],[Salidas]]</f>
        <v>0</v>
      </c>
      <c r="M6" s="76">
        <f>STOCK[[#This Row],[Precio Final]]*10%</f>
        <v>3</v>
      </c>
      <c r="N6" s="76">
        <v>238</v>
      </c>
      <c r="O6" s="76">
        <v>18</v>
      </c>
      <c r="P6" s="76">
        <v>13.2222222222222</v>
      </c>
      <c r="Q6" s="91">
        <v>340</v>
      </c>
      <c r="R6" s="76">
        <v>17</v>
      </c>
      <c r="S6" s="76">
        <f>STOCK[[#This Row],[Peso (g)]]*STOCK[[#This Row],[Precio Envío Kilogramo (USD)]]/1000</f>
        <v>5.78</v>
      </c>
      <c r="T6" s="76">
        <f>STOCK[[#This Row],[Costo Unitario (USD)]]+STOCK[[#This Row],[Costo Envío (USD)]]+STOCK[[#This Row],[Comisión 10%]]</f>
        <v>22.0022222222222</v>
      </c>
      <c r="U6" s="76">
        <f>STOCK[[#This Row],[Costo total]]*1.5</f>
        <v>33.0033333333333</v>
      </c>
      <c r="V6" s="76">
        <v>30</v>
      </c>
      <c r="W6" s="76">
        <f>STOCK[[#This Row],[Precio Final]]-STOCK[[#This Row],[Costo total]]</f>
        <v>7.9977777777778</v>
      </c>
      <c r="X6" s="76">
        <f>STOCK[[#This Row],[Ganancia Unitaria]]*STOCK[[#This Row],[Salidas]]</f>
        <v>7.9977777777778</v>
      </c>
      <c r="AA6" s="76">
        <f>STOCK[[#This Row],[Costo total]]*STOCK[[#This Row],[Entradas]]</f>
        <v>22.0022222222222</v>
      </c>
      <c r="AB6" s="76">
        <f>STOCK[[#This Row],[Stock Actual]]*STOCK[[#This Row],[Costo total]]</f>
        <v>0</v>
      </c>
    </row>
    <row r="7" s="77" customFormat="1" ht="50" customHeight="1" spans="1:28">
      <c r="A7" s="77" t="s">
        <v>48</v>
      </c>
      <c r="B7" s="6"/>
      <c r="C7" s="77" t="s">
        <v>30</v>
      </c>
      <c r="D7" s="77" t="s">
        <v>42</v>
      </c>
      <c r="E7" s="77" t="s">
        <v>46</v>
      </c>
      <c r="F7" s="77" t="s">
        <v>38</v>
      </c>
      <c r="G7" s="77" t="s">
        <v>34</v>
      </c>
      <c r="H7" s="77">
        <f>STOCK[[#This Row],[Precio Final]]</f>
        <v>30</v>
      </c>
      <c r="I7" s="77">
        <f>STOCK[[#This Row],[Precio Venta Ideal (x1.5)]]</f>
        <v>32.3658333333333</v>
      </c>
      <c r="J7" s="92">
        <v>1</v>
      </c>
      <c r="K7" s="92">
        <f>SUMIFS(VENTAS[Cantidad],VENTAS[Código del producto Vendido],STOCK[[#This Row],[Code]])</f>
        <v>1</v>
      </c>
      <c r="L7" s="92">
        <f>STOCK[[#This Row],[Entradas]]-STOCK[[#This Row],[Salidas]]</f>
        <v>0</v>
      </c>
      <c r="M7" s="77">
        <f>STOCK[[#This Row],[Precio Final]]*10%</f>
        <v>3</v>
      </c>
      <c r="N7" s="77">
        <v>238</v>
      </c>
      <c r="O7" s="77">
        <v>18</v>
      </c>
      <c r="P7" s="77">
        <v>13.2222222222222</v>
      </c>
      <c r="Q7" s="92">
        <v>315</v>
      </c>
      <c r="R7" s="77">
        <v>17</v>
      </c>
      <c r="S7" s="77">
        <f>STOCK[[#This Row],[Peso (g)]]*STOCK[[#This Row],[Precio Envío Kilogramo (USD)]]/1000</f>
        <v>5.355</v>
      </c>
      <c r="T7" s="76">
        <f>STOCK[[#This Row],[Costo Unitario (USD)]]+STOCK[[#This Row],[Costo Envío (USD)]]+STOCK[[#This Row],[Comisión 10%]]</f>
        <v>21.5772222222222</v>
      </c>
      <c r="U7" s="77">
        <f>STOCK[[#This Row],[Costo total]]*1.5</f>
        <v>32.3658333333333</v>
      </c>
      <c r="V7" s="77">
        <v>30</v>
      </c>
      <c r="W7" s="77">
        <f>STOCK[[#This Row],[Precio Final]]-STOCK[[#This Row],[Costo total]]</f>
        <v>8.4227777777778</v>
      </c>
      <c r="X7" s="77">
        <f>STOCK[[#This Row],[Ganancia Unitaria]]*STOCK[[#This Row],[Salidas]]</f>
        <v>8.4227777777778</v>
      </c>
      <c r="AA7" s="77">
        <f>STOCK[[#This Row],[Costo total]]*STOCK[[#This Row],[Entradas]]</f>
        <v>21.5772222222222</v>
      </c>
      <c r="AB7" s="77">
        <f>STOCK[[#This Row],[Stock Actual]]*STOCK[[#This Row],[Costo total]]</f>
        <v>0</v>
      </c>
    </row>
    <row r="8" s="76" customFormat="1" ht="50" customHeight="1" spans="1:28">
      <c r="A8" s="76" t="s">
        <v>49</v>
      </c>
      <c r="B8" s="6"/>
      <c r="C8" s="76" t="s">
        <v>30</v>
      </c>
      <c r="D8" s="76" t="s">
        <v>36</v>
      </c>
      <c r="E8" s="76" t="s">
        <v>50</v>
      </c>
      <c r="F8" s="76" t="s">
        <v>38</v>
      </c>
      <c r="G8" s="76" t="s">
        <v>34</v>
      </c>
      <c r="H8" s="76">
        <f>STOCK[[#This Row],[Precio Final]]</f>
        <v>15</v>
      </c>
      <c r="I8" s="76">
        <f>STOCK[[#This Row],[Precio Venta Ideal (x1.5)]]</f>
        <v>17.345</v>
      </c>
      <c r="J8" s="91">
        <v>2</v>
      </c>
      <c r="K8" s="91">
        <f>SUMIFS(VENTAS[Cantidad],VENTAS[Código del producto Vendido],STOCK[[#This Row],[Code]])</f>
        <v>2</v>
      </c>
      <c r="L8" s="91">
        <f>STOCK[[#This Row],[Entradas]]-STOCK[[#This Row],[Salidas]]</f>
        <v>0</v>
      </c>
      <c r="M8" s="76">
        <f>STOCK[[#This Row],[Precio Final]]*10%</f>
        <v>1.5</v>
      </c>
      <c r="N8" s="76">
        <v>123</v>
      </c>
      <c r="O8" s="76">
        <v>18</v>
      </c>
      <c r="P8" s="76">
        <v>6.83333333333333</v>
      </c>
      <c r="Q8" s="91">
        <v>190</v>
      </c>
      <c r="R8" s="76">
        <v>17</v>
      </c>
      <c r="S8" s="76">
        <f>STOCK[[#This Row],[Peso (g)]]*STOCK[[#This Row],[Precio Envío Kilogramo (USD)]]/1000</f>
        <v>3.23</v>
      </c>
      <c r="T8" s="76">
        <f>STOCK[[#This Row],[Costo Unitario (USD)]]+STOCK[[#This Row],[Costo Envío (USD)]]+STOCK[[#This Row],[Comisión 10%]]</f>
        <v>11.5633333333333</v>
      </c>
      <c r="U8" s="76">
        <f>STOCK[[#This Row],[Costo total]]*1.5</f>
        <v>17.345</v>
      </c>
      <c r="V8" s="76">
        <v>15</v>
      </c>
      <c r="W8" s="76">
        <f>STOCK[[#This Row],[Precio Final]]-STOCK[[#This Row],[Costo total]]</f>
        <v>3.43666666666667</v>
      </c>
      <c r="X8" s="76">
        <f>STOCK[[#This Row],[Ganancia Unitaria]]*STOCK[[#This Row],[Salidas]]</f>
        <v>6.87333333333334</v>
      </c>
      <c r="Y8" s="76" t="s">
        <v>51</v>
      </c>
      <c r="AA8" s="76">
        <f>STOCK[[#This Row],[Costo total]]*STOCK[[#This Row],[Entradas]]</f>
        <v>23.1266666666667</v>
      </c>
      <c r="AB8" s="76">
        <f>STOCK[[#This Row],[Stock Actual]]*STOCK[[#This Row],[Costo total]]</f>
        <v>0</v>
      </c>
    </row>
    <row r="9" s="77" customFormat="1" ht="50" customHeight="1" spans="1:28">
      <c r="A9" s="77" t="s">
        <v>52</v>
      </c>
      <c r="B9" s="6"/>
      <c r="C9" s="77" t="s">
        <v>30</v>
      </c>
      <c r="D9" s="77" t="s">
        <v>36</v>
      </c>
      <c r="E9" s="77" t="s">
        <v>53</v>
      </c>
      <c r="F9" s="77" t="s">
        <v>47</v>
      </c>
      <c r="G9" s="77" t="s">
        <v>34</v>
      </c>
      <c r="H9" s="77">
        <f>STOCK[[#This Row],[Precio Final]]</f>
        <v>15</v>
      </c>
      <c r="I9" s="77">
        <f>STOCK[[#This Row],[Precio Venta Ideal (x1.5)]]</f>
        <v>17.345</v>
      </c>
      <c r="J9" s="92">
        <v>2</v>
      </c>
      <c r="K9" s="92">
        <f>SUMIFS(VENTAS[Cantidad],VENTAS[Código del producto Vendido],STOCK[[#This Row],[Code]])</f>
        <v>2</v>
      </c>
      <c r="L9" s="92">
        <f>STOCK[[#This Row],[Entradas]]-STOCK[[#This Row],[Salidas]]</f>
        <v>0</v>
      </c>
      <c r="M9" s="77">
        <f>STOCK[[#This Row],[Precio Final]]*10%</f>
        <v>1.5</v>
      </c>
      <c r="N9" s="77">
        <v>123</v>
      </c>
      <c r="O9" s="77">
        <v>18</v>
      </c>
      <c r="P9" s="77">
        <v>6.83333333333333</v>
      </c>
      <c r="Q9" s="92">
        <v>190</v>
      </c>
      <c r="R9" s="77">
        <v>17</v>
      </c>
      <c r="S9" s="77">
        <f>STOCK[[#This Row],[Peso (g)]]*STOCK[[#This Row],[Precio Envío Kilogramo (USD)]]/1000</f>
        <v>3.23</v>
      </c>
      <c r="T9" s="76">
        <f>STOCK[[#This Row],[Costo Unitario (USD)]]+STOCK[[#This Row],[Costo Envío (USD)]]+STOCK[[#This Row],[Comisión 10%]]</f>
        <v>11.5633333333333</v>
      </c>
      <c r="U9" s="77">
        <f>STOCK[[#This Row],[Costo total]]*1.5</f>
        <v>17.345</v>
      </c>
      <c r="V9" s="77">
        <v>15</v>
      </c>
      <c r="W9" s="77">
        <f>STOCK[[#This Row],[Precio Final]]-STOCK[[#This Row],[Costo total]]</f>
        <v>3.43666666666667</v>
      </c>
      <c r="X9" s="77">
        <f>STOCK[[#This Row],[Ganancia Unitaria]]*STOCK[[#This Row],[Salidas]]</f>
        <v>6.87333333333334</v>
      </c>
      <c r="AA9" s="77">
        <f>STOCK[[#This Row],[Costo total]]*STOCK[[#This Row],[Entradas]]</f>
        <v>23.1266666666667</v>
      </c>
      <c r="AB9" s="77">
        <f>STOCK[[#This Row],[Stock Actual]]*STOCK[[#This Row],[Costo total]]</f>
        <v>0</v>
      </c>
    </row>
    <row r="10" s="76" customFormat="1" ht="50" customHeight="1" spans="1:28">
      <c r="A10" s="76" t="s">
        <v>54</v>
      </c>
      <c r="B10" s="6"/>
      <c r="C10" s="76" t="s">
        <v>30</v>
      </c>
      <c r="D10" s="76" t="s">
        <v>36</v>
      </c>
      <c r="E10" s="76" t="s">
        <v>55</v>
      </c>
      <c r="F10" s="76" t="s">
        <v>44</v>
      </c>
      <c r="G10" s="76" t="s">
        <v>34</v>
      </c>
      <c r="H10" s="76">
        <f>STOCK[[#This Row],[Precio Final]]</f>
        <v>15</v>
      </c>
      <c r="I10" s="76">
        <f>STOCK[[#This Row],[Precio Venta Ideal (x1.5)]]</f>
        <v>17.345</v>
      </c>
      <c r="J10" s="91">
        <v>2</v>
      </c>
      <c r="K10" s="91">
        <f>SUMIFS(VENTAS[Cantidad],VENTAS[Código del producto Vendido],STOCK[[#This Row],[Code]])</f>
        <v>2</v>
      </c>
      <c r="L10" s="91">
        <f>STOCK[[#This Row],[Entradas]]-STOCK[[#This Row],[Salidas]]</f>
        <v>0</v>
      </c>
      <c r="M10" s="76">
        <f>STOCK[[#This Row],[Precio Final]]*10%</f>
        <v>1.5</v>
      </c>
      <c r="N10" s="76">
        <v>123</v>
      </c>
      <c r="O10" s="76">
        <v>18</v>
      </c>
      <c r="P10" s="76">
        <v>6.83333333333333</v>
      </c>
      <c r="Q10" s="91">
        <v>190</v>
      </c>
      <c r="R10" s="76">
        <v>17</v>
      </c>
      <c r="S10" s="76">
        <f>STOCK[[#This Row],[Peso (g)]]*STOCK[[#This Row],[Precio Envío Kilogramo (USD)]]/1000</f>
        <v>3.23</v>
      </c>
      <c r="T10" s="76">
        <f>STOCK[[#This Row],[Costo Unitario (USD)]]+STOCK[[#This Row],[Costo Envío (USD)]]+STOCK[[#This Row],[Comisión 10%]]</f>
        <v>11.5633333333333</v>
      </c>
      <c r="U10" s="76">
        <f>STOCK[[#This Row],[Costo total]]*1.5</f>
        <v>17.345</v>
      </c>
      <c r="V10" s="76">
        <v>15</v>
      </c>
      <c r="W10" s="76">
        <f>STOCK[[#This Row],[Precio Final]]-STOCK[[#This Row],[Costo total]]</f>
        <v>3.43666666666667</v>
      </c>
      <c r="X10" s="76">
        <f>STOCK[[#This Row],[Ganancia Unitaria]]*STOCK[[#This Row],[Salidas]]</f>
        <v>6.87333333333334</v>
      </c>
      <c r="AA10" s="76">
        <f>STOCK[[#This Row],[Costo total]]*STOCK[[#This Row],[Entradas]]</f>
        <v>23.1266666666667</v>
      </c>
      <c r="AB10" s="76">
        <f>STOCK[[#This Row],[Stock Actual]]*STOCK[[#This Row],[Costo total]]</f>
        <v>0</v>
      </c>
    </row>
    <row r="11" s="77" customFormat="1" ht="50" customHeight="1" spans="1:28">
      <c r="A11" s="77" t="s">
        <v>56</v>
      </c>
      <c r="B11" s="6"/>
      <c r="C11" s="77" t="s">
        <v>30</v>
      </c>
      <c r="D11" s="77" t="s">
        <v>36</v>
      </c>
      <c r="E11" s="77" t="s">
        <v>57</v>
      </c>
      <c r="F11" s="77" t="s">
        <v>44</v>
      </c>
      <c r="G11" s="77" t="s">
        <v>34</v>
      </c>
      <c r="H11" s="77">
        <f>STOCK[[#This Row],[Precio Final]]</f>
        <v>28</v>
      </c>
      <c r="I11" s="77">
        <f>STOCK[[#This Row],[Precio Venta Ideal (x1.5)]]</f>
        <v>28.0750000000001</v>
      </c>
      <c r="J11" s="92">
        <v>1</v>
      </c>
      <c r="K11" s="92">
        <f>SUMIFS(VENTAS[Cantidad],VENTAS[Código del producto Vendido],STOCK[[#This Row],[Code]])</f>
        <v>1</v>
      </c>
      <c r="L11" s="92">
        <f>STOCK[[#This Row],[Entradas]]-STOCK[[#This Row],[Salidas]]</f>
        <v>0</v>
      </c>
      <c r="M11" s="77">
        <f>STOCK[[#This Row],[Precio Final]]*10%</f>
        <v>2.8</v>
      </c>
      <c r="N11" s="77">
        <v>210</v>
      </c>
      <c r="O11" s="77">
        <v>18</v>
      </c>
      <c r="P11" s="77">
        <v>11.6666666666667</v>
      </c>
      <c r="Q11" s="92">
        <v>250</v>
      </c>
      <c r="R11" s="77">
        <v>17</v>
      </c>
      <c r="S11" s="77">
        <f>STOCK[[#This Row],[Peso (g)]]*STOCK[[#This Row],[Precio Envío Kilogramo (USD)]]/1000</f>
        <v>4.25</v>
      </c>
      <c r="T11" s="76">
        <f>STOCK[[#This Row],[Costo Unitario (USD)]]+STOCK[[#This Row],[Costo Envío (USD)]]+STOCK[[#This Row],[Comisión 10%]]</f>
        <v>18.7166666666667</v>
      </c>
      <c r="U11" s="77">
        <f>STOCK[[#This Row],[Costo total]]*1.5</f>
        <v>28.0750000000001</v>
      </c>
      <c r="V11" s="77">
        <v>28</v>
      </c>
      <c r="W11" s="77">
        <f>STOCK[[#This Row],[Precio Final]]-STOCK[[#This Row],[Costo total]]</f>
        <v>9.2833333333333</v>
      </c>
      <c r="X11" s="77">
        <f>STOCK[[#This Row],[Ganancia Unitaria]]*STOCK[[#This Row],[Salidas]]</f>
        <v>9.2833333333333</v>
      </c>
      <c r="AA11" s="77">
        <f>STOCK[[#This Row],[Costo total]]*STOCK[[#This Row],[Entradas]]</f>
        <v>18.7166666666667</v>
      </c>
      <c r="AB11" s="77">
        <f>STOCK[[#This Row],[Stock Actual]]*STOCK[[#This Row],[Costo total]]</f>
        <v>0</v>
      </c>
    </row>
    <row r="12" s="76" customFormat="1" ht="50" customHeight="1" spans="1:28">
      <c r="A12" s="76" t="s">
        <v>58</v>
      </c>
      <c r="B12" s="6"/>
      <c r="C12" s="76" t="s">
        <v>30</v>
      </c>
      <c r="D12" s="76" t="s">
        <v>36</v>
      </c>
      <c r="E12" s="76" t="s">
        <v>59</v>
      </c>
      <c r="F12" s="76" t="s">
        <v>60</v>
      </c>
      <c r="G12" s="76" t="s">
        <v>34</v>
      </c>
      <c r="H12" s="76">
        <f>STOCK[[#This Row],[Precio Final]]</f>
        <v>25</v>
      </c>
      <c r="I12" s="76">
        <f>STOCK[[#This Row],[Precio Venta Ideal (x1.5)]]</f>
        <v>25.4925</v>
      </c>
      <c r="J12" s="91">
        <v>2</v>
      </c>
      <c r="K12" s="91">
        <f>SUMIFS(VENTAS[Cantidad],VENTAS[Código del producto Vendido],STOCK[[#This Row],[Code]])</f>
        <v>2</v>
      </c>
      <c r="L12" s="91">
        <f>STOCK[[#This Row],[Entradas]]-STOCK[[#This Row],[Salidas]]</f>
        <v>0</v>
      </c>
      <c r="M12" s="76">
        <f>STOCK[[#This Row],[Precio Final]]*10%</f>
        <v>2.5</v>
      </c>
      <c r="N12" s="76">
        <v>189</v>
      </c>
      <c r="O12" s="76">
        <v>18</v>
      </c>
      <c r="P12" s="76">
        <v>10.5</v>
      </c>
      <c r="Q12" s="91">
        <v>235</v>
      </c>
      <c r="R12" s="76">
        <v>17</v>
      </c>
      <c r="S12" s="76">
        <f>STOCK[[#This Row],[Peso (g)]]*STOCK[[#This Row],[Precio Envío Kilogramo (USD)]]/1000</f>
        <v>3.995</v>
      </c>
      <c r="T12" s="76">
        <f>STOCK[[#This Row],[Costo Unitario (USD)]]+STOCK[[#This Row],[Costo Envío (USD)]]+STOCK[[#This Row],[Comisión 10%]]</f>
        <v>16.995</v>
      </c>
      <c r="U12" s="76">
        <f>STOCK[[#This Row],[Costo total]]*1.5</f>
        <v>25.4925</v>
      </c>
      <c r="V12" s="76">
        <v>25</v>
      </c>
      <c r="W12" s="76">
        <f>STOCK[[#This Row],[Precio Final]]-STOCK[[#This Row],[Costo total]]</f>
        <v>8.005</v>
      </c>
      <c r="X12" s="76">
        <f>STOCK[[#This Row],[Ganancia Unitaria]]*STOCK[[#This Row],[Salidas]]</f>
        <v>16.01</v>
      </c>
      <c r="AA12" s="76">
        <f>STOCK[[#This Row],[Costo total]]*STOCK[[#This Row],[Entradas]]</f>
        <v>33.99</v>
      </c>
      <c r="AB12" s="76">
        <f>STOCK[[#This Row],[Stock Actual]]*STOCK[[#This Row],[Costo total]]</f>
        <v>0</v>
      </c>
    </row>
    <row r="13" s="77" customFormat="1" ht="50" customHeight="1" spans="1:28">
      <c r="A13" s="77" t="s">
        <v>61</v>
      </c>
      <c r="B13" s="6"/>
      <c r="C13" s="77" t="s">
        <v>30</v>
      </c>
      <c r="D13" s="77" t="s">
        <v>36</v>
      </c>
      <c r="E13" s="77" t="s">
        <v>59</v>
      </c>
      <c r="F13" s="77" t="s">
        <v>47</v>
      </c>
      <c r="G13" s="77" t="s">
        <v>34</v>
      </c>
      <c r="H13" s="77">
        <f>STOCK[[#This Row],[Precio Final]]</f>
        <v>22</v>
      </c>
      <c r="I13" s="77">
        <f>STOCK[[#This Row],[Precio Venta Ideal (x1.5)]]</f>
        <v>25.0425</v>
      </c>
      <c r="J13" s="92">
        <v>2</v>
      </c>
      <c r="K13" s="92">
        <f>SUMIFS(VENTAS[Cantidad],VENTAS[Código del producto Vendido],STOCK[[#This Row],[Code]])</f>
        <v>2</v>
      </c>
      <c r="L13" s="92">
        <f>STOCK[[#This Row],[Entradas]]-STOCK[[#This Row],[Salidas]]</f>
        <v>0</v>
      </c>
      <c r="M13" s="77">
        <f>STOCK[[#This Row],[Precio Final]]*10%</f>
        <v>2.2</v>
      </c>
      <c r="N13" s="77">
        <v>189</v>
      </c>
      <c r="O13" s="77">
        <v>18</v>
      </c>
      <c r="P13" s="77">
        <v>10.5</v>
      </c>
      <c r="Q13" s="92">
        <v>235</v>
      </c>
      <c r="R13" s="77">
        <v>17</v>
      </c>
      <c r="S13" s="77">
        <f>STOCK[[#This Row],[Peso (g)]]*STOCK[[#This Row],[Precio Envío Kilogramo (USD)]]/1000</f>
        <v>3.995</v>
      </c>
      <c r="T13" s="76">
        <f>STOCK[[#This Row],[Costo Unitario (USD)]]+STOCK[[#This Row],[Costo Envío (USD)]]+STOCK[[#This Row],[Comisión 10%]]</f>
        <v>16.695</v>
      </c>
      <c r="U13" s="77">
        <f>STOCK[[#This Row],[Costo total]]*1.5</f>
        <v>25.0425</v>
      </c>
      <c r="V13" s="77">
        <v>22</v>
      </c>
      <c r="W13" s="77">
        <f>STOCK[[#This Row],[Precio Final]]-STOCK[[#This Row],[Costo total]]</f>
        <v>5.305</v>
      </c>
      <c r="X13" s="77">
        <f>STOCK[[#This Row],[Ganancia Unitaria]]*STOCK[[#This Row],[Salidas]]</f>
        <v>10.61</v>
      </c>
      <c r="AA13" s="77">
        <f>STOCK[[#This Row],[Costo total]]*STOCK[[#This Row],[Entradas]]</f>
        <v>33.39</v>
      </c>
      <c r="AB13" s="77">
        <f>STOCK[[#This Row],[Stock Actual]]*STOCK[[#This Row],[Costo total]]</f>
        <v>0</v>
      </c>
    </row>
    <row r="14" s="76" customFormat="1" ht="50" customHeight="1" spans="1:28">
      <c r="A14" s="76" t="s">
        <v>62</v>
      </c>
      <c r="B14" s="6"/>
      <c r="C14" s="76" t="s">
        <v>30</v>
      </c>
      <c r="D14" s="76" t="s">
        <v>36</v>
      </c>
      <c r="E14" s="76" t="s">
        <v>63</v>
      </c>
      <c r="F14" s="76" t="s">
        <v>60</v>
      </c>
      <c r="G14" s="76" t="s">
        <v>34</v>
      </c>
      <c r="H14" s="76">
        <f>STOCK[[#This Row],[Precio Final]]</f>
        <v>17</v>
      </c>
      <c r="I14" s="76">
        <f>STOCK[[#This Row],[Precio Venta Ideal (x1.5)]]</f>
        <v>21.145</v>
      </c>
      <c r="J14" s="91">
        <v>1</v>
      </c>
      <c r="K14" s="91">
        <f>SUMIFS(VENTAS[Cantidad],VENTAS[Código del producto Vendido],STOCK[[#This Row],[Code]])</f>
        <v>1</v>
      </c>
      <c r="L14" s="91">
        <f>STOCK[[#This Row],[Entradas]]-STOCK[[#This Row],[Salidas]]</f>
        <v>0</v>
      </c>
      <c r="M14" s="76">
        <f>STOCK[[#This Row],[Precio Final]]*10%</f>
        <v>1.7</v>
      </c>
      <c r="N14" s="76">
        <v>165</v>
      </c>
      <c r="O14" s="76">
        <v>18</v>
      </c>
      <c r="P14" s="76">
        <v>9.16666666666667</v>
      </c>
      <c r="Q14" s="91">
        <v>190</v>
      </c>
      <c r="R14" s="76">
        <v>17</v>
      </c>
      <c r="S14" s="76">
        <f>STOCK[[#This Row],[Peso (g)]]*STOCK[[#This Row],[Precio Envío Kilogramo (USD)]]/1000</f>
        <v>3.23</v>
      </c>
      <c r="T14" s="76">
        <f>STOCK[[#This Row],[Costo Unitario (USD)]]+STOCK[[#This Row],[Costo Envío (USD)]]+STOCK[[#This Row],[Comisión 10%]]</f>
        <v>14.0966666666667</v>
      </c>
      <c r="U14" s="76">
        <f>STOCK[[#This Row],[Costo total]]*1.5</f>
        <v>21.145</v>
      </c>
      <c r="V14" s="76">
        <v>17</v>
      </c>
      <c r="W14" s="76">
        <f>STOCK[[#This Row],[Precio Final]]-STOCK[[#This Row],[Costo total]]</f>
        <v>2.90333333333333</v>
      </c>
      <c r="X14" s="76">
        <f>STOCK[[#This Row],[Ganancia Unitaria]]*STOCK[[#This Row],[Salidas]]</f>
        <v>2.90333333333333</v>
      </c>
      <c r="AA14" s="76">
        <f>STOCK[[#This Row],[Costo total]]*STOCK[[#This Row],[Entradas]]</f>
        <v>14.0966666666667</v>
      </c>
      <c r="AB14" s="76">
        <f>STOCK[[#This Row],[Stock Actual]]*STOCK[[#This Row],[Costo total]]</f>
        <v>0</v>
      </c>
    </row>
    <row r="15" s="77" customFormat="1" ht="50" customHeight="1" spans="1:28">
      <c r="A15" s="77" t="s">
        <v>64</v>
      </c>
      <c r="B15" s="6"/>
      <c r="C15" s="77" t="s">
        <v>30</v>
      </c>
      <c r="D15" s="77" t="s">
        <v>36</v>
      </c>
      <c r="E15" s="77" t="s">
        <v>65</v>
      </c>
      <c r="F15" s="77" t="s">
        <v>60</v>
      </c>
      <c r="G15" s="77" t="s">
        <v>34</v>
      </c>
      <c r="H15" s="77">
        <f>STOCK[[#This Row],[Precio Final]]</f>
        <v>22</v>
      </c>
      <c r="I15" s="77">
        <f>STOCK[[#This Row],[Precio Venta Ideal (x1.5)]]</f>
        <v>21.2575</v>
      </c>
      <c r="J15" s="92">
        <v>1</v>
      </c>
      <c r="K15" s="92">
        <f>SUMIFS(VENTAS[Cantidad],VENTAS[Código del producto Vendido],STOCK[[#This Row],[Code]])</f>
        <v>1</v>
      </c>
      <c r="L15" s="92">
        <f>STOCK[[#This Row],[Entradas]]-STOCK[[#This Row],[Salidas]]</f>
        <v>0</v>
      </c>
      <c r="M15" s="77">
        <f>STOCK[[#This Row],[Precio Final]]*10%</f>
        <v>2.2</v>
      </c>
      <c r="N15" s="77">
        <v>165</v>
      </c>
      <c r="O15" s="77">
        <v>18</v>
      </c>
      <c r="P15" s="77">
        <v>9.16666666666667</v>
      </c>
      <c r="Q15" s="92">
        <v>165</v>
      </c>
      <c r="R15" s="77">
        <v>17</v>
      </c>
      <c r="S15" s="77">
        <f>STOCK[[#This Row],[Peso (g)]]*STOCK[[#This Row],[Precio Envío Kilogramo (USD)]]/1000</f>
        <v>2.805</v>
      </c>
      <c r="T15" s="76">
        <f>STOCK[[#This Row],[Costo Unitario (USD)]]+STOCK[[#This Row],[Costo Envío (USD)]]+STOCK[[#This Row],[Comisión 10%]]</f>
        <v>14.1716666666667</v>
      </c>
      <c r="U15" s="77">
        <f>STOCK[[#This Row],[Costo total]]*1.5</f>
        <v>21.2575</v>
      </c>
      <c r="V15" s="77">
        <v>22</v>
      </c>
      <c r="W15" s="77">
        <f>STOCK[[#This Row],[Precio Final]]-STOCK[[#This Row],[Costo total]]</f>
        <v>7.82833333333333</v>
      </c>
      <c r="X15" s="77">
        <f>STOCK[[#This Row],[Ganancia Unitaria]]*STOCK[[#This Row],[Salidas]]</f>
        <v>7.82833333333333</v>
      </c>
      <c r="AA15" s="77">
        <f>STOCK[[#This Row],[Costo total]]*STOCK[[#This Row],[Entradas]]</f>
        <v>14.1716666666667</v>
      </c>
      <c r="AB15" s="77">
        <f>STOCK[[#This Row],[Stock Actual]]*STOCK[[#This Row],[Costo total]]</f>
        <v>0</v>
      </c>
    </row>
    <row r="16" s="76" customFormat="1" ht="50" customHeight="1" spans="1:28">
      <c r="A16" s="76" t="s">
        <v>66</v>
      </c>
      <c r="B16" s="6"/>
      <c r="C16" s="76" t="s">
        <v>30</v>
      </c>
      <c r="D16" s="76" t="s">
        <v>36</v>
      </c>
      <c r="E16" s="76" t="s">
        <v>67</v>
      </c>
      <c r="F16" s="76" t="s">
        <v>47</v>
      </c>
      <c r="G16" s="76" t="s">
        <v>34</v>
      </c>
      <c r="H16" s="76">
        <f>STOCK[[#This Row],[Precio Final]]</f>
        <v>18</v>
      </c>
      <c r="I16" s="76">
        <f>STOCK[[#This Row],[Precio Venta Ideal (x1.5)]]</f>
        <v>21.1625</v>
      </c>
      <c r="J16" s="91">
        <v>1</v>
      </c>
      <c r="K16" s="91">
        <f>SUMIFS(VENTAS[Cantidad],VENTAS[Código del producto Vendido],STOCK[[#This Row],[Code]])</f>
        <v>1</v>
      </c>
      <c r="L16" s="91">
        <f>STOCK[[#This Row],[Entradas]]-STOCK[[#This Row],[Salidas]]</f>
        <v>0</v>
      </c>
      <c r="M16" s="76">
        <f>STOCK[[#This Row],[Precio Final]]*10%</f>
        <v>1.8</v>
      </c>
      <c r="N16" s="76">
        <v>168</v>
      </c>
      <c r="O16" s="76">
        <v>18</v>
      </c>
      <c r="P16" s="76">
        <v>9.33333333333333</v>
      </c>
      <c r="Q16" s="91">
        <v>175</v>
      </c>
      <c r="R16" s="76">
        <v>17</v>
      </c>
      <c r="S16" s="76">
        <f>STOCK[[#This Row],[Peso (g)]]*STOCK[[#This Row],[Precio Envío Kilogramo (USD)]]/1000</f>
        <v>2.975</v>
      </c>
      <c r="T16" s="76">
        <f>STOCK[[#This Row],[Costo Unitario (USD)]]+STOCK[[#This Row],[Costo Envío (USD)]]+STOCK[[#This Row],[Comisión 10%]]</f>
        <v>14.1083333333333</v>
      </c>
      <c r="U16" s="76">
        <f>STOCK[[#This Row],[Costo total]]*1.5</f>
        <v>21.1625</v>
      </c>
      <c r="V16" s="76">
        <v>18</v>
      </c>
      <c r="W16" s="76">
        <f>STOCK[[#This Row],[Precio Final]]-STOCK[[#This Row],[Costo total]]</f>
        <v>3.89166666666667</v>
      </c>
      <c r="X16" s="76">
        <f>STOCK[[#This Row],[Ganancia Unitaria]]*STOCK[[#This Row],[Salidas]]</f>
        <v>3.89166666666667</v>
      </c>
      <c r="AA16" s="76">
        <f>STOCK[[#This Row],[Costo total]]*STOCK[[#This Row],[Entradas]]</f>
        <v>14.1083333333333</v>
      </c>
      <c r="AB16" s="76">
        <f>STOCK[[#This Row],[Stock Actual]]*STOCK[[#This Row],[Costo total]]</f>
        <v>0</v>
      </c>
    </row>
    <row r="17" s="77" customFormat="1" ht="50" customHeight="1" spans="1:28">
      <c r="A17" s="77" t="s">
        <v>68</v>
      </c>
      <c r="B17" s="6"/>
      <c r="C17" s="77" t="s">
        <v>30</v>
      </c>
      <c r="D17" s="77" t="s">
        <v>36</v>
      </c>
      <c r="E17" s="77" t="s">
        <v>67</v>
      </c>
      <c r="F17" s="77" t="s">
        <v>38</v>
      </c>
      <c r="G17" s="77" t="s">
        <v>34</v>
      </c>
      <c r="H17" s="77">
        <f>STOCK[[#This Row],[Precio Final]]</f>
        <v>18</v>
      </c>
      <c r="I17" s="77">
        <f>STOCK[[#This Row],[Precio Venta Ideal (x1.5)]]</f>
        <v>21.1625</v>
      </c>
      <c r="J17" s="92">
        <v>1</v>
      </c>
      <c r="K17" s="92">
        <f>SUMIFS(VENTAS[Cantidad],VENTAS[Código del producto Vendido],STOCK[[#This Row],[Code]])</f>
        <v>1</v>
      </c>
      <c r="L17" s="92">
        <f>STOCK[[#This Row],[Entradas]]-STOCK[[#This Row],[Salidas]]</f>
        <v>0</v>
      </c>
      <c r="M17" s="77">
        <f>STOCK[[#This Row],[Precio Final]]*10%</f>
        <v>1.8</v>
      </c>
      <c r="N17" s="77">
        <v>168</v>
      </c>
      <c r="O17" s="77">
        <v>18</v>
      </c>
      <c r="P17" s="77">
        <v>9.33333333333333</v>
      </c>
      <c r="Q17" s="92">
        <v>175</v>
      </c>
      <c r="R17" s="77">
        <v>17</v>
      </c>
      <c r="S17" s="77">
        <f>STOCK[[#This Row],[Peso (g)]]*STOCK[[#This Row],[Precio Envío Kilogramo (USD)]]/1000</f>
        <v>2.975</v>
      </c>
      <c r="T17" s="76">
        <f>STOCK[[#This Row],[Costo Unitario (USD)]]+STOCK[[#This Row],[Costo Envío (USD)]]+STOCK[[#This Row],[Comisión 10%]]</f>
        <v>14.1083333333333</v>
      </c>
      <c r="U17" s="77">
        <f>STOCK[[#This Row],[Costo total]]*1.5</f>
        <v>21.1625</v>
      </c>
      <c r="V17" s="77">
        <v>18</v>
      </c>
      <c r="W17" s="77">
        <f>STOCK[[#This Row],[Precio Final]]-STOCK[[#This Row],[Costo total]]</f>
        <v>3.89166666666667</v>
      </c>
      <c r="X17" s="77">
        <f>STOCK[[#This Row],[Ganancia Unitaria]]*STOCK[[#This Row],[Salidas]]</f>
        <v>3.89166666666667</v>
      </c>
      <c r="AA17" s="77">
        <f>STOCK[[#This Row],[Costo total]]*STOCK[[#This Row],[Entradas]]</f>
        <v>14.1083333333333</v>
      </c>
      <c r="AB17" s="77">
        <f>STOCK[[#This Row],[Stock Actual]]*STOCK[[#This Row],[Costo total]]</f>
        <v>0</v>
      </c>
    </row>
    <row r="18" s="76" customFormat="1" ht="50" customHeight="1" spans="1:28">
      <c r="A18" s="76" t="s">
        <v>69</v>
      </c>
      <c r="B18" s="6"/>
      <c r="C18" s="76" t="s">
        <v>30</v>
      </c>
      <c r="D18" s="76" t="s">
        <v>36</v>
      </c>
      <c r="E18" s="76" t="s">
        <v>70</v>
      </c>
      <c r="F18" s="76" t="s">
        <v>60</v>
      </c>
      <c r="G18" s="76" t="s">
        <v>34</v>
      </c>
      <c r="H18" s="76">
        <f>STOCK[[#This Row],[Precio Final]]</f>
        <v>25</v>
      </c>
      <c r="I18" s="76">
        <f>STOCK[[#This Row],[Precio Venta Ideal (x1.5)]]</f>
        <v>27.2766666666666</v>
      </c>
      <c r="J18" s="91">
        <v>1</v>
      </c>
      <c r="K18" s="91">
        <f>SUMIFS(VENTAS[Cantidad],VENTAS[Código del producto Vendido],STOCK[[#This Row],[Code]])</f>
        <v>1</v>
      </c>
      <c r="L18" s="91">
        <f>STOCK[[#This Row],[Entradas]]-STOCK[[#This Row],[Salidas]]</f>
        <v>0</v>
      </c>
      <c r="M18" s="76">
        <f>STOCK[[#This Row],[Precio Final]]*10%</f>
        <v>2.5</v>
      </c>
      <c r="N18" s="76">
        <v>215</v>
      </c>
      <c r="O18" s="76">
        <v>18</v>
      </c>
      <c r="P18" s="76">
        <v>11.9444444444444</v>
      </c>
      <c r="Q18" s="91">
        <v>220</v>
      </c>
      <c r="R18" s="76">
        <v>17</v>
      </c>
      <c r="S18" s="76">
        <f>STOCK[[#This Row],[Peso (g)]]*STOCK[[#This Row],[Precio Envío Kilogramo (USD)]]/1000</f>
        <v>3.74</v>
      </c>
      <c r="T18" s="76">
        <f>STOCK[[#This Row],[Costo Unitario (USD)]]+STOCK[[#This Row],[Costo Envío (USD)]]+STOCK[[#This Row],[Comisión 10%]]</f>
        <v>18.1844444444444</v>
      </c>
      <c r="U18" s="76">
        <f>STOCK[[#This Row],[Costo total]]*1.5</f>
        <v>27.2766666666666</v>
      </c>
      <c r="V18" s="76">
        <v>25</v>
      </c>
      <c r="W18" s="76">
        <f>STOCK[[#This Row],[Precio Final]]-STOCK[[#This Row],[Costo total]]</f>
        <v>6.8155555555556</v>
      </c>
      <c r="X18" s="76">
        <f>STOCK[[#This Row],[Ganancia Unitaria]]*STOCK[[#This Row],[Salidas]]</f>
        <v>6.8155555555556</v>
      </c>
      <c r="AA18" s="76">
        <f>STOCK[[#This Row],[Costo total]]*STOCK[[#This Row],[Entradas]]</f>
        <v>18.1844444444444</v>
      </c>
      <c r="AB18" s="76">
        <f>STOCK[[#This Row],[Stock Actual]]*STOCK[[#This Row],[Costo total]]</f>
        <v>0</v>
      </c>
    </row>
    <row r="19" s="77" customFormat="1" ht="50" customHeight="1" spans="1:28">
      <c r="A19" s="77" t="s">
        <v>71</v>
      </c>
      <c r="B19" s="6"/>
      <c r="C19" s="77" t="s">
        <v>30</v>
      </c>
      <c r="D19" s="77" t="s">
        <v>36</v>
      </c>
      <c r="E19" s="77" t="s">
        <v>72</v>
      </c>
      <c r="F19" s="77" t="s">
        <v>40</v>
      </c>
      <c r="G19" s="77" t="s">
        <v>34</v>
      </c>
      <c r="H19" s="77">
        <f>STOCK[[#This Row],[Precio Final]]</f>
        <v>25</v>
      </c>
      <c r="I19" s="77">
        <f>STOCK[[#This Row],[Precio Venta Ideal (x1.5)]]</f>
        <v>33.5083333333333</v>
      </c>
      <c r="J19" s="92">
        <v>1</v>
      </c>
      <c r="K19" s="92">
        <f>SUMIFS(VENTAS[Cantidad],VENTAS[Código del producto Vendido],STOCK[[#This Row],[Code]])</f>
        <v>1</v>
      </c>
      <c r="L19" s="92">
        <f>STOCK[[#This Row],[Entradas]]-STOCK[[#This Row],[Salidas]]</f>
        <v>0</v>
      </c>
      <c r="M19" s="77">
        <f>STOCK[[#This Row],[Precio Final]]*10%</f>
        <v>2.5</v>
      </c>
      <c r="N19" s="77">
        <v>250</v>
      </c>
      <c r="O19" s="77">
        <v>18</v>
      </c>
      <c r="P19" s="77">
        <v>13.8888888888889</v>
      </c>
      <c r="Q19" s="92">
        <v>350</v>
      </c>
      <c r="R19" s="77">
        <v>17</v>
      </c>
      <c r="S19" s="77">
        <f>STOCK[[#This Row],[Peso (g)]]*STOCK[[#This Row],[Precio Envío Kilogramo (USD)]]/1000</f>
        <v>5.95</v>
      </c>
      <c r="T19" s="76">
        <f>STOCK[[#This Row],[Costo Unitario (USD)]]+STOCK[[#This Row],[Costo Envío (USD)]]+STOCK[[#This Row],[Comisión 10%]]</f>
        <v>22.3388888888889</v>
      </c>
      <c r="U19" s="77">
        <f>STOCK[[#This Row],[Costo total]]*1.5</f>
        <v>33.5083333333333</v>
      </c>
      <c r="V19" s="77">
        <v>25</v>
      </c>
      <c r="W19" s="77">
        <f>STOCK[[#This Row],[Precio Final]]-STOCK[[#This Row],[Costo total]]</f>
        <v>2.6611111111111</v>
      </c>
      <c r="X19" s="77">
        <f>STOCK[[#This Row],[Ganancia Unitaria]]*STOCK[[#This Row],[Salidas]]</f>
        <v>2.6611111111111</v>
      </c>
      <c r="AA19" s="77">
        <f>STOCK[[#This Row],[Costo total]]*STOCK[[#This Row],[Entradas]]</f>
        <v>22.3388888888889</v>
      </c>
      <c r="AB19" s="77">
        <f>STOCK[[#This Row],[Stock Actual]]*STOCK[[#This Row],[Costo total]]</f>
        <v>0</v>
      </c>
    </row>
    <row r="20" s="76" customFormat="1" ht="50" customHeight="1" spans="1:28">
      <c r="A20" s="76" t="s">
        <v>73</v>
      </c>
      <c r="B20" s="6"/>
      <c r="C20" s="76" t="s">
        <v>30</v>
      </c>
      <c r="D20" s="76" t="s">
        <v>36</v>
      </c>
      <c r="E20" s="76" t="s">
        <v>74</v>
      </c>
      <c r="F20" s="76" t="s">
        <v>40</v>
      </c>
      <c r="G20" s="76" t="s">
        <v>34</v>
      </c>
      <c r="H20" s="76">
        <f>STOCK[[#This Row],[Precio Final]]</f>
        <v>28</v>
      </c>
      <c r="I20" s="76">
        <f>STOCK[[#This Row],[Precio Venta Ideal (x1.5)]]</f>
        <v>31.2808333333333</v>
      </c>
      <c r="J20" s="91">
        <v>2</v>
      </c>
      <c r="K20" s="91">
        <f>SUMIFS(VENTAS[Cantidad],VENTAS[Código del producto Vendido],STOCK[[#This Row],[Code]])</f>
        <v>2</v>
      </c>
      <c r="L20" s="91">
        <f>STOCK[[#This Row],[Entradas]]-STOCK[[#This Row],[Salidas]]</f>
        <v>0</v>
      </c>
      <c r="M20" s="76">
        <f>STOCK[[#This Row],[Precio Final]]*10%</f>
        <v>2.8</v>
      </c>
      <c r="N20" s="76">
        <v>250</v>
      </c>
      <c r="O20" s="76">
        <v>18</v>
      </c>
      <c r="P20" s="76">
        <v>13.8888888888889</v>
      </c>
      <c r="Q20" s="91">
        <v>245</v>
      </c>
      <c r="R20" s="76">
        <v>17</v>
      </c>
      <c r="S20" s="76">
        <f>STOCK[[#This Row],[Peso (g)]]*STOCK[[#This Row],[Precio Envío Kilogramo (USD)]]/1000</f>
        <v>4.165</v>
      </c>
      <c r="T20" s="76">
        <f>STOCK[[#This Row],[Costo Unitario (USD)]]+STOCK[[#This Row],[Costo Envío (USD)]]+STOCK[[#This Row],[Comisión 10%]]</f>
        <v>20.8538888888889</v>
      </c>
      <c r="U20" s="76">
        <f>STOCK[[#This Row],[Costo total]]*1.5</f>
        <v>31.2808333333333</v>
      </c>
      <c r="V20" s="76">
        <v>28</v>
      </c>
      <c r="W20" s="76">
        <f>STOCK[[#This Row],[Precio Final]]-STOCK[[#This Row],[Costo total]]</f>
        <v>7.1461111111111</v>
      </c>
      <c r="X20" s="76">
        <f>STOCK[[#This Row],[Ganancia Unitaria]]*STOCK[[#This Row],[Salidas]]</f>
        <v>14.2922222222222</v>
      </c>
      <c r="AA20" s="76">
        <f>STOCK[[#This Row],[Costo total]]*STOCK[[#This Row],[Entradas]]</f>
        <v>41.7077777777778</v>
      </c>
      <c r="AB20" s="76">
        <f>STOCK[[#This Row],[Stock Actual]]*STOCK[[#This Row],[Costo total]]</f>
        <v>0</v>
      </c>
    </row>
    <row r="21" s="77" customFormat="1" ht="50" customHeight="1" spans="1:28">
      <c r="A21" s="77" t="s">
        <v>75</v>
      </c>
      <c r="B21" s="6"/>
      <c r="C21" s="77" t="s">
        <v>30</v>
      </c>
      <c r="D21" s="77" t="s">
        <v>36</v>
      </c>
      <c r="E21" s="77" t="s">
        <v>76</v>
      </c>
      <c r="F21" s="77" t="s">
        <v>38</v>
      </c>
      <c r="G21" s="77" t="s">
        <v>34</v>
      </c>
      <c r="H21" s="77">
        <f>STOCK[[#This Row],[Precio Final]]</f>
        <v>15</v>
      </c>
      <c r="I21" s="77">
        <f>STOCK[[#This Row],[Precio Venta Ideal (x1.5)]]</f>
        <v>16.2908333333333</v>
      </c>
      <c r="J21" s="92">
        <v>2</v>
      </c>
      <c r="K21" s="92">
        <f>SUMIFS(VENTAS[Cantidad],VENTAS[Código del producto Vendido],STOCK[[#This Row],[Code]])</f>
        <v>2</v>
      </c>
      <c r="L21" s="92">
        <f>STOCK[[#This Row],[Entradas]]-STOCK[[#This Row],[Salidas]]</f>
        <v>0</v>
      </c>
      <c r="M21" s="77">
        <f>STOCK[[#This Row],[Precio Final]]*10%</f>
        <v>1.5</v>
      </c>
      <c r="N21" s="77">
        <v>118</v>
      </c>
      <c r="O21" s="77">
        <v>18</v>
      </c>
      <c r="P21" s="77">
        <v>6.55555555555556</v>
      </c>
      <c r="Q21" s="92">
        <v>165</v>
      </c>
      <c r="R21" s="77">
        <v>17</v>
      </c>
      <c r="S21" s="77">
        <f>STOCK[[#This Row],[Peso (g)]]*STOCK[[#This Row],[Precio Envío Kilogramo (USD)]]/1000</f>
        <v>2.805</v>
      </c>
      <c r="T21" s="76">
        <f>STOCK[[#This Row],[Costo Unitario (USD)]]+STOCK[[#This Row],[Costo Envío (USD)]]+STOCK[[#This Row],[Comisión 10%]]</f>
        <v>10.8605555555556</v>
      </c>
      <c r="U21" s="77">
        <f>STOCK[[#This Row],[Costo total]]*1.5</f>
        <v>16.2908333333333</v>
      </c>
      <c r="V21" s="77">
        <v>15</v>
      </c>
      <c r="W21" s="77">
        <f>STOCK[[#This Row],[Precio Final]]-STOCK[[#This Row],[Costo total]]</f>
        <v>4.13944444444444</v>
      </c>
      <c r="X21" s="77">
        <f>STOCK[[#This Row],[Ganancia Unitaria]]*STOCK[[#This Row],[Salidas]]</f>
        <v>8.27888888888888</v>
      </c>
      <c r="AA21" s="77">
        <f>STOCK[[#This Row],[Costo total]]*STOCK[[#This Row],[Entradas]]</f>
        <v>21.7211111111111</v>
      </c>
      <c r="AB21" s="77">
        <f>STOCK[[#This Row],[Stock Actual]]*STOCK[[#This Row],[Costo total]]</f>
        <v>0</v>
      </c>
    </row>
    <row r="22" s="76" customFormat="1" ht="50" customHeight="1" spans="1:28">
      <c r="A22" s="76" t="s">
        <v>77</v>
      </c>
      <c r="B22" s="6"/>
      <c r="C22" s="76" t="s">
        <v>30</v>
      </c>
      <c r="D22" s="76" t="s">
        <v>36</v>
      </c>
      <c r="E22" s="76" t="s">
        <v>78</v>
      </c>
      <c r="F22" s="76" t="s">
        <v>40</v>
      </c>
      <c r="G22" s="76" t="s">
        <v>34</v>
      </c>
      <c r="H22" s="76">
        <f>STOCK[[#This Row],[Precio Final]]</f>
        <v>22</v>
      </c>
      <c r="I22" s="76">
        <f>STOCK[[#This Row],[Precio Venta Ideal (x1.5)]]</f>
        <v>25.425</v>
      </c>
      <c r="J22" s="91">
        <v>1</v>
      </c>
      <c r="K22" s="91">
        <f>SUMIFS(VENTAS[Cantidad],VENTAS[Código del producto Vendido],STOCK[[#This Row],[Code]])</f>
        <v>1</v>
      </c>
      <c r="L22" s="91">
        <f>STOCK[[#This Row],[Entradas]]-STOCK[[#This Row],[Salidas]]</f>
        <v>0</v>
      </c>
      <c r="M22" s="76">
        <f>STOCK[[#This Row],[Precio Final]]*10%</f>
        <v>2.2</v>
      </c>
      <c r="N22" s="76">
        <v>189</v>
      </c>
      <c r="O22" s="76">
        <v>18</v>
      </c>
      <c r="P22" s="76">
        <v>10.5</v>
      </c>
      <c r="Q22" s="91">
        <v>250</v>
      </c>
      <c r="R22" s="76">
        <v>17</v>
      </c>
      <c r="S22" s="76">
        <f>STOCK[[#This Row],[Peso (g)]]*STOCK[[#This Row],[Precio Envío Kilogramo (USD)]]/1000</f>
        <v>4.25</v>
      </c>
      <c r="T22" s="76">
        <f>STOCK[[#This Row],[Costo Unitario (USD)]]+STOCK[[#This Row],[Costo Envío (USD)]]+STOCK[[#This Row],[Comisión 10%]]</f>
        <v>16.95</v>
      </c>
      <c r="U22" s="76">
        <f>STOCK[[#This Row],[Costo total]]*1.5</f>
        <v>25.425</v>
      </c>
      <c r="V22" s="76">
        <v>22</v>
      </c>
      <c r="W22" s="76">
        <f>STOCK[[#This Row],[Precio Final]]-STOCK[[#This Row],[Costo total]]</f>
        <v>5.05</v>
      </c>
      <c r="X22" s="76">
        <f>STOCK[[#This Row],[Ganancia Unitaria]]*STOCK[[#This Row],[Salidas]]</f>
        <v>5.05</v>
      </c>
      <c r="AA22" s="76">
        <f>STOCK[[#This Row],[Costo total]]*STOCK[[#This Row],[Entradas]]</f>
        <v>16.95</v>
      </c>
      <c r="AB22" s="76">
        <f>STOCK[[#This Row],[Stock Actual]]*STOCK[[#This Row],[Costo total]]</f>
        <v>0</v>
      </c>
    </row>
    <row r="23" s="77" customFormat="1" ht="50" customHeight="1" spans="1:28">
      <c r="A23" s="77" t="s">
        <v>79</v>
      </c>
      <c r="B23" s="6"/>
      <c r="C23" s="77" t="s">
        <v>30</v>
      </c>
      <c r="D23" s="77" t="s">
        <v>80</v>
      </c>
      <c r="E23" s="77" t="s">
        <v>76</v>
      </c>
      <c r="F23" s="77" t="s">
        <v>81</v>
      </c>
      <c r="G23" s="77" t="s">
        <v>34</v>
      </c>
      <c r="H23" s="77">
        <f>STOCK[[#This Row],[Precio Final]]</f>
        <v>15</v>
      </c>
      <c r="I23" s="77">
        <f>STOCK[[#This Row],[Precio Venta Ideal (x1.5)]]</f>
        <v>17.1833333333333</v>
      </c>
      <c r="J23" s="92">
        <v>2</v>
      </c>
      <c r="K23" s="92">
        <f>SUMIFS(VENTAS[Cantidad],VENTAS[Código del producto Vendido],STOCK[[#This Row],[Code]])</f>
        <v>2</v>
      </c>
      <c r="L23" s="92">
        <f>STOCK[[#This Row],[Entradas]]-STOCK[[#This Row],[Salidas]]</f>
        <v>0</v>
      </c>
      <c r="M23" s="77">
        <f>STOCK[[#This Row],[Precio Final]]*10%</f>
        <v>1.5</v>
      </c>
      <c r="N23" s="77">
        <v>118</v>
      </c>
      <c r="O23" s="77">
        <v>18</v>
      </c>
      <c r="P23" s="77">
        <v>6.55555555555556</v>
      </c>
      <c r="Q23" s="92">
        <v>200</v>
      </c>
      <c r="R23" s="77">
        <v>17</v>
      </c>
      <c r="S23" s="77">
        <f>STOCK[[#This Row],[Peso (g)]]*STOCK[[#This Row],[Precio Envío Kilogramo (USD)]]/1000</f>
        <v>3.4</v>
      </c>
      <c r="T23" s="76">
        <f>STOCK[[#This Row],[Costo Unitario (USD)]]+STOCK[[#This Row],[Costo Envío (USD)]]+STOCK[[#This Row],[Comisión 10%]]</f>
        <v>11.4555555555556</v>
      </c>
      <c r="U23" s="77">
        <f>STOCK[[#This Row],[Costo total]]*1.5</f>
        <v>17.1833333333333</v>
      </c>
      <c r="V23" s="77">
        <v>15</v>
      </c>
      <c r="W23" s="77">
        <f>STOCK[[#This Row],[Precio Final]]-STOCK[[#This Row],[Costo total]]</f>
        <v>3.54444444444444</v>
      </c>
      <c r="X23" s="77">
        <f>STOCK[[#This Row],[Ganancia Unitaria]]*STOCK[[#This Row],[Salidas]]</f>
        <v>7.08888888888888</v>
      </c>
      <c r="AA23" s="77">
        <f>STOCK[[#This Row],[Costo total]]*STOCK[[#This Row],[Entradas]]</f>
        <v>22.9111111111111</v>
      </c>
      <c r="AB23" s="77">
        <f>STOCK[[#This Row],[Stock Actual]]*STOCK[[#This Row],[Costo total]]</f>
        <v>0</v>
      </c>
    </row>
    <row r="24" s="76" customFormat="1" ht="50" customHeight="1" spans="1:28">
      <c r="A24" s="76" t="s">
        <v>82</v>
      </c>
      <c r="B24" s="6"/>
      <c r="C24" s="76" t="s">
        <v>30</v>
      </c>
      <c r="D24" s="76" t="s">
        <v>36</v>
      </c>
      <c r="E24" s="76" t="s">
        <v>83</v>
      </c>
      <c r="F24" s="76" t="s">
        <v>40</v>
      </c>
      <c r="G24" s="76" t="s">
        <v>34</v>
      </c>
      <c r="H24" s="76">
        <f>STOCK[[#This Row],[Precio Final]]</f>
        <v>15</v>
      </c>
      <c r="I24" s="76">
        <f>STOCK[[#This Row],[Precio Venta Ideal (x1.5)]]</f>
        <v>22.2475</v>
      </c>
      <c r="J24" s="91">
        <v>1</v>
      </c>
      <c r="K24" s="91">
        <f>SUMIFS(VENTAS[Cantidad],VENTAS[Código del producto Vendido],STOCK[[#This Row],[Code]])</f>
        <v>1</v>
      </c>
      <c r="L24" s="91">
        <f>STOCK[[#This Row],[Entradas]]-STOCK[[#This Row],[Salidas]]</f>
        <v>0</v>
      </c>
      <c r="M24" s="76">
        <f>STOCK[[#This Row],[Precio Final]]*10%</f>
        <v>1.5</v>
      </c>
      <c r="N24" s="76">
        <v>165</v>
      </c>
      <c r="O24" s="76">
        <v>18</v>
      </c>
      <c r="P24" s="76">
        <v>9.16666666666667</v>
      </c>
      <c r="Q24" s="91">
        <v>245</v>
      </c>
      <c r="R24" s="76">
        <v>17</v>
      </c>
      <c r="S24" s="76">
        <f>STOCK[[#This Row],[Peso (g)]]*STOCK[[#This Row],[Precio Envío Kilogramo (USD)]]/1000</f>
        <v>4.165</v>
      </c>
      <c r="T24" s="76">
        <f>STOCK[[#This Row],[Costo Unitario (USD)]]+STOCK[[#This Row],[Costo Envío (USD)]]+STOCK[[#This Row],[Comisión 10%]]</f>
        <v>14.8316666666667</v>
      </c>
      <c r="U24" s="76">
        <f>STOCK[[#This Row],[Costo total]]*1.5</f>
        <v>22.2475</v>
      </c>
      <c r="V24" s="76">
        <v>15</v>
      </c>
      <c r="W24" s="76">
        <f>STOCK[[#This Row],[Precio Final]]-STOCK[[#This Row],[Costo total]]</f>
        <v>0.168333333333329</v>
      </c>
      <c r="X24" s="76">
        <f>STOCK[[#This Row],[Ganancia Unitaria]]*STOCK[[#This Row],[Salidas]]</f>
        <v>0.168333333333329</v>
      </c>
      <c r="AA24" s="76">
        <f>STOCK[[#This Row],[Costo total]]*STOCK[[#This Row],[Entradas]]</f>
        <v>14.8316666666667</v>
      </c>
      <c r="AB24" s="76">
        <f>STOCK[[#This Row],[Stock Actual]]*STOCK[[#This Row],[Costo total]]</f>
        <v>0</v>
      </c>
    </row>
    <row r="25" s="77" customFormat="1" ht="50" customHeight="1" spans="1:28">
      <c r="A25" s="77" t="s">
        <v>84</v>
      </c>
      <c r="B25" s="6"/>
      <c r="C25" s="77" t="s">
        <v>30</v>
      </c>
      <c r="D25" s="77" t="s">
        <v>36</v>
      </c>
      <c r="E25" s="77" t="s">
        <v>85</v>
      </c>
      <c r="F25" s="77" t="s">
        <v>86</v>
      </c>
      <c r="G25" s="77" t="s">
        <v>34</v>
      </c>
      <c r="H25" s="77">
        <f>STOCK[[#This Row],[Precio Final]]</f>
        <v>18</v>
      </c>
      <c r="I25" s="77">
        <f>STOCK[[#This Row],[Precio Venta Ideal (x1.5)]]</f>
        <v>21.7458333333333</v>
      </c>
      <c r="J25" s="92">
        <v>1</v>
      </c>
      <c r="K25" s="92">
        <f>SUMIFS(VENTAS[Cantidad],VENTAS[Código del producto Vendido],STOCK[[#This Row],[Code]])</f>
        <v>1</v>
      </c>
      <c r="L25" s="92">
        <f>STOCK[[#This Row],[Entradas]]-STOCK[[#This Row],[Salidas]]</f>
        <v>0</v>
      </c>
      <c r="M25" s="77">
        <f>STOCK[[#This Row],[Precio Final]]*10%</f>
        <v>1.8</v>
      </c>
      <c r="N25" s="77">
        <v>175</v>
      </c>
      <c r="O25" s="77">
        <v>18</v>
      </c>
      <c r="P25" s="77">
        <v>9.72222222222222</v>
      </c>
      <c r="Q25" s="92">
        <v>175</v>
      </c>
      <c r="R25" s="77">
        <v>17</v>
      </c>
      <c r="S25" s="77">
        <f>STOCK[[#This Row],[Peso (g)]]*STOCK[[#This Row],[Precio Envío Kilogramo (USD)]]/1000</f>
        <v>2.975</v>
      </c>
      <c r="T25" s="76">
        <f>STOCK[[#This Row],[Costo Unitario (USD)]]+STOCK[[#This Row],[Costo Envío (USD)]]+STOCK[[#This Row],[Comisión 10%]]</f>
        <v>14.4972222222222</v>
      </c>
      <c r="U25" s="77">
        <f>STOCK[[#This Row],[Costo total]]*1.5</f>
        <v>21.7458333333333</v>
      </c>
      <c r="V25" s="77">
        <v>18</v>
      </c>
      <c r="W25" s="77">
        <f>STOCK[[#This Row],[Precio Final]]-STOCK[[#This Row],[Costo total]]</f>
        <v>3.50277777777778</v>
      </c>
      <c r="X25" s="77">
        <f>STOCK[[#This Row],[Ganancia Unitaria]]*STOCK[[#This Row],[Salidas]]</f>
        <v>3.50277777777778</v>
      </c>
      <c r="AA25" s="77">
        <f>STOCK[[#This Row],[Costo total]]*STOCK[[#This Row],[Entradas]]</f>
        <v>14.4972222222222</v>
      </c>
      <c r="AB25" s="77">
        <f>STOCK[[#This Row],[Stock Actual]]*STOCK[[#This Row],[Costo total]]</f>
        <v>0</v>
      </c>
    </row>
    <row r="26" s="76" customFormat="1" ht="50" customHeight="1" spans="1:28">
      <c r="A26" s="76" t="s">
        <v>87</v>
      </c>
      <c r="B26" s="6"/>
      <c r="C26" s="76" t="s">
        <v>30</v>
      </c>
      <c r="D26" s="76" t="s">
        <v>36</v>
      </c>
      <c r="E26" s="76" t="s">
        <v>67</v>
      </c>
      <c r="F26" s="76" t="s">
        <v>38</v>
      </c>
      <c r="G26" s="76" t="s">
        <v>34</v>
      </c>
      <c r="H26" s="76">
        <f>STOCK[[#This Row],[Precio Final]]</f>
        <v>18</v>
      </c>
      <c r="I26" s="76">
        <f>STOCK[[#This Row],[Precio Venta Ideal (x1.5)]]</f>
        <v>21.7458333333333</v>
      </c>
      <c r="J26" s="91">
        <v>1</v>
      </c>
      <c r="K26" s="91">
        <f>SUMIFS(VENTAS[Cantidad],VENTAS[Código del producto Vendido],STOCK[[#This Row],[Code]])</f>
        <v>1</v>
      </c>
      <c r="L26" s="91">
        <f>STOCK[[#This Row],[Entradas]]-STOCK[[#This Row],[Salidas]]</f>
        <v>0</v>
      </c>
      <c r="M26" s="76">
        <f>STOCK[[#This Row],[Precio Final]]*10%</f>
        <v>1.8</v>
      </c>
      <c r="N26" s="76">
        <v>175</v>
      </c>
      <c r="O26" s="76">
        <v>18</v>
      </c>
      <c r="P26" s="76">
        <v>9.72222222222222</v>
      </c>
      <c r="Q26" s="91">
        <v>175</v>
      </c>
      <c r="R26" s="76">
        <v>17</v>
      </c>
      <c r="S26" s="76">
        <f>STOCK[[#This Row],[Peso (g)]]*STOCK[[#This Row],[Precio Envío Kilogramo (USD)]]/1000</f>
        <v>2.975</v>
      </c>
      <c r="T26" s="76">
        <f>STOCK[[#This Row],[Costo Unitario (USD)]]+STOCK[[#This Row],[Costo Envío (USD)]]+STOCK[[#This Row],[Comisión 10%]]</f>
        <v>14.4972222222222</v>
      </c>
      <c r="U26" s="76">
        <f>STOCK[[#This Row],[Costo total]]*1.5</f>
        <v>21.7458333333333</v>
      </c>
      <c r="V26" s="76">
        <v>18</v>
      </c>
      <c r="W26" s="76">
        <f>STOCK[[#This Row],[Precio Final]]-STOCK[[#This Row],[Costo total]]</f>
        <v>3.50277777777778</v>
      </c>
      <c r="X26" s="76">
        <f>STOCK[[#This Row],[Ganancia Unitaria]]*STOCK[[#This Row],[Salidas]]</f>
        <v>3.50277777777778</v>
      </c>
      <c r="AA26" s="76">
        <f>STOCK[[#This Row],[Costo total]]*STOCK[[#This Row],[Entradas]]</f>
        <v>14.4972222222222</v>
      </c>
      <c r="AB26" s="76">
        <f>STOCK[[#This Row],[Stock Actual]]*STOCK[[#This Row],[Costo total]]</f>
        <v>0</v>
      </c>
    </row>
    <row r="27" s="77" customFormat="1" ht="50" customHeight="1" spans="1:28">
      <c r="A27" s="77" t="s">
        <v>88</v>
      </c>
      <c r="B27" s="6"/>
      <c r="C27" s="77" t="s">
        <v>30</v>
      </c>
      <c r="D27" s="77" t="s">
        <v>36</v>
      </c>
      <c r="E27" s="77" t="s">
        <v>89</v>
      </c>
      <c r="F27" s="77" t="s">
        <v>90</v>
      </c>
      <c r="G27" s="77" t="s">
        <v>34</v>
      </c>
      <c r="H27" s="77">
        <f>STOCK[[#This Row],[Precio Final]]</f>
        <v>28</v>
      </c>
      <c r="I27" s="77">
        <f>STOCK[[#This Row],[Precio Venta Ideal (x1.5)]]</f>
        <v>35.8208333333334</v>
      </c>
      <c r="J27" s="92">
        <v>1</v>
      </c>
      <c r="K27" s="92">
        <f>SUMIFS(VENTAS[Cantidad],VENTAS[Código del producto Vendido],STOCK[[#This Row],[Code]])</f>
        <v>1</v>
      </c>
      <c r="L27" s="92">
        <f>STOCK[[#This Row],[Entradas]]-STOCK[[#This Row],[Salidas]]</f>
        <v>0</v>
      </c>
      <c r="M27" s="77">
        <f>STOCK[[#This Row],[Precio Final]]*10%</f>
        <v>2.8</v>
      </c>
      <c r="N27" s="77">
        <v>280</v>
      </c>
      <c r="O27" s="77">
        <v>18</v>
      </c>
      <c r="P27" s="77">
        <v>15.5555555555556</v>
      </c>
      <c r="Q27" s="92">
        <v>325</v>
      </c>
      <c r="R27" s="77">
        <v>17</v>
      </c>
      <c r="S27" s="77">
        <f>STOCK[[#This Row],[Peso (g)]]*STOCK[[#This Row],[Precio Envío Kilogramo (USD)]]/1000</f>
        <v>5.525</v>
      </c>
      <c r="T27" s="76">
        <f>STOCK[[#This Row],[Costo Unitario (USD)]]+STOCK[[#This Row],[Costo Envío (USD)]]+STOCK[[#This Row],[Comisión 10%]]</f>
        <v>23.8805555555556</v>
      </c>
      <c r="U27" s="77">
        <f>STOCK[[#This Row],[Costo total]]*1.5</f>
        <v>35.8208333333334</v>
      </c>
      <c r="V27" s="77">
        <v>28</v>
      </c>
      <c r="W27" s="77">
        <f>STOCK[[#This Row],[Precio Final]]-STOCK[[#This Row],[Costo total]]</f>
        <v>4.1194444444444</v>
      </c>
      <c r="X27" s="77">
        <f>STOCK[[#This Row],[Ganancia Unitaria]]*STOCK[[#This Row],[Salidas]]</f>
        <v>4.1194444444444</v>
      </c>
      <c r="AA27" s="77">
        <f>STOCK[[#This Row],[Costo total]]*STOCK[[#This Row],[Entradas]]</f>
        <v>23.8805555555556</v>
      </c>
      <c r="AB27" s="77">
        <f>STOCK[[#This Row],[Stock Actual]]*STOCK[[#This Row],[Costo total]]</f>
        <v>0</v>
      </c>
    </row>
    <row r="28" s="76" customFormat="1" ht="50" customHeight="1" spans="1:28">
      <c r="A28" s="76" t="s">
        <v>91</v>
      </c>
      <c r="B28" s="6"/>
      <c r="C28" s="76" t="s">
        <v>30</v>
      </c>
      <c r="D28" s="76" t="s">
        <v>36</v>
      </c>
      <c r="E28" s="76" t="s">
        <v>92</v>
      </c>
      <c r="F28" s="76" t="s">
        <v>47</v>
      </c>
      <c r="G28" s="76" t="s">
        <v>34</v>
      </c>
      <c r="H28" s="76">
        <f>STOCK[[#This Row],[Precio Final]]</f>
        <v>22</v>
      </c>
      <c r="I28" s="76">
        <f>STOCK[[#This Row],[Precio Venta Ideal (x1.5)]]</f>
        <v>24.3949999999999</v>
      </c>
      <c r="J28" s="91">
        <v>1</v>
      </c>
      <c r="K28" s="91">
        <f>SUMIFS(VENTAS[Cantidad],VENTAS[Código del producto Vendido],STOCK[[#This Row],[Code]])</f>
        <v>1</v>
      </c>
      <c r="L28" s="91">
        <f>STOCK[[#This Row],[Entradas]]-STOCK[[#This Row],[Salidas]]</f>
        <v>0</v>
      </c>
      <c r="M28" s="76">
        <f>STOCK[[#This Row],[Precio Final]]*10%</f>
        <v>2.2</v>
      </c>
      <c r="N28" s="76">
        <v>195</v>
      </c>
      <c r="O28" s="76">
        <v>18</v>
      </c>
      <c r="P28" s="76">
        <v>10.8333333333333</v>
      </c>
      <c r="Q28" s="91">
        <v>190</v>
      </c>
      <c r="R28" s="76">
        <v>17</v>
      </c>
      <c r="S28" s="76">
        <f>STOCK[[#This Row],[Peso (g)]]*STOCK[[#This Row],[Precio Envío Kilogramo (USD)]]/1000</f>
        <v>3.23</v>
      </c>
      <c r="T28" s="76">
        <f>STOCK[[#This Row],[Costo Unitario (USD)]]+STOCK[[#This Row],[Costo Envío (USD)]]+STOCK[[#This Row],[Comisión 10%]]</f>
        <v>16.2633333333333</v>
      </c>
      <c r="U28" s="76">
        <f>STOCK[[#This Row],[Costo total]]*1.5</f>
        <v>24.3949999999999</v>
      </c>
      <c r="V28" s="76">
        <v>22</v>
      </c>
      <c r="W28" s="76">
        <f>STOCK[[#This Row],[Precio Final]]-STOCK[[#This Row],[Costo total]]</f>
        <v>5.7366666666667</v>
      </c>
      <c r="X28" s="76">
        <f>STOCK[[#This Row],[Ganancia Unitaria]]*STOCK[[#This Row],[Salidas]]</f>
        <v>5.7366666666667</v>
      </c>
      <c r="AA28" s="76">
        <f>STOCK[[#This Row],[Costo total]]*STOCK[[#This Row],[Entradas]]</f>
        <v>16.2633333333333</v>
      </c>
      <c r="AB28" s="76">
        <f>STOCK[[#This Row],[Stock Actual]]*STOCK[[#This Row],[Costo total]]</f>
        <v>0</v>
      </c>
    </row>
    <row r="29" s="77" customFormat="1" ht="50" customHeight="1" spans="1:28">
      <c r="A29" s="77" t="s">
        <v>93</v>
      </c>
      <c r="B29" s="6"/>
      <c r="C29" s="77" t="s">
        <v>30</v>
      </c>
      <c r="D29" s="77" t="s">
        <v>36</v>
      </c>
      <c r="E29" s="77" t="s">
        <v>94</v>
      </c>
      <c r="F29" s="77" t="s">
        <v>44</v>
      </c>
      <c r="G29" s="77" t="s">
        <v>34</v>
      </c>
      <c r="H29" s="77">
        <f>STOCK[[#This Row],[Precio Final]]</f>
        <v>25</v>
      </c>
      <c r="I29" s="77">
        <f>STOCK[[#This Row],[Precio Venta Ideal (x1.5)]]</f>
        <v>25.3891666666666</v>
      </c>
      <c r="J29" s="92">
        <v>1</v>
      </c>
      <c r="K29" s="92">
        <f>SUMIFS(VENTAS[Cantidad],VENTAS[Código del producto Vendido],STOCK[[#This Row],[Code]])</f>
        <v>1</v>
      </c>
      <c r="L29" s="92">
        <f>STOCK[[#This Row],[Entradas]]-STOCK[[#This Row],[Salidas]]</f>
        <v>0</v>
      </c>
      <c r="M29" s="77">
        <f>STOCK[[#This Row],[Precio Final]]*10%</f>
        <v>2.5</v>
      </c>
      <c r="N29" s="77">
        <v>200</v>
      </c>
      <c r="O29" s="77">
        <v>18</v>
      </c>
      <c r="P29" s="77">
        <v>11.1111111111111</v>
      </c>
      <c r="Q29" s="92">
        <v>195</v>
      </c>
      <c r="R29" s="77">
        <v>17</v>
      </c>
      <c r="S29" s="77">
        <f>STOCK[[#This Row],[Peso (g)]]*STOCK[[#This Row],[Precio Envío Kilogramo (USD)]]/1000</f>
        <v>3.315</v>
      </c>
      <c r="T29" s="76">
        <f>STOCK[[#This Row],[Costo Unitario (USD)]]+STOCK[[#This Row],[Costo Envío (USD)]]+STOCK[[#This Row],[Comisión 10%]]</f>
        <v>16.9261111111111</v>
      </c>
      <c r="U29" s="77">
        <f>STOCK[[#This Row],[Costo total]]*1.5</f>
        <v>25.3891666666666</v>
      </c>
      <c r="V29" s="77">
        <v>25</v>
      </c>
      <c r="W29" s="77">
        <f>STOCK[[#This Row],[Precio Final]]-STOCK[[#This Row],[Costo total]]</f>
        <v>8.0738888888889</v>
      </c>
      <c r="X29" s="77">
        <f>STOCK[[#This Row],[Ganancia Unitaria]]*STOCK[[#This Row],[Salidas]]</f>
        <v>8.0738888888889</v>
      </c>
      <c r="AA29" s="77">
        <f>STOCK[[#This Row],[Costo total]]*STOCK[[#This Row],[Entradas]]</f>
        <v>16.9261111111111</v>
      </c>
      <c r="AB29" s="77">
        <f>STOCK[[#This Row],[Stock Actual]]*STOCK[[#This Row],[Costo total]]</f>
        <v>0</v>
      </c>
    </row>
    <row r="30" s="76" customFormat="1" ht="50" customHeight="1" spans="1:28">
      <c r="A30" s="76" t="s">
        <v>95</v>
      </c>
      <c r="B30" s="6"/>
      <c r="C30" s="76" t="s">
        <v>30</v>
      </c>
      <c r="D30" s="76" t="s">
        <v>36</v>
      </c>
      <c r="E30" s="76" t="s">
        <v>96</v>
      </c>
      <c r="F30" s="76" t="s">
        <v>60</v>
      </c>
      <c r="G30" s="76" t="s">
        <v>34</v>
      </c>
      <c r="H30" s="76">
        <f>STOCK[[#This Row],[Precio Final]]</f>
        <v>25</v>
      </c>
      <c r="I30" s="76">
        <f>STOCK[[#This Row],[Precio Venta Ideal (x1.5)]]</f>
        <v>26.4433333333334</v>
      </c>
      <c r="J30" s="91">
        <v>1</v>
      </c>
      <c r="K30" s="91">
        <f>SUMIFS(VENTAS[Cantidad],VENTAS[Código del producto Vendido],STOCK[[#This Row],[Code]])</f>
        <v>1</v>
      </c>
      <c r="L30" s="91">
        <f>STOCK[[#This Row],[Entradas]]-STOCK[[#This Row],[Salidas]]</f>
        <v>0</v>
      </c>
      <c r="M30" s="76">
        <f>STOCK[[#This Row],[Precio Final]]*10%</f>
        <v>2.5</v>
      </c>
      <c r="N30" s="76">
        <v>205</v>
      </c>
      <c r="O30" s="76">
        <v>18</v>
      </c>
      <c r="P30" s="76">
        <v>11.3888888888889</v>
      </c>
      <c r="Q30" s="91">
        <v>220</v>
      </c>
      <c r="R30" s="76">
        <v>17</v>
      </c>
      <c r="S30" s="76">
        <f>STOCK[[#This Row],[Peso (g)]]*STOCK[[#This Row],[Precio Envío Kilogramo (USD)]]/1000</f>
        <v>3.74</v>
      </c>
      <c r="T30" s="76">
        <f>STOCK[[#This Row],[Costo Unitario (USD)]]+STOCK[[#This Row],[Costo Envío (USD)]]+STOCK[[#This Row],[Comisión 10%]]</f>
        <v>17.6288888888889</v>
      </c>
      <c r="U30" s="76">
        <f>STOCK[[#This Row],[Costo total]]*1.5</f>
        <v>26.4433333333334</v>
      </c>
      <c r="V30" s="76">
        <v>25</v>
      </c>
      <c r="W30" s="76">
        <f>STOCK[[#This Row],[Precio Final]]-STOCK[[#This Row],[Costo total]]</f>
        <v>7.3711111111111</v>
      </c>
      <c r="X30" s="76">
        <f>STOCK[[#This Row],[Ganancia Unitaria]]*STOCK[[#This Row],[Salidas]]</f>
        <v>7.3711111111111</v>
      </c>
      <c r="AA30" s="76">
        <f>STOCK[[#This Row],[Costo total]]*STOCK[[#This Row],[Entradas]]</f>
        <v>17.6288888888889</v>
      </c>
      <c r="AB30" s="76">
        <f>STOCK[[#This Row],[Stock Actual]]*STOCK[[#This Row],[Costo total]]</f>
        <v>0</v>
      </c>
    </row>
    <row r="31" s="77" customFormat="1" ht="50" customHeight="1" spans="1:28">
      <c r="A31" s="77" t="s">
        <v>97</v>
      </c>
      <c r="B31" s="6"/>
      <c r="C31" s="77" t="s">
        <v>30</v>
      </c>
      <c r="D31" s="77" t="s">
        <v>36</v>
      </c>
      <c r="E31" s="77" t="s">
        <v>98</v>
      </c>
      <c r="F31" s="77" t="s">
        <v>47</v>
      </c>
      <c r="G31" s="77" t="s">
        <v>34</v>
      </c>
      <c r="H31" s="77">
        <f>STOCK[[#This Row],[Precio Final]]</f>
        <v>25</v>
      </c>
      <c r="I31" s="77">
        <f>STOCK[[#This Row],[Precio Venta Ideal (x1.5)]]</f>
        <v>27.7183333333333</v>
      </c>
      <c r="J31" s="92">
        <v>3</v>
      </c>
      <c r="K31" s="92">
        <f>SUMIFS(VENTAS[Cantidad],VENTAS[Código del producto Vendido],STOCK[[#This Row],[Code]])</f>
        <v>3</v>
      </c>
      <c r="L31" s="92">
        <f>STOCK[[#This Row],[Entradas]]-STOCK[[#This Row],[Salidas]]</f>
        <v>0</v>
      </c>
      <c r="M31" s="77">
        <f>STOCK[[#This Row],[Precio Final]]*10%</f>
        <v>2.5</v>
      </c>
      <c r="N31" s="77">
        <v>205</v>
      </c>
      <c r="O31" s="77">
        <v>18</v>
      </c>
      <c r="P31" s="77">
        <v>11.3888888888889</v>
      </c>
      <c r="Q31" s="92">
        <v>270</v>
      </c>
      <c r="R31" s="77">
        <v>17</v>
      </c>
      <c r="S31" s="77">
        <f>STOCK[[#This Row],[Peso (g)]]*STOCK[[#This Row],[Precio Envío Kilogramo (USD)]]/1000</f>
        <v>4.59</v>
      </c>
      <c r="T31" s="76">
        <f>STOCK[[#This Row],[Costo Unitario (USD)]]+STOCK[[#This Row],[Costo Envío (USD)]]+STOCK[[#This Row],[Comisión 10%]]</f>
        <v>18.4788888888889</v>
      </c>
      <c r="U31" s="77">
        <f>STOCK[[#This Row],[Costo total]]*1.5</f>
        <v>27.7183333333333</v>
      </c>
      <c r="V31" s="77">
        <v>25</v>
      </c>
      <c r="W31" s="77">
        <f>STOCK[[#This Row],[Precio Final]]-STOCK[[#This Row],[Costo total]]</f>
        <v>6.5211111111111</v>
      </c>
      <c r="X31" s="77">
        <f>STOCK[[#This Row],[Ganancia Unitaria]]*STOCK[[#This Row],[Salidas]]</f>
        <v>19.5633333333333</v>
      </c>
      <c r="AA31" s="77">
        <f>STOCK[[#This Row],[Costo total]]*STOCK[[#This Row],[Entradas]]</f>
        <v>55.4366666666667</v>
      </c>
      <c r="AB31" s="77">
        <f>STOCK[[#This Row],[Stock Actual]]*STOCK[[#This Row],[Costo total]]</f>
        <v>0</v>
      </c>
    </row>
    <row r="32" s="76" customFormat="1" ht="50" customHeight="1" spans="1:28">
      <c r="A32" s="76" t="s">
        <v>99</v>
      </c>
      <c r="B32" s="6"/>
      <c r="C32" s="76" t="s">
        <v>30</v>
      </c>
      <c r="D32" s="76" t="s">
        <v>36</v>
      </c>
      <c r="E32" s="76" t="s">
        <v>98</v>
      </c>
      <c r="F32" s="76" t="s">
        <v>44</v>
      </c>
      <c r="G32" s="76" t="s">
        <v>34</v>
      </c>
      <c r="H32" s="76">
        <f>STOCK[[#This Row],[Precio Final]]</f>
        <v>25</v>
      </c>
      <c r="I32" s="76">
        <f>STOCK[[#This Row],[Precio Venta Ideal (x1.5)]]</f>
        <v>27.7183333333333</v>
      </c>
      <c r="J32" s="91">
        <v>1</v>
      </c>
      <c r="K32" s="91">
        <f>SUMIFS(VENTAS[Cantidad],VENTAS[Código del producto Vendido],STOCK[[#This Row],[Code]])</f>
        <v>1</v>
      </c>
      <c r="L32" s="91">
        <f>STOCK[[#This Row],[Entradas]]-STOCK[[#This Row],[Salidas]]</f>
        <v>0</v>
      </c>
      <c r="M32" s="76">
        <f>STOCK[[#This Row],[Precio Final]]*10%</f>
        <v>2.5</v>
      </c>
      <c r="N32" s="76">
        <v>205</v>
      </c>
      <c r="O32" s="76">
        <v>18</v>
      </c>
      <c r="P32" s="76">
        <v>11.3888888888889</v>
      </c>
      <c r="Q32" s="91">
        <v>270</v>
      </c>
      <c r="R32" s="76">
        <v>17</v>
      </c>
      <c r="S32" s="76">
        <f>STOCK[[#This Row],[Peso (g)]]*STOCK[[#This Row],[Precio Envío Kilogramo (USD)]]/1000</f>
        <v>4.59</v>
      </c>
      <c r="T32" s="76">
        <f>STOCK[[#This Row],[Costo Unitario (USD)]]+STOCK[[#This Row],[Costo Envío (USD)]]+STOCK[[#This Row],[Comisión 10%]]</f>
        <v>18.4788888888889</v>
      </c>
      <c r="U32" s="76">
        <f>STOCK[[#This Row],[Costo total]]*1.5</f>
        <v>27.7183333333333</v>
      </c>
      <c r="V32" s="76">
        <v>25</v>
      </c>
      <c r="W32" s="76">
        <f>STOCK[[#This Row],[Precio Final]]-STOCK[[#This Row],[Costo total]]</f>
        <v>6.5211111111111</v>
      </c>
      <c r="X32" s="76">
        <f>STOCK[[#This Row],[Ganancia Unitaria]]*STOCK[[#This Row],[Salidas]]</f>
        <v>6.5211111111111</v>
      </c>
      <c r="AA32" s="76">
        <f>STOCK[[#This Row],[Costo total]]*STOCK[[#This Row],[Entradas]]</f>
        <v>18.4788888888889</v>
      </c>
      <c r="AB32" s="76">
        <f>STOCK[[#This Row],[Stock Actual]]*STOCK[[#This Row],[Costo total]]</f>
        <v>0</v>
      </c>
    </row>
    <row r="33" s="77" customFormat="1" ht="50" customHeight="1" spans="1:28">
      <c r="A33" s="77" t="s">
        <v>100</v>
      </c>
      <c r="B33" s="6"/>
      <c r="C33" s="77" t="s">
        <v>30</v>
      </c>
      <c r="D33" s="77" t="s">
        <v>101</v>
      </c>
      <c r="E33" s="77" t="s">
        <v>76</v>
      </c>
      <c r="F33" s="77" t="s">
        <v>86</v>
      </c>
      <c r="G33" s="77" t="s">
        <v>34</v>
      </c>
      <c r="H33" s="77">
        <f>STOCK[[#This Row],[Precio Final]]</f>
        <v>15</v>
      </c>
      <c r="I33" s="77">
        <f>STOCK[[#This Row],[Precio Venta Ideal (x1.5)]]</f>
        <v>16.9283333333333</v>
      </c>
      <c r="J33" s="92">
        <v>4</v>
      </c>
      <c r="K33" s="92">
        <f>SUMIFS(VENTAS[Cantidad],VENTAS[Código del producto Vendido],STOCK[[#This Row],[Code]])</f>
        <v>4</v>
      </c>
      <c r="L33" s="92">
        <f>STOCK[[#This Row],[Entradas]]-STOCK[[#This Row],[Salidas]]</f>
        <v>0</v>
      </c>
      <c r="M33" s="77">
        <f>STOCK[[#This Row],[Precio Final]]*10%</f>
        <v>1.5</v>
      </c>
      <c r="N33" s="77">
        <v>118</v>
      </c>
      <c r="O33" s="77">
        <v>18</v>
      </c>
      <c r="P33" s="77">
        <v>6.55555555555556</v>
      </c>
      <c r="Q33" s="92">
        <v>190</v>
      </c>
      <c r="R33" s="77">
        <v>17</v>
      </c>
      <c r="S33" s="77">
        <f>STOCK[[#This Row],[Peso (g)]]*STOCK[[#This Row],[Precio Envío Kilogramo (USD)]]/1000</f>
        <v>3.23</v>
      </c>
      <c r="T33" s="76">
        <f>STOCK[[#This Row],[Costo Unitario (USD)]]+STOCK[[#This Row],[Costo Envío (USD)]]+STOCK[[#This Row],[Comisión 10%]]</f>
        <v>11.2855555555556</v>
      </c>
      <c r="U33" s="77">
        <f>STOCK[[#This Row],[Costo total]]*1.5</f>
        <v>16.9283333333333</v>
      </c>
      <c r="V33" s="77">
        <v>15</v>
      </c>
      <c r="W33" s="77">
        <f>STOCK[[#This Row],[Precio Final]]-STOCK[[#This Row],[Costo total]]</f>
        <v>3.71444444444444</v>
      </c>
      <c r="X33" s="77">
        <f>STOCK[[#This Row],[Ganancia Unitaria]]*STOCK[[#This Row],[Salidas]]</f>
        <v>14.8577777777778</v>
      </c>
      <c r="AA33" s="77">
        <f>STOCK[[#This Row],[Costo total]]*STOCK[[#This Row],[Entradas]]</f>
        <v>45.1422222222222</v>
      </c>
      <c r="AB33" s="77">
        <f>STOCK[[#This Row],[Stock Actual]]*STOCK[[#This Row],[Costo total]]</f>
        <v>0</v>
      </c>
    </row>
    <row r="34" s="76" customFormat="1" ht="50" customHeight="1" spans="1:28">
      <c r="A34" s="76" t="s">
        <v>102</v>
      </c>
      <c r="B34" s="6"/>
      <c r="C34" s="76" t="s">
        <v>30</v>
      </c>
      <c r="D34" s="76" t="s">
        <v>36</v>
      </c>
      <c r="E34" s="76" t="s">
        <v>103</v>
      </c>
      <c r="F34" s="76" t="s">
        <v>47</v>
      </c>
      <c r="G34" s="76" t="s">
        <v>34</v>
      </c>
      <c r="H34" s="76">
        <f>STOCK[[#This Row],[Precio Final]]</f>
        <v>22</v>
      </c>
      <c r="I34" s="76">
        <f>STOCK[[#This Row],[Precio Venta Ideal (x1.5)]]</f>
        <v>25.5425</v>
      </c>
      <c r="J34" s="91">
        <v>1</v>
      </c>
      <c r="K34" s="91">
        <f>SUMIFS(VENTAS[Cantidad],VENTAS[Código del producto Vendido],STOCK[[#This Row],[Code]])</f>
        <v>1</v>
      </c>
      <c r="L34" s="91">
        <f>STOCK[[#This Row],[Entradas]]-STOCK[[#This Row],[Salidas]]</f>
        <v>0</v>
      </c>
      <c r="M34" s="76">
        <f>STOCK[[#This Row],[Precio Final]]*10%</f>
        <v>2.2</v>
      </c>
      <c r="N34" s="76">
        <v>195</v>
      </c>
      <c r="O34" s="76">
        <v>18</v>
      </c>
      <c r="P34" s="76">
        <v>10.8333333333333</v>
      </c>
      <c r="Q34" s="91">
        <v>235</v>
      </c>
      <c r="R34" s="76">
        <v>17</v>
      </c>
      <c r="S34" s="76">
        <f>STOCK[[#This Row],[Peso (g)]]*STOCK[[#This Row],[Precio Envío Kilogramo (USD)]]/1000</f>
        <v>3.995</v>
      </c>
      <c r="T34" s="76">
        <f>STOCK[[#This Row],[Costo Unitario (USD)]]+STOCK[[#This Row],[Costo Envío (USD)]]+STOCK[[#This Row],[Comisión 10%]]</f>
        <v>17.0283333333333</v>
      </c>
      <c r="U34" s="76">
        <f>STOCK[[#This Row],[Costo total]]*1.5</f>
        <v>25.5425</v>
      </c>
      <c r="V34" s="76">
        <v>22</v>
      </c>
      <c r="W34" s="76">
        <f>STOCK[[#This Row],[Precio Final]]-STOCK[[#This Row],[Costo total]]</f>
        <v>4.9716666666667</v>
      </c>
      <c r="X34" s="76">
        <f>STOCK[[#This Row],[Ganancia Unitaria]]*STOCK[[#This Row],[Salidas]]</f>
        <v>4.9716666666667</v>
      </c>
      <c r="AA34" s="76">
        <f>STOCK[[#This Row],[Costo total]]*STOCK[[#This Row],[Entradas]]</f>
        <v>17.0283333333333</v>
      </c>
      <c r="AB34" s="76">
        <f>STOCK[[#This Row],[Stock Actual]]*STOCK[[#This Row],[Costo total]]</f>
        <v>0</v>
      </c>
    </row>
    <row r="35" s="77" customFormat="1" ht="50" customHeight="1" spans="1:28">
      <c r="A35" s="77" t="s">
        <v>104</v>
      </c>
      <c r="B35" s="6"/>
      <c r="C35" s="77" t="s">
        <v>30</v>
      </c>
      <c r="D35" s="77" t="s">
        <v>36</v>
      </c>
      <c r="E35" s="77" t="s">
        <v>67</v>
      </c>
      <c r="F35" s="77" t="s">
        <v>47</v>
      </c>
      <c r="G35" s="77" t="s">
        <v>34</v>
      </c>
      <c r="H35" s="77">
        <f>STOCK[[#This Row],[Precio Final]]</f>
        <v>18</v>
      </c>
      <c r="I35" s="77">
        <f>STOCK[[#This Row],[Precio Venta Ideal (x1.5)]]</f>
        <v>21.3291666666667</v>
      </c>
      <c r="J35" s="92">
        <v>1</v>
      </c>
      <c r="K35" s="92">
        <f>SUMIFS(VENTAS[Cantidad],VENTAS[Código del producto Vendido],STOCK[[#This Row],[Code]])</f>
        <v>1</v>
      </c>
      <c r="L35" s="92">
        <f>STOCK[[#This Row],[Entradas]]-STOCK[[#This Row],[Salidas]]</f>
        <v>0</v>
      </c>
      <c r="M35" s="77">
        <f>STOCK[[#This Row],[Precio Final]]*10%</f>
        <v>1.8</v>
      </c>
      <c r="N35" s="77">
        <v>170</v>
      </c>
      <c r="O35" s="77">
        <v>18</v>
      </c>
      <c r="P35" s="77">
        <v>9.44444444444444</v>
      </c>
      <c r="Q35" s="92">
        <v>175</v>
      </c>
      <c r="R35" s="77">
        <v>17</v>
      </c>
      <c r="S35" s="77">
        <f>STOCK[[#This Row],[Peso (g)]]*STOCK[[#This Row],[Precio Envío Kilogramo (USD)]]/1000</f>
        <v>2.975</v>
      </c>
      <c r="T35" s="76">
        <f>STOCK[[#This Row],[Costo Unitario (USD)]]+STOCK[[#This Row],[Costo Envío (USD)]]+STOCK[[#This Row],[Comisión 10%]]</f>
        <v>14.2194444444444</v>
      </c>
      <c r="U35" s="77">
        <f>STOCK[[#This Row],[Costo total]]*1.5</f>
        <v>21.3291666666667</v>
      </c>
      <c r="V35" s="77">
        <v>18</v>
      </c>
      <c r="W35" s="77">
        <f>STOCK[[#This Row],[Precio Final]]-STOCK[[#This Row],[Costo total]]</f>
        <v>3.78055555555556</v>
      </c>
      <c r="X35" s="77">
        <f>STOCK[[#This Row],[Ganancia Unitaria]]*STOCK[[#This Row],[Salidas]]</f>
        <v>3.78055555555556</v>
      </c>
      <c r="AA35" s="77">
        <f>STOCK[[#This Row],[Costo total]]*STOCK[[#This Row],[Entradas]]</f>
        <v>14.2194444444444</v>
      </c>
      <c r="AB35" s="77">
        <f>STOCK[[#This Row],[Stock Actual]]*STOCK[[#This Row],[Costo total]]</f>
        <v>0</v>
      </c>
    </row>
    <row r="36" s="76" customFormat="1" ht="50" customHeight="1" spans="1:29">
      <c r="A36" s="76" t="s">
        <v>105</v>
      </c>
      <c r="B36" s="6"/>
      <c r="C36" s="76" t="s">
        <v>30</v>
      </c>
      <c r="D36" s="76" t="s">
        <v>31</v>
      </c>
      <c r="E36" s="76" t="s">
        <v>106</v>
      </c>
      <c r="F36" s="76" t="s">
        <v>38</v>
      </c>
      <c r="G36" s="76" t="s">
        <v>34</v>
      </c>
      <c r="H36" s="76">
        <f>STOCK[[#This Row],[Precio Final]]</f>
        <v>20</v>
      </c>
      <c r="I36" s="76">
        <f>STOCK[[#This Row],[Precio Venta Ideal (x1.5)]]</f>
        <v>21.6291666666667</v>
      </c>
      <c r="J36" s="91">
        <v>2</v>
      </c>
      <c r="K36" s="91">
        <f>SUMIFS(VENTAS[Cantidad],VENTAS[Código del producto Vendido],STOCK[[#This Row],[Code]])</f>
        <v>1</v>
      </c>
      <c r="L36" s="91">
        <f>STOCK[[#This Row],[Entradas]]-STOCK[[#This Row],[Salidas]]</f>
        <v>1</v>
      </c>
      <c r="M36" s="76">
        <f>STOCK[[#This Row],[Precio Final]]*10%</f>
        <v>2</v>
      </c>
      <c r="N36" s="76">
        <v>170</v>
      </c>
      <c r="O36" s="76">
        <v>18</v>
      </c>
      <c r="P36" s="76">
        <v>9.44444444444444</v>
      </c>
      <c r="Q36" s="91">
        <v>175</v>
      </c>
      <c r="R36" s="76">
        <v>17</v>
      </c>
      <c r="S36" s="76">
        <f>STOCK[[#This Row],[Peso (g)]]*STOCK[[#This Row],[Precio Envío Kilogramo (USD)]]/1000</f>
        <v>2.975</v>
      </c>
      <c r="T36" s="76">
        <f>STOCK[[#This Row],[Costo Unitario (USD)]]+STOCK[[#This Row],[Costo Envío (USD)]]+STOCK[[#This Row],[Comisión 10%]]</f>
        <v>14.4194444444444</v>
      </c>
      <c r="U36" s="76">
        <f>STOCK[[#This Row],[Costo total]]*1.5</f>
        <v>21.6291666666667</v>
      </c>
      <c r="V36" s="76">
        <v>20</v>
      </c>
      <c r="W36" s="76">
        <f>STOCK[[#This Row],[Precio Final]]-STOCK[[#This Row],[Costo total]]</f>
        <v>5.58055555555556</v>
      </c>
      <c r="X36" s="76">
        <f>STOCK[[#This Row],[Ganancia Unitaria]]*STOCK[[#This Row],[Salidas]]</f>
        <v>5.58055555555556</v>
      </c>
      <c r="AA36" s="76">
        <f>STOCK[[#This Row],[Costo total]]*STOCK[[#This Row],[Entradas]]</f>
        <v>28.8388888888889</v>
      </c>
      <c r="AB36" s="76">
        <f>STOCK[[#This Row],[Stock Actual]]*STOCK[[#This Row],[Costo total]]</f>
        <v>14.4194444444444</v>
      </c>
      <c r="AC36" s="76">
        <v>18</v>
      </c>
    </row>
    <row r="37" s="77" customFormat="1" ht="50" customHeight="1" spans="1:28">
      <c r="A37" s="77" t="s">
        <v>107</v>
      </c>
      <c r="B37" s="6"/>
      <c r="C37" s="77" t="s">
        <v>30</v>
      </c>
      <c r="D37" s="77" t="s">
        <v>36</v>
      </c>
      <c r="E37" s="77" t="s">
        <v>108</v>
      </c>
      <c r="F37" s="77" t="s">
        <v>60</v>
      </c>
      <c r="G37" s="77" t="s">
        <v>34</v>
      </c>
      <c r="H37" s="77">
        <f>STOCK[[#This Row],[Precio Final]]</f>
        <v>25</v>
      </c>
      <c r="I37" s="77">
        <f>STOCK[[#This Row],[Precio Venta Ideal (x1.5)]]</f>
        <v>31.4683333333333</v>
      </c>
      <c r="J37" s="92">
        <v>1</v>
      </c>
      <c r="K37" s="92">
        <f>SUMIFS(VENTAS[Cantidad],VENTAS[Código del producto Vendido],STOCK[[#This Row],[Code]])</f>
        <v>1</v>
      </c>
      <c r="L37" s="92">
        <f>STOCK[[#This Row],[Entradas]]-STOCK[[#This Row],[Salidas]]</f>
        <v>0</v>
      </c>
      <c r="M37" s="77">
        <f>STOCK[[#This Row],[Precio Final]]*10%</f>
        <v>2.5</v>
      </c>
      <c r="N37" s="77">
        <v>250</v>
      </c>
      <c r="O37" s="77">
        <v>18</v>
      </c>
      <c r="P37" s="77">
        <v>13.8888888888889</v>
      </c>
      <c r="Q37" s="92">
        <v>270</v>
      </c>
      <c r="R37" s="77">
        <v>17</v>
      </c>
      <c r="S37" s="77">
        <f>STOCK[[#This Row],[Peso (g)]]*STOCK[[#This Row],[Precio Envío Kilogramo (USD)]]/1000</f>
        <v>4.59</v>
      </c>
      <c r="T37" s="76">
        <f>STOCK[[#This Row],[Costo Unitario (USD)]]+STOCK[[#This Row],[Costo Envío (USD)]]+STOCK[[#This Row],[Comisión 10%]]</f>
        <v>20.9788888888889</v>
      </c>
      <c r="U37" s="77">
        <f>STOCK[[#This Row],[Costo total]]*1.5</f>
        <v>31.4683333333333</v>
      </c>
      <c r="V37" s="77">
        <v>25</v>
      </c>
      <c r="W37" s="77">
        <f>STOCK[[#This Row],[Precio Final]]-STOCK[[#This Row],[Costo total]]</f>
        <v>4.0211111111111</v>
      </c>
      <c r="X37" s="77">
        <f>STOCK[[#This Row],[Ganancia Unitaria]]*STOCK[[#This Row],[Salidas]]</f>
        <v>4.0211111111111</v>
      </c>
      <c r="AA37" s="77">
        <f>STOCK[[#This Row],[Costo total]]*STOCK[[#This Row],[Entradas]]</f>
        <v>20.9788888888889</v>
      </c>
      <c r="AB37" s="77">
        <f>STOCK[[#This Row],[Stock Actual]]*STOCK[[#This Row],[Costo total]]</f>
        <v>0</v>
      </c>
    </row>
    <row r="38" s="76" customFormat="1" ht="50" customHeight="1" spans="1:28">
      <c r="A38" s="76" t="s">
        <v>109</v>
      </c>
      <c r="B38" s="6"/>
      <c r="C38" s="76" t="s">
        <v>30</v>
      </c>
      <c r="D38" s="76" t="s">
        <v>80</v>
      </c>
      <c r="E38" s="76" t="s">
        <v>110</v>
      </c>
      <c r="F38" s="76" t="s">
        <v>81</v>
      </c>
      <c r="G38" s="76" t="s">
        <v>34</v>
      </c>
      <c r="H38" s="76">
        <f>STOCK[[#This Row],[Precio Final]]</f>
        <v>25</v>
      </c>
      <c r="I38" s="76">
        <f>STOCK[[#This Row],[Precio Venta Ideal (x1.5)]]</f>
        <v>32.4883333333334</v>
      </c>
      <c r="J38" s="91">
        <v>2</v>
      </c>
      <c r="K38" s="91">
        <f>SUMIFS(VENTAS[Cantidad],VENTAS[Código del producto Vendido],STOCK[[#This Row],[Code]])</f>
        <v>2</v>
      </c>
      <c r="L38" s="91">
        <f>STOCK[[#This Row],[Entradas]]-STOCK[[#This Row],[Salidas]]</f>
        <v>0</v>
      </c>
      <c r="M38" s="76">
        <f>STOCK[[#This Row],[Precio Final]]*10%</f>
        <v>2.5</v>
      </c>
      <c r="N38" s="76">
        <v>250</v>
      </c>
      <c r="O38" s="76">
        <v>18</v>
      </c>
      <c r="P38" s="76">
        <v>13.8888888888889</v>
      </c>
      <c r="Q38" s="91">
        <v>310</v>
      </c>
      <c r="R38" s="76">
        <v>17</v>
      </c>
      <c r="S38" s="76">
        <f>STOCK[[#This Row],[Peso (g)]]*STOCK[[#This Row],[Precio Envío Kilogramo (USD)]]/1000</f>
        <v>5.27</v>
      </c>
      <c r="T38" s="76">
        <f>STOCK[[#This Row],[Costo Unitario (USD)]]+STOCK[[#This Row],[Costo Envío (USD)]]+STOCK[[#This Row],[Comisión 10%]]</f>
        <v>21.6588888888889</v>
      </c>
      <c r="U38" s="76">
        <f>STOCK[[#This Row],[Costo total]]*1.5</f>
        <v>32.4883333333334</v>
      </c>
      <c r="V38" s="76">
        <v>25</v>
      </c>
      <c r="W38" s="76">
        <f>STOCK[[#This Row],[Precio Final]]-STOCK[[#This Row],[Costo total]]</f>
        <v>3.3411111111111</v>
      </c>
      <c r="X38" s="76">
        <f>STOCK[[#This Row],[Ganancia Unitaria]]*STOCK[[#This Row],[Salidas]]</f>
        <v>6.6822222222222</v>
      </c>
      <c r="AA38" s="76">
        <f>STOCK[[#This Row],[Costo total]]*STOCK[[#This Row],[Entradas]]</f>
        <v>43.3177777777778</v>
      </c>
      <c r="AB38" s="76">
        <f>STOCK[[#This Row],[Stock Actual]]*STOCK[[#This Row],[Costo total]]</f>
        <v>0</v>
      </c>
    </row>
    <row r="39" s="77" customFormat="1" ht="50" customHeight="1" spans="1:28">
      <c r="A39" s="77" t="s">
        <v>111</v>
      </c>
      <c r="B39" s="6"/>
      <c r="C39" s="77" t="s">
        <v>30</v>
      </c>
      <c r="D39" s="77" t="s">
        <v>36</v>
      </c>
      <c r="E39" s="77" t="s">
        <v>37</v>
      </c>
      <c r="F39" s="77" t="s">
        <v>60</v>
      </c>
      <c r="G39" s="77" t="s">
        <v>34</v>
      </c>
      <c r="H39" s="77">
        <f>STOCK[[#This Row],[Precio Final]]</f>
        <v>28</v>
      </c>
      <c r="I39" s="77">
        <f>STOCK[[#This Row],[Precio Venta Ideal (x1.5)]]</f>
        <v>32.3008333333334</v>
      </c>
      <c r="J39" s="92">
        <v>1</v>
      </c>
      <c r="K39" s="92">
        <f>SUMIFS(VENTAS[Cantidad],VENTAS[Código del producto Vendido],STOCK[[#This Row],[Code]])</f>
        <v>1</v>
      </c>
      <c r="L39" s="92">
        <f>STOCK[[#This Row],[Entradas]]-STOCK[[#This Row],[Salidas]]</f>
        <v>0</v>
      </c>
      <c r="M39" s="77">
        <f>STOCK[[#This Row],[Precio Final]]*10%</f>
        <v>2.8</v>
      </c>
      <c r="N39" s="77">
        <v>250</v>
      </c>
      <c r="O39" s="77">
        <v>18</v>
      </c>
      <c r="P39" s="77">
        <v>13.8888888888889</v>
      </c>
      <c r="Q39" s="92">
        <v>285</v>
      </c>
      <c r="R39" s="77">
        <v>17</v>
      </c>
      <c r="S39" s="77">
        <f>STOCK[[#This Row],[Peso (g)]]*STOCK[[#This Row],[Precio Envío Kilogramo (USD)]]/1000</f>
        <v>4.845</v>
      </c>
      <c r="T39" s="76">
        <f>STOCK[[#This Row],[Costo Unitario (USD)]]+STOCK[[#This Row],[Costo Envío (USD)]]+STOCK[[#This Row],[Comisión 10%]]</f>
        <v>21.5338888888889</v>
      </c>
      <c r="U39" s="77">
        <f>STOCK[[#This Row],[Costo total]]*1.5</f>
        <v>32.3008333333334</v>
      </c>
      <c r="V39" s="77">
        <v>28</v>
      </c>
      <c r="W39" s="77">
        <f>STOCK[[#This Row],[Precio Final]]-STOCK[[#This Row],[Costo total]]</f>
        <v>6.4661111111111</v>
      </c>
      <c r="X39" s="77">
        <f>STOCK[[#This Row],[Ganancia Unitaria]]*STOCK[[#This Row],[Salidas]]</f>
        <v>6.4661111111111</v>
      </c>
      <c r="AA39" s="77">
        <f>STOCK[[#This Row],[Costo total]]*STOCK[[#This Row],[Entradas]]</f>
        <v>21.5338888888889</v>
      </c>
      <c r="AB39" s="77">
        <f>STOCK[[#This Row],[Stock Actual]]*STOCK[[#This Row],[Costo total]]</f>
        <v>0</v>
      </c>
    </row>
    <row r="40" s="76" customFormat="1" ht="50" customHeight="1" spans="1:28">
      <c r="A40" s="76" t="s">
        <v>112</v>
      </c>
      <c r="B40" s="6"/>
      <c r="C40" s="76" t="s">
        <v>30</v>
      </c>
      <c r="D40" s="76" t="s">
        <v>36</v>
      </c>
      <c r="E40" s="76" t="s">
        <v>113</v>
      </c>
      <c r="F40" s="76" t="s">
        <v>47</v>
      </c>
      <c r="G40" s="76" t="s">
        <v>34</v>
      </c>
      <c r="H40" s="76">
        <f>STOCK[[#This Row],[Precio Final]]</f>
        <v>25</v>
      </c>
      <c r="I40" s="76">
        <f>STOCK[[#This Row],[Precio Venta Ideal (x1.5)]]</f>
        <v>24.8108333333334</v>
      </c>
      <c r="J40" s="91">
        <v>1</v>
      </c>
      <c r="K40" s="91">
        <f>SUMIFS(VENTAS[Cantidad],VENTAS[Código del producto Vendido],STOCK[[#This Row],[Code]])</f>
        <v>1</v>
      </c>
      <c r="L40" s="91">
        <f>STOCK[[#This Row],[Entradas]]-STOCK[[#This Row],[Salidas]]</f>
        <v>0</v>
      </c>
      <c r="M40" s="76">
        <f>STOCK[[#This Row],[Precio Final]]*10%</f>
        <v>2.5</v>
      </c>
      <c r="N40" s="76">
        <v>190</v>
      </c>
      <c r="O40" s="76">
        <v>18</v>
      </c>
      <c r="P40" s="76">
        <v>10.5555555555556</v>
      </c>
      <c r="Q40" s="91">
        <v>205</v>
      </c>
      <c r="R40" s="76">
        <v>17</v>
      </c>
      <c r="S40" s="76">
        <f>STOCK[[#This Row],[Peso (g)]]*STOCK[[#This Row],[Precio Envío Kilogramo (USD)]]/1000</f>
        <v>3.485</v>
      </c>
      <c r="T40" s="76">
        <f>STOCK[[#This Row],[Costo Unitario (USD)]]+STOCK[[#This Row],[Costo Envío (USD)]]+STOCK[[#This Row],[Comisión 10%]]</f>
        <v>16.5405555555556</v>
      </c>
      <c r="U40" s="76">
        <f>STOCK[[#This Row],[Costo total]]*1.5</f>
        <v>24.8108333333334</v>
      </c>
      <c r="V40" s="76">
        <v>25</v>
      </c>
      <c r="W40" s="76">
        <f>STOCK[[#This Row],[Precio Final]]-STOCK[[#This Row],[Costo total]]</f>
        <v>8.4594444444444</v>
      </c>
      <c r="X40" s="76">
        <f>STOCK[[#This Row],[Ganancia Unitaria]]*STOCK[[#This Row],[Salidas]]</f>
        <v>8.4594444444444</v>
      </c>
      <c r="AA40" s="76">
        <f>STOCK[[#This Row],[Costo total]]*STOCK[[#This Row],[Entradas]]</f>
        <v>16.5405555555556</v>
      </c>
      <c r="AB40" s="76">
        <f>STOCK[[#This Row],[Stock Actual]]*STOCK[[#This Row],[Costo total]]</f>
        <v>0</v>
      </c>
    </row>
    <row r="41" s="77" customFormat="1" ht="50" customHeight="1" spans="1:28">
      <c r="A41" s="77" t="s">
        <v>114</v>
      </c>
      <c r="B41" s="6"/>
      <c r="C41" s="77" t="s">
        <v>30</v>
      </c>
      <c r="D41" s="77" t="s">
        <v>36</v>
      </c>
      <c r="E41" s="77" t="s">
        <v>78</v>
      </c>
      <c r="F41" s="77" t="s">
        <v>47</v>
      </c>
      <c r="G41" s="77" t="s">
        <v>34</v>
      </c>
      <c r="H41" s="77">
        <f>STOCK[[#This Row],[Precio Final]]</f>
        <v>22</v>
      </c>
      <c r="I41" s="77">
        <f>STOCK[[#This Row],[Precio Venta Ideal (x1.5)]]</f>
        <v>25.1258333333334</v>
      </c>
      <c r="J41" s="92">
        <v>1</v>
      </c>
      <c r="K41" s="92">
        <f>SUMIFS(VENTAS[Cantidad],VENTAS[Código del producto Vendido],STOCK[[#This Row],[Code]])</f>
        <v>1</v>
      </c>
      <c r="L41" s="92">
        <f>STOCK[[#This Row],[Entradas]]-STOCK[[#This Row],[Salidas]]</f>
        <v>0</v>
      </c>
      <c r="M41" s="77">
        <f>STOCK[[#This Row],[Precio Final]]*10%</f>
        <v>2.2</v>
      </c>
      <c r="N41" s="77">
        <v>190</v>
      </c>
      <c r="O41" s="77">
        <v>18</v>
      </c>
      <c r="P41" s="77">
        <v>10.5555555555556</v>
      </c>
      <c r="Q41" s="92">
        <v>235</v>
      </c>
      <c r="R41" s="77">
        <v>17</v>
      </c>
      <c r="S41" s="77">
        <f>STOCK[[#This Row],[Peso (g)]]*STOCK[[#This Row],[Precio Envío Kilogramo (USD)]]/1000</f>
        <v>3.995</v>
      </c>
      <c r="T41" s="76">
        <f>STOCK[[#This Row],[Costo Unitario (USD)]]+STOCK[[#This Row],[Costo Envío (USD)]]+STOCK[[#This Row],[Comisión 10%]]</f>
        <v>16.7505555555556</v>
      </c>
      <c r="U41" s="77">
        <f>STOCK[[#This Row],[Costo total]]*1.5</f>
        <v>25.1258333333334</v>
      </c>
      <c r="V41" s="77">
        <v>22</v>
      </c>
      <c r="W41" s="77">
        <f>STOCK[[#This Row],[Precio Final]]-STOCK[[#This Row],[Costo total]]</f>
        <v>5.2494444444444</v>
      </c>
      <c r="X41" s="77">
        <f>STOCK[[#This Row],[Ganancia Unitaria]]*STOCK[[#This Row],[Salidas]]</f>
        <v>5.2494444444444</v>
      </c>
      <c r="AA41" s="77">
        <f>STOCK[[#This Row],[Costo total]]*STOCK[[#This Row],[Entradas]]</f>
        <v>16.7505555555556</v>
      </c>
      <c r="AB41" s="77">
        <f>STOCK[[#This Row],[Stock Actual]]*STOCK[[#This Row],[Costo total]]</f>
        <v>0</v>
      </c>
    </row>
    <row r="42" s="76" customFormat="1" ht="50" customHeight="1" spans="1:28">
      <c r="A42" s="76" t="s">
        <v>115</v>
      </c>
      <c r="B42" s="6"/>
      <c r="C42" s="76" t="s">
        <v>30</v>
      </c>
      <c r="D42" s="76" t="s">
        <v>36</v>
      </c>
      <c r="E42" s="76" t="s">
        <v>72</v>
      </c>
      <c r="F42" s="76" t="s">
        <v>47</v>
      </c>
      <c r="G42" s="76" t="s">
        <v>34</v>
      </c>
      <c r="H42" s="76">
        <f>STOCK[[#This Row],[Precio Final]]</f>
        <v>25</v>
      </c>
      <c r="I42" s="76">
        <f>STOCK[[#This Row],[Precio Venta Ideal (x1.5)]]</f>
        <v>30.7966666666667</v>
      </c>
      <c r="J42" s="91">
        <v>1</v>
      </c>
      <c r="K42" s="91">
        <f>SUMIFS(VENTAS[Cantidad],VENTAS[Código del producto Vendido],STOCK[[#This Row],[Code]])</f>
        <v>1</v>
      </c>
      <c r="L42" s="91">
        <f>STOCK[[#This Row],[Entradas]]-STOCK[[#This Row],[Salidas]]</f>
        <v>0</v>
      </c>
      <c r="M42" s="76">
        <f>STOCK[[#This Row],[Precio Final]]*10%</f>
        <v>2.5</v>
      </c>
      <c r="N42" s="76">
        <v>245</v>
      </c>
      <c r="O42" s="76">
        <v>18</v>
      </c>
      <c r="P42" s="76">
        <v>13.6111111111111</v>
      </c>
      <c r="Q42" s="91">
        <v>260</v>
      </c>
      <c r="R42" s="76">
        <v>17</v>
      </c>
      <c r="S42" s="76">
        <f>STOCK[[#This Row],[Peso (g)]]*STOCK[[#This Row],[Precio Envío Kilogramo (USD)]]/1000</f>
        <v>4.42</v>
      </c>
      <c r="T42" s="76">
        <f>STOCK[[#This Row],[Costo Unitario (USD)]]+STOCK[[#This Row],[Costo Envío (USD)]]+STOCK[[#This Row],[Comisión 10%]]</f>
        <v>20.5311111111111</v>
      </c>
      <c r="U42" s="76">
        <f>STOCK[[#This Row],[Costo total]]*1.5</f>
        <v>30.7966666666667</v>
      </c>
      <c r="V42" s="76">
        <v>25</v>
      </c>
      <c r="W42" s="76">
        <f>STOCK[[#This Row],[Precio Final]]-STOCK[[#This Row],[Costo total]]</f>
        <v>4.4688888888889</v>
      </c>
      <c r="X42" s="76">
        <f>STOCK[[#This Row],[Ganancia Unitaria]]*STOCK[[#This Row],[Salidas]]</f>
        <v>4.4688888888889</v>
      </c>
      <c r="AA42" s="76">
        <f>STOCK[[#This Row],[Costo total]]*STOCK[[#This Row],[Entradas]]</f>
        <v>20.5311111111111</v>
      </c>
      <c r="AB42" s="76">
        <f>STOCK[[#This Row],[Stock Actual]]*STOCK[[#This Row],[Costo total]]</f>
        <v>0</v>
      </c>
    </row>
    <row r="43" s="77" customFormat="1" ht="50" customHeight="1" spans="1:28">
      <c r="A43" s="77" t="s">
        <v>116</v>
      </c>
      <c r="B43" s="6"/>
      <c r="C43" s="77" t="s">
        <v>30</v>
      </c>
      <c r="D43" s="77" t="s">
        <v>36</v>
      </c>
      <c r="E43" s="77" t="s">
        <v>117</v>
      </c>
      <c r="F43" s="77" t="s">
        <v>60</v>
      </c>
      <c r="G43" s="77" t="s">
        <v>34</v>
      </c>
      <c r="H43" s="77">
        <f>STOCK[[#This Row],[Precio Final]]</f>
        <v>25</v>
      </c>
      <c r="I43" s="77">
        <f>STOCK[[#This Row],[Precio Venta Ideal (x1.5)]]</f>
        <v>28.7816666666667</v>
      </c>
      <c r="J43" s="92">
        <v>1</v>
      </c>
      <c r="K43" s="92">
        <f>SUMIFS(VENTAS[Cantidad],VENTAS[Código del producto Vendido],STOCK[[#This Row],[Code]])</f>
        <v>1</v>
      </c>
      <c r="L43" s="92">
        <f>STOCK[[#This Row],[Entradas]]-STOCK[[#This Row],[Salidas]]</f>
        <v>0</v>
      </c>
      <c r="M43" s="77">
        <f>STOCK[[#This Row],[Precio Final]]*10%</f>
        <v>2.5</v>
      </c>
      <c r="N43" s="77">
        <v>230</v>
      </c>
      <c r="O43" s="77">
        <v>18</v>
      </c>
      <c r="P43" s="77">
        <v>12.7777777777778</v>
      </c>
      <c r="Q43" s="92">
        <v>230</v>
      </c>
      <c r="R43" s="77">
        <v>17</v>
      </c>
      <c r="S43" s="77">
        <f>STOCK[[#This Row],[Peso (g)]]*STOCK[[#This Row],[Precio Envío Kilogramo (USD)]]/1000</f>
        <v>3.91</v>
      </c>
      <c r="T43" s="76">
        <f>STOCK[[#This Row],[Costo Unitario (USD)]]+STOCK[[#This Row],[Costo Envío (USD)]]+STOCK[[#This Row],[Comisión 10%]]</f>
        <v>19.1877777777778</v>
      </c>
      <c r="U43" s="77">
        <f>STOCK[[#This Row],[Costo total]]*1.5</f>
        <v>28.7816666666667</v>
      </c>
      <c r="V43" s="77">
        <v>25</v>
      </c>
      <c r="W43" s="77">
        <f>STOCK[[#This Row],[Precio Final]]-STOCK[[#This Row],[Costo total]]</f>
        <v>5.8122222222222</v>
      </c>
      <c r="X43" s="77">
        <f>STOCK[[#This Row],[Ganancia Unitaria]]*STOCK[[#This Row],[Salidas]]</f>
        <v>5.8122222222222</v>
      </c>
      <c r="AA43" s="77">
        <f>STOCK[[#This Row],[Costo total]]*STOCK[[#This Row],[Entradas]]</f>
        <v>19.1877777777778</v>
      </c>
      <c r="AB43" s="77">
        <f>STOCK[[#This Row],[Stock Actual]]*STOCK[[#This Row],[Costo total]]</f>
        <v>0</v>
      </c>
    </row>
    <row r="44" s="76" customFormat="1" ht="50" customHeight="1" spans="1:28">
      <c r="A44" s="76" t="s">
        <v>118</v>
      </c>
      <c r="B44" s="6"/>
      <c r="C44" s="76" t="s">
        <v>30</v>
      </c>
      <c r="D44" s="76" t="s">
        <v>36</v>
      </c>
      <c r="E44" s="76" t="s">
        <v>119</v>
      </c>
      <c r="F44" s="76" t="s">
        <v>60</v>
      </c>
      <c r="G44" s="76" t="s">
        <v>34</v>
      </c>
      <c r="H44" s="76">
        <f>STOCK[[#This Row],[Precio Final]]</f>
        <v>25</v>
      </c>
      <c r="I44" s="76">
        <f>STOCK[[#This Row],[Precio Venta Ideal (x1.5)]]</f>
        <v>28.9091666666667</v>
      </c>
      <c r="J44" s="91">
        <v>2</v>
      </c>
      <c r="K44" s="91">
        <f>SUMIFS(VENTAS[Cantidad],VENTAS[Código del producto Vendido],STOCK[[#This Row],[Code]])</f>
        <v>2</v>
      </c>
      <c r="L44" s="91">
        <f>STOCK[[#This Row],[Entradas]]-STOCK[[#This Row],[Salidas]]</f>
        <v>0</v>
      </c>
      <c r="M44" s="76">
        <f>STOCK[[#This Row],[Precio Final]]*10%</f>
        <v>2.5</v>
      </c>
      <c r="N44" s="76">
        <v>230</v>
      </c>
      <c r="O44" s="76">
        <v>18</v>
      </c>
      <c r="P44" s="76">
        <v>12.7777777777778</v>
      </c>
      <c r="Q44" s="91">
        <v>235</v>
      </c>
      <c r="R44" s="76">
        <v>17</v>
      </c>
      <c r="S44" s="76">
        <f>STOCK[[#This Row],[Peso (g)]]*STOCK[[#This Row],[Precio Envío Kilogramo (USD)]]/1000</f>
        <v>3.995</v>
      </c>
      <c r="T44" s="76">
        <f>STOCK[[#This Row],[Costo Unitario (USD)]]+STOCK[[#This Row],[Costo Envío (USD)]]+STOCK[[#This Row],[Comisión 10%]]</f>
        <v>19.2727777777778</v>
      </c>
      <c r="U44" s="76">
        <f>STOCK[[#This Row],[Costo total]]*1.5</f>
        <v>28.9091666666667</v>
      </c>
      <c r="V44" s="76">
        <v>25</v>
      </c>
      <c r="W44" s="76">
        <f>STOCK[[#This Row],[Precio Final]]-STOCK[[#This Row],[Costo total]]</f>
        <v>5.7272222222222</v>
      </c>
      <c r="X44" s="76">
        <f>STOCK[[#This Row],[Ganancia Unitaria]]*STOCK[[#This Row],[Salidas]]</f>
        <v>11.4544444444444</v>
      </c>
      <c r="AA44" s="76">
        <f>STOCK[[#This Row],[Costo total]]*STOCK[[#This Row],[Entradas]]</f>
        <v>38.5455555555556</v>
      </c>
      <c r="AB44" s="76">
        <f>STOCK[[#This Row],[Stock Actual]]*STOCK[[#This Row],[Costo total]]</f>
        <v>0</v>
      </c>
    </row>
    <row r="45" s="77" customFormat="1" ht="50" customHeight="1" spans="1:28">
      <c r="A45" s="77" t="s">
        <v>120</v>
      </c>
      <c r="B45" s="6"/>
      <c r="C45" s="77" t="s">
        <v>30</v>
      </c>
      <c r="D45" s="77" t="s">
        <v>36</v>
      </c>
      <c r="E45" s="77" t="s">
        <v>121</v>
      </c>
      <c r="F45" s="77" t="s">
        <v>60</v>
      </c>
      <c r="G45" s="77" t="s">
        <v>34</v>
      </c>
      <c r="H45" s="77">
        <f>STOCK[[#This Row],[Precio Final]]</f>
        <v>25</v>
      </c>
      <c r="I45" s="77">
        <f>STOCK[[#This Row],[Precio Venta Ideal (x1.5)]]</f>
        <v>25.5166666666666</v>
      </c>
      <c r="J45" s="92">
        <v>1</v>
      </c>
      <c r="K45" s="92">
        <f>SUMIFS(VENTAS[Cantidad],VENTAS[Código del producto Vendido],STOCK[[#This Row],[Code]])</f>
        <v>1</v>
      </c>
      <c r="L45" s="92">
        <f>STOCK[[#This Row],[Entradas]]-STOCK[[#This Row],[Salidas]]</f>
        <v>0</v>
      </c>
      <c r="M45" s="77">
        <f>STOCK[[#This Row],[Precio Final]]*10%</f>
        <v>2.5</v>
      </c>
      <c r="N45" s="77">
        <v>200</v>
      </c>
      <c r="O45" s="77">
        <v>18</v>
      </c>
      <c r="P45" s="77">
        <v>11.1111111111111</v>
      </c>
      <c r="Q45" s="92">
        <v>200</v>
      </c>
      <c r="R45" s="77">
        <v>17</v>
      </c>
      <c r="S45" s="77">
        <f>STOCK[[#This Row],[Peso (g)]]*STOCK[[#This Row],[Precio Envío Kilogramo (USD)]]/1000</f>
        <v>3.4</v>
      </c>
      <c r="T45" s="76">
        <f>STOCK[[#This Row],[Costo Unitario (USD)]]+STOCK[[#This Row],[Costo Envío (USD)]]+STOCK[[#This Row],[Comisión 10%]]</f>
        <v>17.0111111111111</v>
      </c>
      <c r="U45" s="77">
        <f>STOCK[[#This Row],[Costo total]]*1.5</f>
        <v>25.5166666666666</v>
      </c>
      <c r="V45" s="77">
        <v>25</v>
      </c>
      <c r="W45" s="77">
        <f>STOCK[[#This Row],[Precio Final]]-STOCK[[#This Row],[Costo total]]</f>
        <v>7.9888888888889</v>
      </c>
      <c r="X45" s="77">
        <f>STOCK[[#This Row],[Ganancia Unitaria]]*STOCK[[#This Row],[Salidas]]</f>
        <v>7.9888888888889</v>
      </c>
      <c r="AA45" s="77">
        <f>STOCK[[#This Row],[Costo total]]*STOCK[[#This Row],[Entradas]]</f>
        <v>17.0111111111111</v>
      </c>
      <c r="AB45" s="77">
        <f>STOCK[[#This Row],[Stock Actual]]*STOCK[[#This Row],[Costo total]]</f>
        <v>0</v>
      </c>
    </row>
    <row r="46" s="76" customFormat="1" ht="50" customHeight="1" spans="1:28">
      <c r="A46" s="76" t="s">
        <v>122</v>
      </c>
      <c r="B46" s="6"/>
      <c r="C46" s="76" t="s">
        <v>30</v>
      </c>
      <c r="D46" s="76" t="s">
        <v>123</v>
      </c>
      <c r="E46" s="76" t="s">
        <v>124</v>
      </c>
      <c r="F46" s="76" t="s">
        <v>125</v>
      </c>
      <c r="G46" s="76" t="s">
        <v>34</v>
      </c>
      <c r="H46" s="76">
        <f>STOCK[[#This Row],[Precio Final]]</f>
        <v>20</v>
      </c>
      <c r="I46" s="76">
        <f>STOCK[[#This Row],[Precio Venta Ideal (x1.5)]]</f>
        <v>22.2666666666667</v>
      </c>
      <c r="J46" s="91">
        <v>1</v>
      </c>
      <c r="K46" s="91">
        <f>SUMIFS(VENTAS[Cantidad],VENTAS[Código del producto Vendido],STOCK[[#This Row],[Code]])</f>
        <v>1</v>
      </c>
      <c r="L46" s="91">
        <f>STOCK[[#This Row],[Entradas]]-STOCK[[#This Row],[Salidas]]</f>
        <v>0</v>
      </c>
      <c r="M46" s="76">
        <f>STOCK[[#This Row],[Precio Final]]*10%</f>
        <v>2</v>
      </c>
      <c r="N46" s="76">
        <v>170</v>
      </c>
      <c r="O46" s="76">
        <v>18</v>
      </c>
      <c r="P46" s="76">
        <v>9.44444444444444</v>
      </c>
      <c r="Q46" s="91">
        <v>200</v>
      </c>
      <c r="R46" s="76">
        <v>17</v>
      </c>
      <c r="S46" s="76">
        <f>STOCK[[#This Row],[Peso (g)]]*STOCK[[#This Row],[Precio Envío Kilogramo (USD)]]/1000</f>
        <v>3.4</v>
      </c>
      <c r="T46" s="76">
        <f>STOCK[[#This Row],[Costo Unitario (USD)]]+STOCK[[#This Row],[Costo Envío (USD)]]+STOCK[[#This Row],[Comisión 10%]]</f>
        <v>14.8444444444444</v>
      </c>
      <c r="U46" s="76">
        <f>STOCK[[#This Row],[Costo total]]*1.5</f>
        <v>22.2666666666667</v>
      </c>
      <c r="V46" s="76">
        <v>20</v>
      </c>
      <c r="W46" s="76">
        <f>STOCK[[#This Row],[Precio Final]]-STOCK[[#This Row],[Costo total]]</f>
        <v>5.15555555555556</v>
      </c>
      <c r="X46" s="76">
        <f>STOCK[[#This Row],[Ganancia Unitaria]]*STOCK[[#This Row],[Salidas]]</f>
        <v>5.15555555555556</v>
      </c>
      <c r="AA46" s="76">
        <f>STOCK[[#This Row],[Costo total]]*STOCK[[#This Row],[Entradas]]</f>
        <v>14.8444444444444</v>
      </c>
      <c r="AB46" s="76">
        <f>STOCK[[#This Row],[Stock Actual]]*STOCK[[#This Row],[Costo total]]</f>
        <v>0</v>
      </c>
    </row>
    <row r="47" s="77" customFormat="1" ht="50" customHeight="1" spans="1:28">
      <c r="A47" s="77" t="s">
        <v>126</v>
      </c>
      <c r="B47" s="6"/>
      <c r="C47" s="77" t="s">
        <v>30</v>
      </c>
      <c r="D47" s="77" t="s">
        <v>123</v>
      </c>
      <c r="E47" s="77" t="s">
        <v>127</v>
      </c>
      <c r="F47" s="77" t="s">
        <v>128</v>
      </c>
      <c r="G47" s="77" t="s">
        <v>34</v>
      </c>
      <c r="H47" s="77">
        <f>STOCK[[#This Row],[Precio Final]]</f>
        <v>20</v>
      </c>
      <c r="I47" s="77">
        <f>STOCK[[#This Row],[Precio Venta Ideal (x1.5)]]</f>
        <v>25.1491666666667</v>
      </c>
      <c r="J47" s="92">
        <v>1</v>
      </c>
      <c r="K47" s="92">
        <f>SUMIFS(VENTAS[Cantidad],VENTAS[Código del producto Vendido],STOCK[[#This Row],[Code]])</f>
        <v>1</v>
      </c>
      <c r="L47" s="92">
        <f>STOCK[[#This Row],[Entradas]]-STOCK[[#This Row],[Salidas]]</f>
        <v>0</v>
      </c>
      <c r="M47" s="77">
        <f>STOCK[[#This Row],[Precio Final]]*10%</f>
        <v>2</v>
      </c>
      <c r="N47" s="77">
        <v>200</v>
      </c>
      <c r="O47" s="77">
        <v>18</v>
      </c>
      <c r="P47" s="77">
        <v>11.1111111111111</v>
      </c>
      <c r="Q47" s="92">
        <v>215</v>
      </c>
      <c r="R47" s="77">
        <v>17</v>
      </c>
      <c r="S47" s="77">
        <f>STOCK[[#This Row],[Peso (g)]]*STOCK[[#This Row],[Precio Envío Kilogramo (USD)]]/1000</f>
        <v>3.655</v>
      </c>
      <c r="T47" s="76">
        <f>STOCK[[#This Row],[Costo Unitario (USD)]]+STOCK[[#This Row],[Costo Envío (USD)]]+STOCK[[#This Row],[Comisión 10%]]</f>
        <v>16.7661111111111</v>
      </c>
      <c r="U47" s="77">
        <f>STOCK[[#This Row],[Costo total]]*1.5</f>
        <v>25.1491666666667</v>
      </c>
      <c r="V47" s="77">
        <v>20</v>
      </c>
      <c r="W47" s="77">
        <f>STOCK[[#This Row],[Precio Final]]-STOCK[[#This Row],[Costo total]]</f>
        <v>3.2338888888889</v>
      </c>
      <c r="X47" s="77">
        <f>STOCK[[#This Row],[Ganancia Unitaria]]*STOCK[[#This Row],[Salidas]]</f>
        <v>3.2338888888889</v>
      </c>
      <c r="AA47" s="77">
        <f>STOCK[[#This Row],[Costo total]]*STOCK[[#This Row],[Entradas]]</f>
        <v>16.7661111111111</v>
      </c>
      <c r="AB47" s="77">
        <f>STOCK[[#This Row],[Stock Actual]]*STOCK[[#This Row],[Costo total]]</f>
        <v>0</v>
      </c>
    </row>
    <row r="48" s="76" customFormat="1" ht="50" customHeight="1" spans="1:28">
      <c r="A48" s="76" t="s">
        <v>129</v>
      </c>
      <c r="B48" s="6"/>
      <c r="C48" s="76" t="s">
        <v>30</v>
      </c>
      <c r="D48" s="76" t="s">
        <v>130</v>
      </c>
      <c r="E48" s="76" t="s">
        <v>131</v>
      </c>
      <c r="F48" s="76" t="s">
        <v>132</v>
      </c>
      <c r="G48" s="76" t="s">
        <v>34</v>
      </c>
      <c r="H48" s="76">
        <f>STOCK[[#This Row],[Precio Final]]</f>
        <v>18</v>
      </c>
      <c r="I48" s="76">
        <f>STOCK[[#This Row],[Precio Venta Ideal (x1.5)]]</f>
        <v>19.3483333333333</v>
      </c>
      <c r="J48" s="91">
        <v>1</v>
      </c>
      <c r="K48" s="91">
        <f>SUMIFS(VENTAS[Cantidad],VENTAS[Código del producto Vendido],STOCK[[#This Row],[Code]])</f>
        <v>1</v>
      </c>
      <c r="L48" s="91">
        <f>STOCK[[#This Row],[Entradas]]-STOCK[[#This Row],[Salidas]]</f>
        <v>0</v>
      </c>
      <c r="M48" s="76">
        <f>STOCK[[#This Row],[Precio Final]]*10%</f>
        <v>1.8</v>
      </c>
      <c r="N48" s="76">
        <v>160</v>
      </c>
      <c r="O48" s="76">
        <v>18</v>
      </c>
      <c r="P48" s="76">
        <v>8.88888888888889</v>
      </c>
      <c r="Q48" s="91">
        <v>130</v>
      </c>
      <c r="R48" s="76">
        <v>17</v>
      </c>
      <c r="S48" s="76">
        <f>STOCK[[#This Row],[Peso (g)]]*STOCK[[#This Row],[Precio Envío Kilogramo (USD)]]/1000</f>
        <v>2.21</v>
      </c>
      <c r="T48" s="76">
        <f>STOCK[[#This Row],[Costo Unitario (USD)]]+STOCK[[#This Row],[Costo Envío (USD)]]+STOCK[[#This Row],[Comisión 10%]]</f>
        <v>12.8988888888889</v>
      </c>
      <c r="U48" s="76">
        <f>STOCK[[#This Row],[Costo total]]*1.5</f>
        <v>19.3483333333333</v>
      </c>
      <c r="V48" s="76">
        <v>18</v>
      </c>
      <c r="W48" s="76">
        <f>STOCK[[#This Row],[Precio Final]]-STOCK[[#This Row],[Costo total]]</f>
        <v>5.10111111111111</v>
      </c>
      <c r="X48" s="76">
        <f>STOCK[[#This Row],[Ganancia Unitaria]]*STOCK[[#This Row],[Salidas]]</f>
        <v>5.10111111111111</v>
      </c>
      <c r="AA48" s="76">
        <f>STOCK[[#This Row],[Costo total]]*STOCK[[#This Row],[Entradas]]</f>
        <v>12.8988888888889</v>
      </c>
      <c r="AB48" s="76">
        <f>STOCK[[#This Row],[Stock Actual]]*STOCK[[#This Row],[Costo total]]</f>
        <v>0</v>
      </c>
    </row>
    <row r="49" s="77" customFormat="1" ht="50" customHeight="1" spans="1:28">
      <c r="A49" s="77" t="s">
        <v>133</v>
      </c>
      <c r="B49" s="6"/>
      <c r="C49" s="77" t="s">
        <v>30</v>
      </c>
      <c r="D49" s="77" t="s">
        <v>134</v>
      </c>
      <c r="E49" s="77" t="s">
        <v>135</v>
      </c>
      <c r="F49" s="77" t="s">
        <v>136</v>
      </c>
      <c r="G49" s="77" t="s">
        <v>34</v>
      </c>
      <c r="H49" s="77">
        <f>STOCK[[#This Row],[Precio Final]]</f>
        <v>25</v>
      </c>
      <c r="I49" s="77">
        <f>STOCK[[#This Row],[Precio Venta Ideal (x1.5)]]</f>
        <v>26.1883333333334</v>
      </c>
      <c r="J49" s="92">
        <v>1</v>
      </c>
      <c r="K49" s="92">
        <f>SUMIFS(VENTAS[Cantidad],VENTAS[Código del producto Vendido],STOCK[[#This Row],[Code]])</f>
        <v>0</v>
      </c>
      <c r="L49" s="92">
        <f>STOCK[[#This Row],[Entradas]]-STOCK[[#This Row],[Salidas]]</f>
        <v>1</v>
      </c>
      <c r="M49" s="77">
        <f>STOCK[[#This Row],[Precio Final]]*10%</f>
        <v>2.5</v>
      </c>
      <c r="N49" s="77">
        <v>205</v>
      </c>
      <c r="O49" s="77">
        <v>18</v>
      </c>
      <c r="P49" s="77">
        <v>11.3888888888889</v>
      </c>
      <c r="Q49" s="92">
        <v>210</v>
      </c>
      <c r="R49" s="77">
        <v>17</v>
      </c>
      <c r="S49" s="77">
        <f>STOCK[[#This Row],[Peso (g)]]*STOCK[[#This Row],[Precio Envío Kilogramo (USD)]]/1000</f>
        <v>3.57</v>
      </c>
      <c r="T49" s="76">
        <f>STOCK[[#This Row],[Costo Unitario (USD)]]+STOCK[[#This Row],[Costo Envío (USD)]]+STOCK[[#This Row],[Comisión 10%]]</f>
        <v>17.4588888888889</v>
      </c>
      <c r="U49" s="77">
        <f>STOCK[[#This Row],[Costo total]]*1.5</f>
        <v>26.1883333333334</v>
      </c>
      <c r="V49" s="77">
        <v>25</v>
      </c>
      <c r="W49" s="77">
        <f>STOCK[[#This Row],[Precio Final]]-STOCK[[#This Row],[Costo total]]</f>
        <v>7.5411111111111</v>
      </c>
      <c r="X49" s="77">
        <f>STOCK[[#This Row],[Ganancia Unitaria]]*STOCK[[#This Row],[Salidas]]</f>
        <v>0</v>
      </c>
      <c r="AA49" s="77">
        <f>STOCK[[#This Row],[Costo total]]*STOCK[[#This Row],[Entradas]]</f>
        <v>17.4588888888889</v>
      </c>
      <c r="AB49" s="77">
        <f>STOCK[[#This Row],[Stock Actual]]*STOCK[[#This Row],[Costo total]]</f>
        <v>17.4588888888889</v>
      </c>
    </row>
    <row r="50" s="76" customFormat="1" ht="50" customHeight="1" spans="1:28">
      <c r="A50" s="76" t="s">
        <v>137</v>
      </c>
      <c r="B50" s="6"/>
      <c r="C50" s="76" t="s">
        <v>30</v>
      </c>
      <c r="D50" s="76" t="s">
        <v>123</v>
      </c>
      <c r="E50" s="76" t="s">
        <v>138</v>
      </c>
      <c r="F50" s="76" t="s">
        <v>139</v>
      </c>
      <c r="G50" s="76" t="s">
        <v>34</v>
      </c>
      <c r="H50" s="76">
        <f>STOCK[[#This Row],[Precio Final]]</f>
        <v>20</v>
      </c>
      <c r="I50" s="76">
        <f>STOCK[[#This Row],[Precio Venta Ideal (x1.5)]]</f>
        <v>22.2075</v>
      </c>
      <c r="J50" s="91">
        <v>1</v>
      </c>
      <c r="K50" s="91">
        <f>SUMIFS(VENTAS[Cantidad],VENTAS[Código del producto Vendido],STOCK[[#This Row],[Code]])</f>
        <v>1</v>
      </c>
      <c r="L50" s="91">
        <f>STOCK[[#This Row],[Entradas]]-STOCK[[#This Row],[Salidas]]</f>
        <v>0</v>
      </c>
      <c r="M50" s="76">
        <f>STOCK[[#This Row],[Precio Final]]*10%</f>
        <v>2</v>
      </c>
      <c r="N50" s="76">
        <v>180</v>
      </c>
      <c r="O50" s="76">
        <v>18</v>
      </c>
      <c r="P50" s="76">
        <v>10</v>
      </c>
      <c r="Q50" s="91">
        <v>165</v>
      </c>
      <c r="R50" s="76">
        <v>17</v>
      </c>
      <c r="S50" s="76">
        <f>STOCK[[#This Row],[Peso (g)]]*STOCK[[#This Row],[Precio Envío Kilogramo (USD)]]/1000</f>
        <v>2.805</v>
      </c>
      <c r="T50" s="76">
        <f>STOCK[[#This Row],[Costo Unitario (USD)]]+STOCK[[#This Row],[Costo Envío (USD)]]+STOCK[[#This Row],[Comisión 10%]]</f>
        <v>14.805</v>
      </c>
      <c r="U50" s="76">
        <f>STOCK[[#This Row],[Costo total]]*1.5</f>
        <v>22.2075</v>
      </c>
      <c r="V50" s="76">
        <v>20</v>
      </c>
      <c r="W50" s="76">
        <f>STOCK[[#This Row],[Precio Final]]-STOCK[[#This Row],[Costo total]]</f>
        <v>5.195</v>
      </c>
      <c r="X50" s="76">
        <f>STOCK[[#This Row],[Ganancia Unitaria]]*STOCK[[#This Row],[Salidas]]</f>
        <v>5.195</v>
      </c>
      <c r="AA50" s="76">
        <f>STOCK[[#This Row],[Costo total]]*STOCK[[#This Row],[Entradas]]</f>
        <v>14.805</v>
      </c>
      <c r="AB50" s="76">
        <f>STOCK[[#This Row],[Stock Actual]]*STOCK[[#This Row],[Costo total]]</f>
        <v>0</v>
      </c>
    </row>
    <row r="51" s="77" customFormat="1" ht="50" customHeight="1" spans="1:29">
      <c r="A51" s="77" t="s">
        <v>140</v>
      </c>
      <c r="B51" s="6"/>
      <c r="C51" s="77" t="s">
        <v>30</v>
      </c>
      <c r="D51" s="77" t="s">
        <v>130</v>
      </c>
      <c r="E51" s="77" t="s">
        <v>141</v>
      </c>
      <c r="F51" s="77" t="s">
        <v>132</v>
      </c>
      <c r="G51" s="77" t="s">
        <v>34</v>
      </c>
      <c r="H51" s="77">
        <f>STOCK[[#This Row],[Precio Final]]</f>
        <v>20</v>
      </c>
      <c r="I51" s="77">
        <f>STOCK[[#This Row],[Precio Venta Ideal (x1.5)]]</f>
        <v>19.9033333333333</v>
      </c>
      <c r="J51" s="92">
        <v>1</v>
      </c>
      <c r="K51" s="92">
        <f>SUMIFS(VENTAS[Cantidad],VENTAS[Código del producto Vendido],STOCK[[#This Row],[Code]])</f>
        <v>0</v>
      </c>
      <c r="L51" s="92">
        <f>STOCK[[#This Row],[Entradas]]-STOCK[[#This Row],[Salidas]]</f>
        <v>1</v>
      </c>
      <c r="M51" s="77">
        <f>STOCK[[#This Row],[Precio Final]]*10%</f>
        <v>2</v>
      </c>
      <c r="N51" s="77">
        <v>160</v>
      </c>
      <c r="O51" s="77">
        <v>18</v>
      </c>
      <c r="P51" s="77">
        <v>8.88888888888889</v>
      </c>
      <c r="Q51" s="92">
        <v>140</v>
      </c>
      <c r="R51" s="77">
        <v>17</v>
      </c>
      <c r="S51" s="77">
        <f>STOCK[[#This Row],[Peso (g)]]*STOCK[[#This Row],[Precio Envío Kilogramo (USD)]]/1000</f>
        <v>2.38</v>
      </c>
      <c r="T51" s="76">
        <f>STOCK[[#This Row],[Costo Unitario (USD)]]+STOCK[[#This Row],[Costo Envío (USD)]]+STOCK[[#This Row],[Comisión 10%]]</f>
        <v>13.2688888888889</v>
      </c>
      <c r="U51" s="77">
        <f>STOCK[[#This Row],[Costo total]]*1.5</f>
        <v>19.9033333333333</v>
      </c>
      <c r="V51" s="77">
        <v>20</v>
      </c>
      <c r="W51" s="77">
        <f>STOCK[[#This Row],[Precio Final]]-STOCK[[#This Row],[Costo total]]</f>
        <v>6.73111111111111</v>
      </c>
      <c r="X51" s="77">
        <f>STOCK[[#This Row],[Ganancia Unitaria]]*STOCK[[#This Row],[Salidas]]</f>
        <v>0</v>
      </c>
      <c r="AA51" s="77">
        <f>STOCK[[#This Row],[Costo total]]*STOCK[[#This Row],[Entradas]]</f>
        <v>13.2688888888889</v>
      </c>
      <c r="AB51" s="77">
        <f>STOCK[[#This Row],[Stock Actual]]*STOCK[[#This Row],[Costo total]]</f>
        <v>13.2688888888889</v>
      </c>
      <c r="AC51" s="77">
        <v>16</v>
      </c>
    </row>
    <row r="52" s="76" customFormat="1" ht="50" customHeight="1" spans="1:29">
      <c r="A52" s="76" t="s">
        <v>142</v>
      </c>
      <c r="B52" s="6"/>
      <c r="C52" s="76" t="s">
        <v>30</v>
      </c>
      <c r="D52" s="76" t="s">
        <v>130</v>
      </c>
      <c r="E52" s="76" t="s">
        <v>141</v>
      </c>
      <c r="F52" s="76" t="s">
        <v>143</v>
      </c>
      <c r="G52" s="76" t="s">
        <v>34</v>
      </c>
      <c r="H52" s="76">
        <f>STOCK[[#This Row],[Precio Final]]</f>
        <v>20</v>
      </c>
      <c r="I52" s="76">
        <f>STOCK[[#This Row],[Precio Venta Ideal (x1.5)]]</f>
        <v>19.9033333333333</v>
      </c>
      <c r="J52" s="91">
        <v>1</v>
      </c>
      <c r="K52" s="91">
        <f>SUMIFS(VENTAS[Cantidad],VENTAS[Código del producto Vendido],STOCK[[#This Row],[Code]])</f>
        <v>0</v>
      </c>
      <c r="L52" s="91">
        <f>STOCK[[#This Row],[Entradas]]-STOCK[[#This Row],[Salidas]]</f>
        <v>1</v>
      </c>
      <c r="M52" s="76">
        <f>STOCK[[#This Row],[Precio Final]]*10%</f>
        <v>2</v>
      </c>
      <c r="N52" s="76">
        <v>160</v>
      </c>
      <c r="O52" s="76">
        <v>18</v>
      </c>
      <c r="P52" s="76">
        <v>8.88888888888889</v>
      </c>
      <c r="Q52" s="91">
        <v>140</v>
      </c>
      <c r="R52" s="76">
        <v>17</v>
      </c>
      <c r="S52" s="76">
        <f>STOCK[[#This Row],[Peso (g)]]*STOCK[[#This Row],[Precio Envío Kilogramo (USD)]]/1000</f>
        <v>2.38</v>
      </c>
      <c r="T52" s="76">
        <f>STOCK[[#This Row],[Costo Unitario (USD)]]+STOCK[[#This Row],[Costo Envío (USD)]]+STOCK[[#This Row],[Comisión 10%]]</f>
        <v>13.2688888888889</v>
      </c>
      <c r="U52" s="76">
        <f>STOCK[[#This Row],[Costo total]]*1.5</f>
        <v>19.9033333333333</v>
      </c>
      <c r="V52" s="76">
        <v>20</v>
      </c>
      <c r="W52" s="76">
        <f>STOCK[[#This Row],[Precio Final]]-STOCK[[#This Row],[Costo total]]</f>
        <v>6.73111111111111</v>
      </c>
      <c r="X52" s="76">
        <f>STOCK[[#This Row],[Ganancia Unitaria]]*STOCK[[#This Row],[Salidas]]</f>
        <v>0</v>
      </c>
      <c r="AA52" s="76">
        <f>STOCK[[#This Row],[Costo total]]*STOCK[[#This Row],[Entradas]]</f>
        <v>13.2688888888889</v>
      </c>
      <c r="AB52" s="76">
        <f>STOCK[[#This Row],[Stock Actual]]*STOCK[[#This Row],[Costo total]]</f>
        <v>13.2688888888889</v>
      </c>
      <c r="AC52" s="76">
        <v>16</v>
      </c>
    </row>
    <row r="53" s="77" customFormat="1" ht="50" customHeight="1" spans="1:28">
      <c r="A53" s="77" t="s">
        <v>144</v>
      </c>
      <c r="B53" s="6"/>
      <c r="C53" s="77" t="s">
        <v>30</v>
      </c>
      <c r="D53" s="76" t="s">
        <v>130</v>
      </c>
      <c r="E53" s="77" t="s">
        <v>145</v>
      </c>
      <c r="F53" s="77" t="s">
        <v>146</v>
      </c>
      <c r="G53" s="77" t="s">
        <v>34</v>
      </c>
      <c r="H53" s="77">
        <f>STOCK[[#This Row],[Precio Final]]</f>
        <v>18</v>
      </c>
      <c r="I53" s="77">
        <f>STOCK[[#This Row],[Precio Venta Ideal (x1.5)]]</f>
        <v>20.53</v>
      </c>
      <c r="J53" s="92">
        <v>1</v>
      </c>
      <c r="K53" s="92">
        <f>SUMIFS(VENTAS[Cantidad],VENTAS[Código del producto Vendido],STOCK[[#This Row],[Code]])</f>
        <v>1</v>
      </c>
      <c r="L53" s="92">
        <f>STOCK[[#This Row],[Entradas]]-STOCK[[#This Row],[Salidas]]</f>
        <v>0</v>
      </c>
      <c r="M53" s="77">
        <f>STOCK[[#This Row],[Precio Final]]*10%</f>
        <v>1.8</v>
      </c>
      <c r="N53" s="77">
        <v>165</v>
      </c>
      <c r="O53" s="77">
        <v>18</v>
      </c>
      <c r="P53" s="77">
        <v>9.16666666666667</v>
      </c>
      <c r="Q53" s="92">
        <v>160</v>
      </c>
      <c r="R53" s="77">
        <v>17</v>
      </c>
      <c r="S53" s="77">
        <f>STOCK[[#This Row],[Peso (g)]]*STOCK[[#This Row],[Precio Envío Kilogramo (USD)]]/1000</f>
        <v>2.72</v>
      </c>
      <c r="T53" s="76">
        <f>STOCK[[#This Row],[Costo Unitario (USD)]]+STOCK[[#This Row],[Costo Envío (USD)]]+STOCK[[#This Row],[Comisión 10%]]</f>
        <v>13.6866666666667</v>
      </c>
      <c r="U53" s="77">
        <f>STOCK[[#This Row],[Costo total]]*1.5</f>
        <v>20.53</v>
      </c>
      <c r="V53" s="77">
        <v>18</v>
      </c>
      <c r="W53" s="77">
        <f>STOCK[[#This Row],[Precio Final]]-STOCK[[#This Row],[Costo total]]</f>
        <v>4.31333333333333</v>
      </c>
      <c r="X53" s="77">
        <f>STOCK[[#This Row],[Ganancia Unitaria]]*STOCK[[#This Row],[Salidas]]</f>
        <v>4.31333333333333</v>
      </c>
      <c r="AA53" s="77">
        <f>STOCK[[#This Row],[Costo total]]*STOCK[[#This Row],[Entradas]]</f>
        <v>13.6866666666667</v>
      </c>
      <c r="AB53" s="77">
        <f>STOCK[[#This Row],[Stock Actual]]*STOCK[[#This Row],[Costo total]]</f>
        <v>0</v>
      </c>
    </row>
    <row r="54" s="76" customFormat="1" ht="50" customHeight="1" spans="1:28">
      <c r="A54" s="76" t="s">
        <v>147</v>
      </c>
      <c r="B54" s="6"/>
      <c r="C54" s="76" t="s">
        <v>30</v>
      </c>
      <c r="D54" s="76" t="s">
        <v>130</v>
      </c>
      <c r="E54" s="76" t="s">
        <v>148</v>
      </c>
      <c r="F54" s="76" t="s">
        <v>149</v>
      </c>
      <c r="G54" s="76" t="s">
        <v>34</v>
      </c>
      <c r="H54" s="76">
        <f>STOCK[[#This Row],[Precio Final]]</f>
        <v>18</v>
      </c>
      <c r="I54" s="76">
        <f>STOCK[[#This Row],[Precio Venta Ideal (x1.5)]]</f>
        <v>17.3491666666667</v>
      </c>
      <c r="J54" s="91">
        <v>1</v>
      </c>
      <c r="K54" s="91">
        <f>SUMIFS(VENTAS[Cantidad],VENTAS[Código del producto Vendido],STOCK[[#This Row],[Code]])</f>
        <v>1</v>
      </c>
      <c r="L54" s="91">
        <f>STOCK[[#This Row],[Entradas]]-STOCK[[#This Row],[Salidas]]</f>
        <v>0</v>
      </c>
      <c r="M54" s="76">
        <f>STOCK[[#This Row],[Precio Final]]*10%</f>
        <v>1.8</v>
      </c>
      <c r="N54" s="76">
        <v>110</v>
      </c>
      <c r="O54" s="76">
        <v>18</v>
      </c>
      <c r="P54" s="76">
        <v>6.11111111111111</v>
      </c>
      <c r="Q54" s="91">
        <v>215</v>
      </c>
      <c r="R54" s="76">
        <v>17</v>
      </c>
      <c r="S54" s="76">
        <f>STOCK[[#This Row],[Peso (g)]]*STOCK[[#This Row],[Precio Envío Kilogramo (USD)]]/1000</f>
        <v>3.655</v>
      </c>
      <c r="T54" s="76">
        <f>STOCK[[#This Row],[Costo Unitario (USD)]]+STOCK[[#This Row],[Costo Envío (USD)]]+STOCK[[#This Row],[Comisión 10%]]</f>
        <v>11.5661111111111</v>
      </c>
      <c r="U54" s="76">
        <f>STOCK[[#This Row],[Costo total]]*1.5</f>
        <v>17.3491666666667</v>
      </c>
      <c r="V54" s="76">
        <v>18</v>
      </c>
      <c r="W54" s="76">
        <f>STOCK[[#This Row],[Precio Final]]-STOCK[[#This Row],[Costo total]]</f>
        <v>6.43388888888889</v>
      </c>
      <c r="X54" s="76">
        <f>STOCK[[#This Row],[Ganancia Unitaria]]*STOCK[[#This Row],[Salidas]]</f>
        <v>6.43388888888889</v>
      </c>
      <c r="AA54" s="76">
        <f>STOCK[[#This Row],[Costo total]]*STOCK[[#This Row],[Entradas]]</f>
        <v>11.5661111111111</v>
      </c>
      <c r="AB54" s="76">
        <f>STOCK[[#This Row],[Stock Actual]]*STOCK[[#This Row],[Costo total]]</f>
        <v>0</v>
      </c>
    </row>
    <row r="55" s="77" customFormat="1" ht="50" customHeight="1" spans="1:28">
      <c r="A55" s="77" t="s">
        <v>150</v>
      </c>
      <c r="B55" s="6"/>
      <c r="C55" s="77" t="s">
        <v>30</v>
      </c>
      <c r="D55" s="77" t="s">
        <v>151</v>
      </c>
      <c r="E55" s="77" t="s">
        <v>152</v>
      </c>
      <c r="F55" s="77" t="s">
        <v>47</v>
      </c>
      <c r="G55" s="77" t="s">
        <v>34</v>
      </c>
      <c r="H55" s="77">
        <f>STOCK[[#This Row],[Precio Final]]</f>
        <v>30</v>
      </c>
      <c r="I55" s="77">
        <f>STOCK[[#This Row],[Precio Venta Ideal (x1.5)]]</f>
        <v>32.53</v>
      </c>
      <c r="J55" s="92">
        <v>4</v>
      </c>
      <c r="K55" s="92">
        <f>SUMIFS(VENTAS[Cantidad],VENTAS[Código del producto Vendido],STOCK[[#This Row],[Code]])</f>
        <v>4</v>
      </c>
      <c r="L55" s="92">
        <f>STOCK[[#This Row],[Entradas]]-STOCK[[#This Row],[Salidas]]</f>
        <v>0</v>
      </c>
      <c r="M55" s="77">
        <f>STOCK[[#This Row],[Precio Final]]*10%</f>
        <v>3</v>
      </c>
      <c r="N55" s="77">
        <v>165</v>
      </c>
      <c r="O55" s="77">
        <v>18</v>
      </c>
      <c r="P55" s="77">
        <v>9.16666666666667</v>
      </c>
      <c r="Q55" s="92">
        <v>560</v>
      </c>
      <c r="R55" s="77">
        <v>17</v>
      </c>
      <c r="S55" s="77">
        <f>STOCK[[#This Row],[Peso (g)]]*STOCK[[#This Row],[Precio Envío Kilogramo (USD)]]/1000</f>
        <v>9.52</v>
      </c>
      <c r="T55" s="76">
        <f>STOCK[[#This Row],[Costo Unitario (USD)]]+STOCK[[#This Row],[Costo Envío (USD)]]+STOCK[[#This Row],[Comisión 10%]]</f>
        <v>21.6866666666667</v>
      </c>
      <c r="U55" s="77">
        <f>STOCK[[#This Row],[Costo total]]*1.5</f>
        <v>32.53</v>
      </c>
      <c r="V55" s="77">
        <v>30</v>
      </c>
      <c r="W55" s="77">
        <f>STOCK[[#This Row],[Precio Final]]-STOCK[[#This Row],[Costo total]]</f>
        <v>8.31333333333333</v>
      </c>
      <c r="X55" s="77">
        <f>STOCK[[#This Row],[Ganancia Unitaria]]*STOCK[[#This Row],[Salidas]]</f>
        <v>33.2533333333333</v>
      </c>
      <c r="AA55" s="77">
        <f>STOCK[[#This Row],[Costo total]]*STOCK[[#This Row],[Entradas]]</f>
        <v>86.7466666666667</v>
      </c>
      <c r="AB55" s="77">
        <f>STOCK[[#This Row],[Stock Actual]]*STOCK[[#This Row],[Costo total]]</f>
        <v>0</v>
      </c>
    </row>
    <row r="56" s="76" customFormat="1" ht="50" customHeight="1" spans="1:28">
      <c r="A56" s="76" t="s">
        <v>153</v>
      </c>
      <c r="B56" s="6"/>
      <c r="C56" s="76" t="s">
        <v>30</v>
      </c>
      <c r="D56" s="76" t="s">
        <v>154</v>
      </c>
      <c r="E56" s="76" t="s">
        <v>155</v>
      </c>
      <c r="F56" s="76" t="s">
        <v>44</v>
      </c>
      <c r="G56" s="76" t="s">
        <v>34</v>
      </c>
      <c r="H56" s="76">
        <f>STOCK[[#This Row],[Precio Final]]</f>
        <v>30</v>
      </c>
      <c r="I56" s="76">
        <f>STOCK[[#This Row],[Precio Venta Ideal (x1.5)]]</f>
        <v>32.53</v>
      </c>
      <c r="J56" s="91">
        <v>3</v>
      </c>
      <c r="K56" s="91">
        <f>SUMIFS(VENTAS[Cantidad],VENTAS[Código del producto Vendido],STOCK[[#This Row],[Code]])</f>
        <v>3</v>
      </c>
      <c r="L56" s="91">
        <f>STOCK[[#This Row],[Entradas]]-STOCK[[#This Row],[Salidas]]</f>
        <v>0</v>
      </c>
      <c r="M56" s="76">
        <f>STOCK[[#This Row],[Precio Final]]*10%</f>
        <v>3</v>
      </c>
      <c r="N56" s="76">
        <v>165</v>
      </c>
      <c r="O56" s="76">
        <v>18</v>
      </c>
      <c r="P56" s="76">
        <v>9.16666666666667</v>
      </c>
      <c r="Q56" s="91">
        <v>560</v>
      </c>
      <c r="R56" s="76">
        <v>17</v>
      </c>
      <c r="S56" s="76">
        <f>STOCK[[#This Row],[Peso (g)]]*STOCK[[#This Row],[Precio Envío Kilogramo (USD)]]/1000</f>
        <v>9.52</v>
      </c>
      <c r="T56" s="76">
        <f>STOCK[[#This Row],[Costo Unitario (USD)]]+STOCK[[#This Row],[Costo Envío (USD)]]+STOCK[[#This Row],[Comisión 10%]]</f>
        <v>21.6866666666667</v>
      </c>
      <c r="U56" s="76">
        <f>STOCK[[#This Row],[Costo total]]*1.5</f>
        <v>32.53</v>
      </c>
      <c r="V56" s="76">
        <v>30</v>
      </c>
      <c r="W56" s="76">
        <f>STOCK[[#This Row],[Precio Final]]-STOCK[[#This Row],[Costo total]]</f>
        <v>8.31333333333333</v>
      </c>
      <c r="X56" s="76">
        <f>STOCK[[#This Row],[Ganancia Unitaria]]*STOCK[[#This Row],[Salidas]]</f>
        <v>24.94</v>
      </c>
      <c r="AA56" s="76">
        <f>STOCK[[#This Row],[Costo total]]*STOCK[[#This Row],[Entradas]]</f>
        <v>65.06</v>
      </c>
      <c r="AB56" s="76">
        <f>STOCK[[#This Row],[Stock Actual]]*STOCK[[#This Row],[Costo total]]</f>
        <v>0</v>
      </c>
    </row>
    <row r="57" s="77" customFormat="1" ht="50" customHeight="1" spans="1:28">
      <c r="A57" s="77" t="s">
        <v>156</v>
      </c>
      <c r="B57" s="6"/>
      <c r="C57" s="77" t="s">
        <v>30</v>
      </c>
      <c r="D57" s="77" t="s">
        <v>154</v>
      </c>
      <c r="E57" s="77" t="s">
        <v>155</v>
      </c>
      <c r="F57" s="77" t="s">
        <v>47</v>
      </c>
      <c r="G57" s="77" t="s">
        <v>34</v>
      </c>
      <c r="H57" s="77">
        <f>STOCK[[#This Row],[Precio Final]]</f>
        <v>30</v>
      </c>
      <c r="I57" s="77">
        <f>STOCK[[#This Row],[Precio Venta Ideal (x1.5)]]</f>
        <v>32.53</v>
      </c>
      <c r="J57" s="92">
        <v>5</v>
      </c>
      <c r="K57" s="92">
        <f>SUMIFS(VENTAS[Cantidad],VENTAS[Código del producto Vendido],STOCK[[#This Row],[Code]])</f>
        <v>5</v>
      </c>
      <c r="L57" s="92">
        <f>STOCK[[#This Row],[Entradas]]-STOCK[[#This Row],[Salidas]]</f>
        <v>0</v>
      </c>
      <c r="M57" s="77">
        <f>STOCK[[#This Row],[Precio Final]]*10%</f>
        <v>3</v>
      </c>
      <c r="N57" s="77">
        <v>165</v>
      </c>
      <c r="O57" s="77">
        <v>18</v>
      </c>
      <c r="P57" s="77">
        <v>9.16666666666667</v>
      </c>
      <c r="Q57" s="92">
        <v>560</v>
      </c>
      <c r="R57" s="77">
        <v>17</v>
      </c>
      <c r="S57" s="77">
        <f>STOCK[[#This Row],[Peso (g)]]*STOCK[[#This Row],[Precio Envío Kilogramo (USD)]]/1000</f>
        <v>9.52</v>
      </c>
      <c r="T57" s="76">
        <f>STOCK[[#This Row],[Costo Unitario (USD)]]+STOCK[[#This Row],[Costo Envío (USD)]]+STOCK[[#This Row],[Comisión 10%]]</f>
        <v>21.6866666666667</v>
      </c>
      <c r="U57" s="77">
        <f>STOCK[[#This Row],[Costo total]]*1.5</f>
        <v>32.53</v>
      </c>
      <c r="V57" s="77">
        <v>30</v>
      </c>
      <c r="W57" s="77">
        <f>STOCK[[#This Row],[Precio Final]]-STOCK[[#This Row],[Costo total]]</f>
        <v>8.31333333333333</v>
      </c>
      <c r="X57" s="77">
        <f>STOCK[[#This Row],[Ganancia Unitaria]]*STOCK[[#This Row],[Salidas]]</f>
        <v>41.5666666666667</v>
      </c>
      <c r="AA57" s="77">
        <f>STOCK[[#This Row],[Costo total]]*STOCK[[#This Row],[Entradas]]</f>
        <v>108.433333333333</v>
      </c>
      <c r="AB57" s="77">
        <f>STOCK[[#This Row],[Stock Actual]]*STOCK[[#This Row],[Costo total]]</f>
        <v>0</v>
      </c>
    </row>
    <row r="58" s="76" customFormat="1" ht="50" customHeight="1" spans="1:28">
      <c r="A58" s="76" t="s">
        <v>157</v>
      </c>
      <c r="B58" s="6"/>
      <c r="C58" s="76" t="s">
        <v>30</v>
      </c>
      <c r="D58" s="76" t="s">
        <v>154</v>
      </c>
      <c r="E58" s="76" t="s">
        <v>155</v>
      </c>
      <c r="F58" s="76" t="s">
        <v>38</v>
      </c>
      <c r="G58" s="76" t="s">
        <v>34</v>
      </c>
      <c r="H58" s="76">
        <f>STOCK[[#This Row],[Precio Final]]</f>
        <v>30</v>
      </c>
      <c r="I58" s="76">
        <f>STOCK[[#This Row],[Precio Venta Ideal (x1.5)]]</f>
        <v>32.53</v>
      </c>
      <c r="J58" s="91">
        <v>3</v>
      </c>
      <c r="K58" s="91">
        <f>SUMIFS(VENTAS[Cantidad],VENTAS[Código del producto Vendido],STOCK[[#This Row],[Code]])</f>
        <v>3</v>
      </c>
      <c r="L58" s="91">
        <f>STOCK[[#This Row],[Entradas]]-STOCK[[#This Row],[Salidas]]</f>
        <v>0</v>
      </c>
      <c r="M58" s="76">
        <f>STOCK[[#This Row],[Precio Final]]*10%</f>
        <v>3</v>
      </c>
      <c r="N58" s="76">
        <v>165</v>
      </c>
      <c r="O58" s="76">
        <v>18</v>
      </c>
      <c r="P58" s="76">
        <v>9.16666666666667</v>
      </c>
      <c r="Q58" s="91">
        <v>560</v>
      </c>
      <c r="R58" s="76">
        <v>17</v>
      </c>
      <c r="S58" s="76">
        <f>STOCK[[#This Row],[Peso (g)]]*STOCK[[#This Row],[Precio Envío Kilogramo (USD)]]/1000</f>
        <v>9.52</v>
      </c>
      <c r="T58" s="76">
        <f>STOCK[[#This Row],[Costo Unitario (USD)]]+STOCK[[#This Row],[Costo Envío (USD)]]+STOCK[[#This Row],[Comisión 10%]]</f>
        <v>21.6866666666667</v>
      </c>
      <c r="U58" s="76">
        <f>STOCK[[#This Row],[Costo total]]*1.5</f>
        <v>32.53</v>
      </c>
      <c r="V58" s="76">
        <v>30</v>
      </c>
      <c r="W58" s="76">
        <f>STOCK[[#This Row],[Precio Final]]-STOCK[[#This Row],[Costo total]]</f>
        <v>8.31333333333333</v>
      </c>
      <c r="X58" s="76">
        <f>STOCK[[#This Row],[Ganancia Unitaria]]*STOCK[[#This Row],[Salidas]]</f>
        <v>24.94</v>
      </c>
      <c r="AA58" s="76">
        <f>STOCK[[#This Row],[Costo total]]*STOCK[[#This Row],[Entradas]]</f>
        <v>65.06</v>
      </c>
      <c r="AB58" s="76">
        <f>STOCK[[#This Row],[Stock Actual]]*STOCK[[#This Row],[Costo total]]</f>
        <v>0</v>
      </c>
    </row>
    <row r="59" s="77" customFormat="1" ht="50" customHeight="1" spans="1:28">
      <c r="A59" s="77" t="s">
        <v>158</v>
      </c>
      <c r="B59" s="6"/>
      <c r="C59" s="77" t="s">
        <v>30</v>
      </c>
      <c r="D59" s="77" t="s">
        <v>36</v>
      </c>
      <c r="E59" s="77" t="s">
        <v>72</v>
      </c>
      <c r="F59" s="77" t="s">
        <v>60</v>
      </c>
      <c r="G59" s="77" t="s">
        <v>34</v>
      </c>
      <c r="H59" s="77">
        <f>STOCK[[#This Row],[Precio Final]]</f>
        <v>25</v>
      </c>
      <c r="I59" s="77">
        <f>STOCK[[#This Row],[Precio Venta Ideal (x1.5)]]</f>
        <v>31.2133333333334</v>
      </c>
      <c r="J59" s="92">
        <v>1</v>
      </c>
      <c r="K59" s="92">
        <f>SUMIFS(VENTAS[Cantidad],VENTAS[Código del producto Vendido],STOCK[[#This Row],[Code]])</f>
        <v>1</v>
      </c>
      <c r="L59" s="92">
        <f>STOCK[[#This Row],[Entradas]]-STOCK[[#This Row],[Salidas]]</f>
        <v>0</v>
      </c>
      <c r="M59" s="77">
        <f>STOCK[[#This Row],[Precio Final]]*10%</f>
        <v>2.5</v>
      </c>
      <c r="N59" s="77">
        <v>250</v>
      </c>
      <c r="O59" s="77">
        <v>18</v>
      </c>
      <c r="P59" s="77">
        <v>13.8888888888889</v>
      </c>
      <c r="Q59" s="92">
        <v>260</v>
      </c>
      <c r="R59" s="77">
        <v>17</v>
      </c>
      <c r="S59" s="77">
        <f>STOCK[[#This Row],[Peso (g)]]*STOCK[[#This Row],[Precio Envío Kilogramo (USD)]]/1000</f>
        <v>4.42</v>
      </c>
      <c r="T59" s="76">
        <f>STOCK[[#This Row],[Costo Unitario (USD)]]+STOCK[[#This Row],[Costo Envío (USD)]]+STOCK[[#This Row],[Comisión 10%]]</f>
        <v>20.8088888888889</v>
      </c>
      <c r="U59" s="77">
        <f>STOCK[[#This Row],[Costo total]]*1.5</f>
        <v>31.2133333333334</v>
      </c>
      <c r="V59" s="77">
        <v>25</v>
      </c>
      <c r="W59" s="77">
        <f>STOCK[[#This Row],[Precio Final]]-STOCK[[#This Row],[Costo total]]</f>
        <v>4.1911111111111</v>
      </c>
      <c r="X59" s="77">
        <f>STOCK[[#This Row],[Ganancia Unitaria]]*STOCK[[#This Row],[Salidas]]</f>
        <v>4.1911111111111</v>
      </c>
      <c r="AA59" s="77">
        <f>STOCK[[#This Row],[Costo total]]*STOCK[[#This Row],[Entradas]]</f>
        <v>20.8088888888889</v>
      </c>
      <c r="AB59" s="77">
        <f>STOCK[[#This Row],[Stock Actual]]*STOCK[[#This Row],[Costo total]]</f>
        <v>0</v>
      </c>
    </row>
    <row r="60" s="76" customFormat="1" ht="50" customHeight="1" spans="1:28">
      <c r="A60" s="76" t="s">
        <v>159</v>
      </c>
      <c r="B60" s="6"/>
      <c r="C60" s="76" t="s">
        <v>30</v>
      </c>
      <c r="D60" s="76" t="s">
        <v>130</v>
      </c>
      <c r="E60" s="76" t="s">
        <v>160</v>
      </c>
      <c r="F60" s="76" t="s">
        <v>146</v>
      </c>
      <c r="G60" s="76" t="s">
        <v>34</v>
      </c>
      <c r="H60" s="76">
        <f>STOCK[[#This Row],[Precio Final]]</f>
        <v>18</v>
      </c>
      <c r="I60" s="76">
        <f>STOCK[[#This Row],[Precio Venta Ideal (x1.5)]]</f>
        <v>20.02</v>
      </c>
      <c r="J60" s="91">
        <v>1</v>
      </c>
      <c r="K60" s="91">
        <f>SUMIFS(VENTAS[Cantidad],VENTAS[Código del producto Vendido],STOCK[[#This Row],[Code]])</f>
        <v>1</v>
      </c>
      <c r="L60" s="91">
        <f>STOCK[[#This Row],[Entradas]]-STOCK[[#This Row],[Salidas]]</f>
        <v>0</v>
      </c>
      <c r="M60" s="76">
        <f>STOCK[[#This Row],[Precio Final]]*10%</f>
        <v>1.8</v>
      </c>
      <c r="N60" s="76">
        <v>165</v>
      </c>
      <c r="O60" s="76">
        <v>18</v>
      </c>
      <c r="P60" s="76">
        <v>9.16666666666667</v>
      </c>
      <c r="Q60" s="91">
        <v>140</v>
      </c>
      <c r="R60" s="76">
        <v>17</v>
      </c>
      <c r="S60" s="76">
        <f>STOCK[[#This Row],[Peso (g)]]*STOCK[[#This Row],[Precio Envío Kilogramo (USD)]]/1000</f>
        <v>2.38</v>
      </c>
      <c r="T60" s="76">
        <f>STOCK[[#This Row],[Costo Unitario (USD)]]+STOCK[[#This Row],[Costo Envío (USD)]]+STOCK[[#This Row],[Comisión 10%]]</f>
        <v>13.3466666666667</v>
      </c>
      <c r="U60" s="76">
        <f>STOCK[[#This Row],[Costo total]]*1.5</f>
        <v>20.02</v>
      </c>
      <c r="V60" s="76">
        <v>18</v>
      </c>
      <c r="W60" s="76">
        <f>STOCK[[#This Row],[Precio Final]]-STOCK[[#This Row],[Costo total]]</f>
        <v>4.65333333333333</v>
      </c>
      <c r="X60" s="76">
        <f>STOCK[[#This Row],[Ganancia Unitaria]]*STOCK[[#This Row],[Salidas]]</f>
        <v>4.65333333333333</v>
      </c>
      <c r="AA60" s="76">
        <f>STOCK[[#This Row],[Costo total]]*STOCK[[#This Row],[Entradas]]</f>
        <v>13.3466666666667</v>
      </c>
      <c r="AB60" s="76">
        <f>STOCK[[#This Row],[Stock Actual]]*STOCK[[#This Row],[Costo total]]</f>
        <v>0</v>
      </c>
    </row>
    <row r="61" s="77" customFormat="1" ht="50" customHeight="1" spans="1:28">
      <c r="A61" s="77" t="s">
        <v>161</v>
      </c>
      <c r="B61" s="6"/>
      <c r="C61" s="77" t="s">
        <v>30</v>
      </c>
      <c r="D61" s="77" t="s">
        <v>101</v>
      </c>
      <c r="E61" s="77" t="s">
        <v>162</v>
      </c>
      <c r="F61" s="77" t="s">
        <v>60</v>
      </c>
      <c r="G61" s="77" t="s">
        <v>34</v>
      </c>
      <c r="H61" s="77">
        <f>STOCK[[#This Row],[Precio Final]]</f>
        <v>20</v>
      </c>
      <c r="I61" s="77">
        <f>STOCK[[#This Row],[Precio Venta Ideal (x1.5)]]</f>
        <v>22.1141666666667</v>
      </c>
      <c r="J61" s="92">
        <v>1</v>
      </c>
      <c r="K61" s="92">
        <f>SUMIFS(VENTAS[Cantidad],VENTAS[Código del producto Vendido],STOCK[[#This Row],[Code]])</f>
        <v>1</v>
      </c>
      <c r="L61" s="92">
        <f>STOCK[[#This Row],[Entradas]]-STOCK[[#This Row],[Salidas]]</f>
        <v>0</v>
      </c>
      <c r="M61" s="77">
        <f>STOCK[[#This Row],[Precio Final]]*10%</f>
        <v>2</v>
      </c>
      <c r="N61" s="77">
        <v>185</v>
      </c>
      <c r="O61" s="77">
        <v>18</v>
      </c>
      <c r="P61" s="77">
        <v>10.2777777777778</v>
      </c>
      <c r="Q61" s="92">
        <v>145</v>
      </c>
      <c r="R61" s="77">
        <v>17</v>
      </c>
      <c r="S61" s="77">
        <f>STOCK[[#This Row],[Peso (g)]]*STOCK[[#This Row],[Precio Envío Kilogramo (USD)]]/1000</f>
        <v>2.465</v>
      </c>
      <c r="T61" s="76">
        <f>STOCK[[#This Row],[Costo Unitario (USD)]]+STOCK[[#This Row],[Costo Envío (USD)]]+STOCK[[#This Row],[Comisión 10%]]</f>
        <v>14.7427777777778</v>
      </c>
      <c r="U61" s="77">
        <f>STOCK[[#This Row],[Costo total]]*1.5</f>
        <v>22.1141666666667</v>
      </c>
      <c r="V61" s="77">
        <v>20</v>
      </c>
      <c r="W61" s="77">
        <f>STOCK[[#This Row],[Precio Final]]-STOCK[[#This Row],[Costo total]]</f>
        <v>5.2572222222222</v>
      </c>
      <c r="X61" s="77">
        <f>STOCK[[#This Row],[Ganancia Unitaria]]*STOCK[[#This Row],[Salidas]]</f>
        <v>5.2572222222222</v>
      </c>
      <c r="AA61" s="77">
        <f>STOCK[[#This Row],[Costo total]]*STOCK[[#This Row],[Entradas]]</f>
        <v>14.7427777777778</v>
      </c>
      <c r="AB61" s="77">
        <f>STOCK[[#This Row],[Stock Actual]]*STOCK[[#This Row],[Costo total]]</f>
        <v>0</v>
      </c>
    </row>
    <row r="62" s="76" customFormat="1" ht="50" customHeight="1" spans="1:28">
      <c r="A62" s="76" t="s">
        <v>163</v>
      </c>
      <c r="B62" s="6"/>
      <c r="C62" s="76" t="s">
        <v>30</v>
      </c>
      <c r="D62" s="76" t="s">
        <v>134</v>
      </c>
      <c r="E62" s="76" t="s">
        <v>164</v>
      </c>
      <c r="F62" s="76" t="s">
        <v>139</v>
      </c>
      <c r="G62" s="76" t="s">
        <v>34</v>
      </c>
      <c r="H62" s="76">
        <f>STOCK[[#This Row],[Precio Final]]</f>
        <v>20</v>
      </c>
      <c r="I62" s="76">
        <f>STOCK[[#This Row],[Precio Venta Ideal (x1.5)]]</f>
        <v>21.6633333333333</v>
      </c>
      <c r="J62" s="91">
        <v>1</v>
      </c>
      <c r="K62" s="91">
        <f>SUMIFS(VENTAS[Cantidad],VENTAS[Código del producto Vendido],STOCK[[#This Row],[Code]])</f>
        <v>1</v>
      </c>
      <c r="L62" s="91">
        <f>STOCK[[#This Row],[Entradas]]-STOCK[[#This Row],[Salidas]]</f>
        <v>0</v>
      </c>
      <c r="M62" s="76">
        <f>STOCK[[#This Row],[Precio Final]]*10%</f>
        <v>2</v>
      </c>
      <c r="N62" s="76">
        <v>175</v>
      </c>
      <c r="O62" s="76">
        <v>18</v>
      </c>
      <c r="P62" s="76">
        <v>9.72222222222222</v>
      </c>
      <c r="Q62" s="91">
        <v>160</v>
      </c>
      <c r="R62" s="76">
        <v>17</v>
      </c>
      <c r="S62" s="76">
        <f>STOCK[[#This Row],[Peso (g)]]*STOCK[[#This Row],[Precio Envío Kilogramo (USD)]]/1000</f>
        <v>2.72</v>
      </c>
      <c r="T62" s="76">
        <f>STOCK[[#This Row],[Costo Unitario (USD)]]+STOCK[[#This Row],[Costo Envío (USD)]]+STOCK[[#This Row],[Comisión 10%]]</f>
        <v>14.4422222222222</v>
      </c>
      <c r="U62" s="76">
        <f>STOCK[[#This Row],[Costo total]]*1.5</f>
        <v>21.6633333333333</v>
      </c>
      <c r="V62" s="76">
        <v>20</v>
      </c>
      <c r="W62" s="76">
        <f>STOCK[[#This Row],[Precio Final]]-STOCK[[#This Row],[Costo total]]</f>
        <v>5.55777777777778</v>
      </c>
      <c r="X62" s="76">
        <f>STOCK[[#This Row],[Ganancia Unitaria]]*STOCK[[#This Row],[Salidas]]</f>
        <v>5.55777777777778</v>
      </c>
      <c r="AA62" s="76">
        <f>STOCK[[#This Row],[Costo total]]*STOCK[[#This Row],[Entradas]]</f>
        <v>14.4422222222222</v>
      </c>
      <c r="AB62" s="76">
        <f>STOCK[[#This Row],[Stock Actual]]*STOCK[[#This Row],[Costo total]]</f>
        <v>0</v>
      </c>
    </row>
    <row r="63" s="77" customFormat="1" ht="50" customHeight="1" spans="1:28">
      <c r="A63" s="77" t="s">
        <v>165</v>
      </c>
      <c r="B63" s="6"/>
      <c r="C63" s="77" t="s">
        <v>30</v>
      </c>
      <c r="D63" s="77" t="s">
        <v>42</v>
      </c>
      <c r="E63" s="77" t="s">
        <v>166</v>
      </c>
      <c r="F63" s="77" t="s">
        <v>60</v>
      </c>
      <c r="G63" s="77" t="s">
        <v>34</v>
      </c>
      <c r="H63" s="77">
        <f>STOCK[[#This Row],[Precio Final]]</f>
        <v>25</v>
      </c>
      <c r="I63" s="77">
        <f>STOCK[[#This Row],[Precio Venta Ideal (x1.5)]]</f>
        <v>29.7333333333333</v>
      </c>
      <c r="J63" s="92">
        <v>1</v>
      </c>
      <c r="K63" s="92">
        <f>SUMIFS(VENTAS[Cantidad],VENTAS[Código del producto Vendido],STOCK[[#This Row],[Code]])</f>
        <v>1</v>
      </c>
      <c r="L63" s="92">
        <f>STOCK[[#This Row],[Entradas]]-STOCK[[#This Row],[Salidas]]</f>
        <v>0</v>
      </c>
      <c r="M63" s="77">
        <f>STOCK[[#This Row],[Precio Final]]*10%</f>
        <v>2.5</v>
      </c>
      <c r="N63" s="77">
        <v>265</v>
      </c>
      <c r="O63" s="77">
        <v>18</v>
      </c>
      <c r="P63" s="77">
        <v>14.7222222222222</v>
      </c>
      <c r="Q63" s="92">
        <v>325</v>
      </c>
      <c r="R63" s="77">
        <v>8</v>
      </c>
      <c r="S63" s="77">
        <f>STOCK[[#This Row],[Peso (g)]]*STOCK[[#This Row],[Precio Envío Kilogramo (USD)]]/1000</f>
        <v>2.6</v>
      </c>
      <c r="T63" s="76">
        <f>STOCK[[#This Row],[Costo Unitario (USD)]]+STOCK[[#This Row],[Costo Envío (USD)]]+STOCK[[#This Row],[Comisión 10%]]</f>
        <v>19.8222222222222</v>
      </c>
      <c r="U63" s="77">
        <f>STOCK[[#This Row],[Costo total]]*1.5</f>
        <v>29.7333333333333</v>
      </c>
      <c r="V63" s="77">
        <v>25</v>
      </c>
      <c r="W63" s="77">
        <f>STOCK[[#This Row],[Precio Final]]-STOCK[[#This Row],[Costo total]]</f>
        <v>5.1777777777778</v>
      </c>
      <c r="X63" s="77">
        <f>STOCK[[#This Row],[Ganancia Unitaria]]*STOCK[[#This Row],[Salidas]]</f>
        <v>5.1777777777778</v>
      </c>
      <c r="Y63" s="77" t="s">
        <v>167</v>
      </c>
      <c r="AA63" s="77">
        <f>STOCK[[#This Row],[Costo total]]*STOCK[[#This Row],[Entradas]]</f>
        <v>19.8222222222222</v>
      </c>
      <c r="AB63" s="77">
        <f>STOCK[[#This Row],[Stock Actual]]*STOCK[[#This Row],[Costo total]]</f>
        <v>0</v>
      </c>
    </row>
    <row r="64" s="76" customFormat="1" ht="50" customHeight="1" spans="1:28">
      <c r="A64" s="76" t="s">
        <v>168</v>
      </c>
      <c r="B64" s="6"/>
      <c r="C64" s="76" t="s">
        <v>30</v>
      </c>
      <c r="D64" s="76" t="s">
        <v>42</v>
      </c>
      <c r="E64" s="76" t="s">
        <v>169</v>
      </c>
      <c r="F64" s="76" t="s">
        <v>60</v>
      </c>
      <c r="G64" s="76" t="s">
        <v>34</v>
      </c>
      <c r="H64" s="76">
        <f>STOCK[[#This Row],[Precio Final]]</f>
        <v>30</v>
      </c>
      <c r="I64" s="76">
        <f>STOCK[[#This Row],[Precio Venta Ideal (x1.5)]]</f>
        <v>35.7833333333334</v>
      </c>
      <c r="J64" s="91">
        <v>1</v>
      </c>
      <c r="K64" s="91">
        <f>SUMIFS(VENTAS[Cantidad],VENTAS[Código del producto Vendido],STOCK[[#This Row],[Code]])</f>
        <v>1</v>
      </c>
      <c r="L64" s="91">
        <f>STOCK[[#This Row],[Entradas]]-STOCK[[#This Row],[Salidas]]</f>
        <v>0</v>
      </c>
      <c r="M64" s="76">
        <f>STOCK[[#This Row],[Precio Final]]*10%</f>
        <v>3</v>
      </c>
      <c r="N64" s="76">
        <v>325</v>
      </c>
      <c r="O64" s="76">
        <v>18</v>
      </c>
      <c r="P64" s="76">
        <v>18.0555555555556</v>
      </c>
      <c r="Q64" s="91">
        <v>350</v>
      </c>
      <c r="R64" s="76">
        <v>8</v>
      </c>
      <c r="S64" s="76">
        <f>STOCK[[#This Row],[Peso (g)]]*STOCK[[#This Row],[Precio Envío Kilogramo (USD)]]/1000</f>
        <v>2.8</v>
      </c>
      <c r="T64" s="76">
        <f>STOCK[[#This Row],[Costo Unitario (USD)]]+STOCK[[#This Row],[Costo Envío (USD)]]+STOCK[[#This Row],[Comisión 10%]]</f>
        <v>23.8555555555556</v>
      </c>
      <c r="U64" s="76">
        <f>STOCK[[#This Row],[Costo total]]*1.5</f>
        <v>35.7833333333334</v>
      </c>
      <c r="V64" s="76">
        <v>30</v>
      </c>
      <c r="W64" s="76">
        <f>STOCK[[#This Row],[Precio Final]]-STOCK[[#This Row],[Costo total]]</f>
        <v>6.1444444444444</v>
      </c>
      <c r="X64" s="76">
        <f>STOCK[[#This Row],[Ganancia Unitaria]]*STOCK[[#This Row],[Salidas]]</f>
        <v>6.1444444444444</v>
      </c>
      <c r="Y64" s="76" t="s">
        <v>167</v>
      </c>
      <c r="AA64" s="76">
        <f>STOCK[[#This Row],[Costo total]]*STOCK[[#This Row],[Entradas]]</f>
        <v>23.8555555555556</v>
      </c>
      <c r="AB64" s="76">
        <f>STOCK[[#This Row],[Stock Actual]]*STOCK[[#This Row],[Costo total]]</f>
        <v>0</v>
      </c>
    </row>
    <row r="65" s="77" customFormat="1" ht="50" customHeight="1" spans="1:28">
      <c r="A65" s="77" t="s">
        <v>170</v>
      </c>
      <c r="B65" s="6"/>
      <c r="C65" s="77" t="s">
        <v>30</v>
      </c>
      <c r="D65" s="77" t="s">
        <v>42</v>
      </c>
      <c r="E65" s="77" t="s">
        <v>171</v>
      </c>
      <c r="F65" s="77" t="s">
        <v>60</v>
      </c>
      <c r="G65" s="77" t="s">
        <v>34</v>
      </c>
      <c r="H65" s="77">
        <f>STOCK[[#This Row],[Precio Final]]</f>
        <v>30</v>
      </c>
      <c r="I65" s="77">
        <f>STOCK[[#This Row],[Precio Venta Ideal (x1.5)]]</f>
        <v>30.9</v>
      </c>
      <c r="J65" s="92">
        <v>1</v>
      </c>
      <c r="K65" s="92">
        <f>SUMIFS(VENTAS[Cantidad],VENTAS[Código del producto Vendido],STOCK[[#This Row],[Code]])</f>
        <v>1</v>
      </c>
      <c r="L65" s="92">
        <f>STOCK[[#This Row],[Entradas]]-STOCK[[#This Row],[Salidas]]</f>
        <v>0</v>
      </c>
      <c r="M65" s="77">
        <f>STOCK[[#This Row],[Precio Final]]*10%</f>
        <v>3</v>
      </c>
      <c r="N65" s="77">
        <v>270</v>
      </c>
      <c r="O65" s="77">
        <v>18</v>
      </c>
      <c r="P65" s="77">
        <v>15</v>
      </c>
      <c r="Q65" s="92">
        <v>325</v>
      </c>
      <c r="R65" s="77">
        <v>8</v>
      </c>
      <c r="S65" s="77">
        <f>STOCK[[#This Row],[Peso (g)]]*STOCK[[#This Row],[Precio Envío Kilogramo (USD)]]/1000</f>
        <v>2.6</v>
      </c>
      <c r="T65" s="76">
        <f>STOCK[[#This Row],[Costo Unitario (USD)]]+STOCK[[#This Row],[Costo Envío (USD)]]+STOCK[[#This Row],[Comisión 10%]]</f>
        <v>20.6</v>
      </c>
      <c r="U65" s="77">
        <f>STOCK[[#This Row],[Costo total]]*1.5</f>
        <v>30.9</v>
      </c>
      <c r="V65" s="77">
        <v>30</v>
      </c>
      <c r="W65" s="77">
        <f>STOCK[[#This Row],[Precio Final]]-STOCK[[#This Row],[Costo total]]</f>
        <v>9.4</v>
      </c>
      <c r="X65" s="77">
        <f>STOCK[[#This Row],[Ganancia Unitaria]]*STOCK[[#This Row],[Salidas]]</f>
        <v>9.4</v>
      </c>
      <c r="Y65" s="77" t="s">
        <v>167</v>
      </c>
      <c r="AA65" s="77">
        <f>STOCK[[#This Row],[Costo total]]*STOCK[[#This Row],[Entradas]]</f>
        <v>20.6</v>
      </c>
      <c r="AB65" s="77">
        <f>STOCK[[#This Row],[Stock Actual]]*STOCK[[#This Row],[Costo total]]</f>
        <v>0</v>
      </c>
    </row>
    <row r="66" s="76" customFormat="1" ht="50" customHeight="1" spans="1:28">
      <c r="A66" s="76" t="s">
        <v>172</v>
      </c>
      <c r="B66" s="6"/>
      <c r="C66" s="76" t="s">
        <v>30</v>
      </c>
      <c r="D66" s="76" t="s">
        <v>173</v>
      </c>
      <c r="E66" s="76" t="s">
        <v>174</v>
      </c>
      <c r="F66" s="76" t="s">
        <v>47</v>
      </c>
      <c r="G66" s="76" t="s">
        <v>34</v>
      </c>
      <c r="H66" s="76">
        <f>STOCK[[#This Row],[Precio Final]]</f>
        <v>12</v>
      </c>
      <c r="I66" s="76">
        <f>STOCK[[#This Row],[Precio Venta Ideal (x1.5)]]</f>
        <v>12.13</v>
      </c>
      <c r="J66" s="91">
        <v>1</v>
      </c>
      <c r="K66" s="91">
        <f>SUMIFS(VENTAS[Cantidad],VENTAS[Código del producto Vendido],STOCK[[#This Row],[Code]])</f>
        <v>1</v>
      </c>
      <c r="L66" s="91">
        <f>STOCK[[#This Row],[Entradas]]-STOCK[[#This Row],[Salidas]]</f>
        <v>0</v>
      </c>
      <c r="M66" s="76">
        <f>STOCK[[#This Row],[Precio Final]]*10%</f>
        <v>1.2</v>
      </c>
      <c r="N66" s="76">
        <v>111</v>
      </c>
      <c r="O66" s="76">
        <v>18</v>
      </c>
      <c r="P66" s="76">
        <v>6.16666666666667</v>
      </c>
      <c r="Q66" s="91">
        <v>90</v>
      </c>
      <c r="R66" s="76">
        <v>8</v>
      </c>
      <c r="S66" s="76">
        <f>STOCK[[#This Row],[Peso (g)]]*STOCK[[#This Row],[Precio Envío Kilogramo (USD)]]/1000</f>
        <v>0.72</v>
      </c>
      <c r="T66" s="76">
        <f>STOCK[[#This Row],[Costo Unitario (USD)]]+STOCK[[#This Row],[Costo Envío (USD)]]+STOCK[[#This Row],[Comisión 10%]]</f>
        <v>8.08666666666667</v>
      </c>
      <c r="U66" s="76">
        <f>STOCK[[#This Row],[Costo total]]*1.5</f>
        <v>12.13</v>
      </c>
      <c r="V66" s="76">
        <v>12</v>
      </c>
      <c r="W66" s="76">
        <f>STOCK[[#This Row],[Precio Final]]-STOCK[[#This Row],[Costo total]]</f>
        <v>3.91333333333333</v>
      </c>
      <c r="X66" s="76">
        <f>STOCK[[#This Row],[Ganancia Unitaria]]*STOCK[[#This Row],[Salidas]]</f>
        <v>3.91333333333333</v>
      </c>
      <c r="Y66" s="76" t="s">
        <v>167</v>
      </c>
      <c r="AA66" s="76">
        <f>STOCK[[#This Row],[Costo total]]*STOCK[[#This Row],[Entradas]]</f>
        <v>8.08666666666667</v>
      </c>
      <c r="AB66" s="76">
        <f>STOCK[[#This Row],[Stock Actual]]*STOCK[[#This Row],[Costo total]]</f>
        <v>0</v>
      </c>
    </row>
    <row r="67" s="77" customFormat="1" ht="50" customHeight="1" spans="1:28">
      <c r="A67" s="77" t="s">
        <v>175</v>
      </c>
      <c r="B67" s="6"/>
      <c r="C67" s="77" t="s">
        <v>30</v>
      </c>
      <c r="D67" s="77" t="s">
        <v>42</v>
      </c>
      <c r="E67" s="77" t="s">
        <v>176</v>
      </c>
      <c r="F67" s="77" t="s">
        <v>60</v>
      </c>
      <c r="G67" s="77" t="s">
        <v>34</v>
      </c>
      <c r="H67" s="77">
        <f>STOCK[[#This Row],[Precio Final]]</f>
        <v>28</v>
      </c>
      <c r="I67" s="77">
        <f>STOCK[[#This Row],[Precio Venta Ideal (x1.5)]]</f>
        <v>29.3533333333333</v>
      </c>
      <c r="J67" s="92">
        <v>1</v>
      </c>
      <c r="K67" s="92">
        <f>SUMIFS(VENTAS[Cantidad],VENTAS[Código del producto Vendido],STOCK[[#This Row],[Code]])</f>
        <v>1</v>
      </c>
      <c r="L67" s="92">
        <f>STOCK[[#This Row],[Entradas]]-STOCK[[#This Row],[Salidas]]</f>
        <v>0</v>
      </c>
      <c r="M67" s="77">
        <f>STOCK[[#This Row],[Precio Final]]*10%</f>
        <v>2.8</v>
      </c>
      <c r="N67" s="77">
        <v>250</v>
      </c>
      <c r="O67" s="77">
        <v>18</v>
      </c>
      <c r="P67" s="77">
        <v>13.8888888888889</v>
      </c>
      <c r="Q67" s="92">
        <v>360</v>
      </c>
      <c r="R67" s="77">
        <v>8</v>
      </c>
      <c r="S67" s="77">
        <f>STOCK[[#This Row],[Peso (g)]]*STOCK[[#This Row],[Precio Envío Kilogramo (USD)]]/1000</f>
        <v>2.88</v>
      </c>
      <c r="T67" s="76">
        <f>STOCK[[#This Row],[Costo Unitario (USD)]]+STOCK[[#This Row],[Costo Envío (USD)]]+STOCK[[#This Row],[Comisión 10%]]</f>
        <v>19.5688888888889</v>
      </c>
      <c r="U67" s="77">
        <f>STOCK[[#This Row],[Costo total]]*1.5</f>
        <v>29.3533333333333</v>
      </c>
      <c r="V67" s="77">
        <v>28</v>
      </c>
      <c r="W67" s="77">
        <f>STOCK[[#This Row],[Precio Final]]-STOCK[[#This Row],[Costo total]]</f>
        <v>8.4311111111111</v>
      </c>
      <c r="X67" s="77">
        <f>STOCK[[#This Row],[Ganancia Unitaria]]*STOCK[[#This Row],[Salidas]]</f>
        <v>8.4311111111111</v>
      </c>
      <c r="Y67" s="77" t="s">
        <v>167</v>
      </c>
      <c r="AA67" s="77">
        <f>STOCK[[#This Row],[Costo total]]*STOCK[[#This Row],[Entradas]]</f>
        <v>19.5688888888889</v>
      </c>
      <c r="AB67" s="77">
        <f>STOCK[[#This Row],[Stock Actual]]*STOCK[[#This Row],[Costo total]]</f>
        <v>0</v>
      </c>
    </row>
    <row r="68" s="76" customFormat="1" ht="50" customHeight="1" spans="1:28">
      <c r="A68" s="76" t="s">
        <v>177</v>
      </c>
      <c r="B68" s="6"/>
      <c r="C68" s="76" t="s">
        <v>30</v>
      </c>
      <c r="D68" s="76" t="s">
        <v>42</v>
      </c>
      <c r="E68" s="76" t="s">
        <v>178</v>
      </c>
      <c r="F68" s="76" t="s">
        <v>47</v>
      </c>
      <c r="G68" s="76" t="s">
        <v>34</v>
      </c>
      <c r="H68" s="76">
        <f>STOCK[[#This Row],[Precio Final]]</f>
        <v>28</v>
      </c>
      <c r="I68" s="76">
        <f>STOCK[[#This Row],[Precio Venta Ideal (x1.5)]]</f>
        <v>29.3533333333333</v>
      </c>
      <c r="J68" s="91">
        <v>1</v>
      </c>
      <c r="K68" s="91">
        <f>SUMIFS(VENTAS[Cantidad],VENTAS[Código del producto Vendido],STOCK[[#This Row],[Code]])</f>
        <v>1</v>
      </c>
      <c r="L68" s="91">
        <f>STOCK[[#This Row],[Entradas]]-STOCK[[#This Row],[Salidas]]</f>
        <v>0</v>
      </c>
      <c r="M68" s="76">
        <f>STOCK[[#This Row],[Precio Final]]*10%</f>
        <v>2.8</v>
      </c>
      <c r="N68" s="76">
        <v>250</v>
      </c>
      <c r="O68" s="76">
        <v>18</v>
      </c>
      <c r="P68" s="76">
        <v>13.8888888888889</v>
      </c>
      <c r="Q68" s="91">
        <v>360</v>
      </c>
      <c r="R68" s="76">
        <v>8</v>
      </c>
      <c r="S68" s="76">
        <f>STOCK[[#This Row],[Peso (g)]]*STOCK[[#This Row],[Precio Envío Kilogramo (USD)]]/1000</f>
        <v>2.88</v>
      </c>
      <c r="T68" s="76">
        <f>STOCK[[#This Row],[Costo Unitario (USD)]]+STOCK[[#This Row],[Costo Envío (USD)]]+STOCK[[#This Row],[Comisión 10%]]</f>
        <v>19.5688888888889</v>
      </c>
      <c r="U68" s="76">
        <f>STOCK[[#This Row],[Costo total]]*1.5</f>
        <v>29.3533333333333</v>
      </c>
      <c r="V68" s="76">
        <v>28</v>
      </c>
      <c r="W68" s="76">
        <f>STOCK[[#This Row],[Precio Final]]-STOCK[[#This Row],[Costo total]]</f>
        <v>8.4311111111111</v>
      </c>
      <c r="X68" s="76">
        <f>STOCK[[#This Row],[Ganancia Unitaria]]*STOCK[[#This Row],[Salidas]]</f>
        <v>8.4311111111111</v>
      </c>
      <c r="Y68" s="76" t="s">
        <v>167</v>
      </c>
      <c r="AA68" s="76">
        <f>STOCK[[#This Row],[Costo total]]*STOCK[[#This Row],[Entradas]]</f>
        <v>19.5688888888889</v>
      </c>
      <c r="AB68" s="76">
        <f>STOCK[[#This Row],[Stock Actual]]*STOCK[[#This Row],[Costo total]]</f>
        <v>0</v>
      </c>
    </row>
    <row r="69" s="77" customFormat="1" ht="50" customHeight="1" spans="1:28">
      <c r="A69" s="77" t="s">
        <v>179</v>
      </c>
      <c r="B69" s="6"/>
      <c r="C69" s="77" t="s">
        <v>30</v>
      </c>
      <c r="D69" s="77" t="s">
        <v>173</v>
      </c>
      <c r="E69" s="77" t="s">
        <v>180</v>
      </c>
      <c r="F69" s="77" t="s">
        <v>38</v>
      </c>
      <c r="G69" s="77" t="s">
        <v>34</v>
      </c>
      <c r="H69" s="77">
        <f>STOCK[[#This Row],[Precio Final]]</f>
        <v>14</v>
      </c>
      <c r="I69" s="77">
        <f>STOCK[[#This Row],[Precio Venta Ideal (x1.5)]]</f>
        <v>15.3866666666667</v>
      </c>
      <c r="J69" s="92">
        <v>1</v>
      </c>
      <c r="K69" s="92">
        <f>SUMIFS(VENTAS[Cantidad],VENTAS[Código del producto Vendido],STOCK[[#This Row],[Code]])</f>
        <v>1</v>
      </c>
      <c r="L69" s="92">
        <f>STOCK[[#This Row],[Entradas]]-STOCK[[#This Row],[Salidas]]</f>
        <v>0</v>
      </c>
      <c r="M69" s="77">
        <f>STOCK[[#This Row],[Precio Final]]*10%</f>
        <v>1.4</v>
      </c>
      <c r="N69" s="77">
        <v>140</v>
      </c>
      <c r="O69" s="77">
        <v>18</v>
      </c>
      <c r="P69" s="77">
        <v>7.77777777777778</v>
      </c>
      <c r="Q69" s="92">
        <v>135</v>
      </c>
      <c r="R69" s="77">
        <v>8</v>
      </c>
      <c r="S69" s="77">
        <f>STOCK[[#This Row],[Peso (g)]]*STOCK[[#This Row],[Precio Envío Kilogramo (USD)]]/1000</f>
        <v>1.08</v>
      </c>
      <c r="T69" s="76">
        <f>STOCK[[#This Row],[Costo Unitario (USD)]]+STOCK[[#This Row],[Costo Envío (USD)]]+STOCK[[#This Row],[Comisión 10%]]</f>
        <v>10.2577777777778</v>
      </c>
      <c r="U69" s="77">
        <f>STOCK[[#This Row],[Costo total]]*1.5</f>
        <v>15.3866666666667</v>
      </c>
      <c r="V69" s="77">
        <v>14</v>
      </c>
      <c r="W69" s="77">
        <f>STOCK[[#This Row],[Precio Final]]-STOCK[[#This Row],[Costo total]]</f>
        <v>3.74222222222222</v>
      </c>
      <c r="X69" s="77">
        <f>STOCK[[#This Row],[Ganancia Unitaria]]*STOCK[[#This Row],[Salidas]]</f>
        <v>3.74222222222222</v>
      </c>
      <c r="Y69" s="77" t="s">
        <v>167</v>
      </c>
      <c r="AA69" s="77">
        <f>STOCK[[#This Row],[Costo total]]*STOCK[[#This Row],[Entradas]]</f>
        <v>10.2577777777778</v>
      </c>
      <c r="AB69" s="77">
        <f>STOCK[[#This Row],[Stock Actual]]*STOCK[[#This Row],[Costo total]]</f>
        <v>0</v>
      </c>
    </row>
    <row r="70" s="76" customFormat="1" ht="50" customHeight="1" spans="1:28">
      <c r="A70" s="76" t="s">
        <v>181</v>
      </c>
      <c r="B70" s="6"/>
      <c r="C70" s="76" t="s">
        <v>30</v>
      </c>
      <c r="D70" s="76" t="s">
        <v>173</v>
      </c>
      <c r="E70" s="76" t="s">
        <v>180</v>
      </c>
      <c r="F70" s="76" t="s">
        <v>47</v>
      </c>
      <c r="G70" s="76" t="s">
        <v>34</v>
      </c>
      <c r="H70" s="76">
        <f>STOCK[[#This Row],[Precio Final]]</f>
        <v>14</v>
      </c>
      <c r="I70" s="76">
        <f>STOCK[[#This Row],[Precio Venta Ideal (x1.5)]]</f>
        <v>15.4466666666667</v>
      </c>
      <c r="J70" s="91">
        <v>1</v>
      </c>
      <c r="K70" s="91">
        <f>SUMIFS(VENTAS[Cantidad],VENTAS[Código del producto Vendido],STOCK[[#This Row],[Code]])</f>
        <v>1</v>
      </c>
      <c r="L70" s="91">
        <f>STOCK[[#This Row],[Entradas]]-STOCK[[#This Row],[Salidas]]</f>
        <v>0</v>
      </c>
      <c r="M70" s="76">
        <f>STOCK[[#This Row],[Precio Final]]*10%</f>
        <v>1.4</v>
      </c>
      <c r="N70" s="76">
        <v>140</v>
      </c>
      <c r="O70" s="76">
        <v>18</v>
      </c>
      <c r="P70" s="76">
        <v>7.77777777777778</v>
      </c>
      <c r="Q70" s="91">
        <v>140</v>
      </c>
      <c r="R70" s="76">
        <v>8</v>
      </c>
      <c r="S70" s="76">
        <f>STOCK[[#This Row],[Peso (g)]]*STOCK[[#This Row],[Precio Envío Kilogramo (USD)]]/1000</f>
        <v>1.12</v>
      </c>
      <c r="T70" s="76">
        <f>STOCK[[#This Row],[Costo Unitario (USD)]]+STOCK[[#This Row],[Costo Envío (USD)]]+STOCK[[#This Row],[Comisión 10%]]</f>
        <v>10.2977777777778</v>
      </c>
      <c r="U70" s="76">
        <f>STOCK[[#This Row],[Costo total]]*1.5</f>
        <v>15.4466666666667</v>
      </c>
      <c r="V70" s="76">
        <v>14</v>
      </c>
      <c r="W70" s="76">
        <f>STOCK[[#This Row],[Precio Final]]-STOCK[[#This Row],[Costo total]]</f>
        <v>3.70222222222222</v>
      </c>
      <c r="X70" s="76">
        <f>STOCK[[#This Row],[Ganancia Unitaria]]*STOCK[[#This Row],[Salidas]]</f>
        <v>3.70222222222222</v>
      </c>
      <c r="Y70" s="76" t="s">
        <v>167</v>
      </c>
      <c r="AA70" s="76">
        <f>STOCK[[#This Row],[Costo total]]*STOCK[[#This Row],[Entradas]]</f>
        <v>10.2977777777778</v>
      </c>
      <c r="AB70" s="76">
        <f>STOCK[[#This Row],[Stock Actual]]*STOCK[[#This Row],[Costo total]]</f>
        <v>0</v>
      </c>
    </row>
    <row r="71" s="77" customFormat="1" ht="50" customHeight="1" spans="1:28">
      <c r="A71" s="77" t="s">
        <v>182</v>
      </c>
      <c r="B71" s="6"/>
      <c r="C71" s="77" t="s">
        <v>30</v>
      </c>
      <c r="D71" s="77" t="s">
        <v>173</v>
      </c>
      <c r="E71" s="77" t="s">
        <v>183</v>
      </c>
      <c r="F71" s="77" t="s">
        <v>44</v>
      </c>
      <c r="G71" s="77" t="s">
        <v>34</v>
      </c>
      <c r="H71" s="77">
        <f>STOCK[[#This Row],[Precio Final]]</f>
        <v>14</v>
      </c>
      <c r="I71" s="77">
        <f>STOCK[[#This Row],[Precio Venta Ideal (x1.5)]]</f>
        <v>15.3866666666667</v>
      </c>
      <c r="J71" s="92">
        <v>1</v>
      </c>
      <c r="K71" s="92">
        <f>SUMIFS(VENTAS[Cantidad],VENTAS[Código del producto Vendido],STOCK[[#This Row],[Code]])</f>
        <v>1</v>
      </c>
      <c r="L71" s="92">
        <f>STOCK[[#This Row],[Entradas]]-STOCK[[#This Row],[Salidas]]</f>
        <v>0</v>
      </c>
      <c r="M71" s="77">
        <f>STOCK[[#This Row],[Precio Final]]*10%</f>
        <v>1.4</v>
      </c>
      <c r="N71" s="77">
        <v>140</v>
      </c>
      <c r="O71" s="77">
        <v>18</v>
      </c>
      <c r="P71" s="77">
        <v>7.77777777777778</v>
      </c>
      <c r="Q71" s="92">
        <v>135</v>
      </c>
      <c r="R71" s="77">
        <v>8</v>
      </c>
      <c r="S71" s="77">
        <f>STOCK[[#This Row],[Peso (g)]]*STOCK[[#This Row],[Precio Envío Kilogramo (USD)]]/1000</f>
        <v>1.08</v>
      </c>
      <c r="T71" s="76">
        <f>STOCK[[#This Row],[Costo Unitario (USD)]]+STOCK[[#This Row],[Costo Envío (USD)]]+STOCK[[#This Row],[Comisión 10%]]</f>
        <v>10.2577777777778</v>
      </c>
      <c r="U71" s="77">
        <f>STOCK[[#This Row],[Costo total]]*1.5</f>
        <v>15.3866666666667</v>
      </c>
      <c r="V71" s="77">
        <v>14</v>
      </c>
      <c r="W71" s="77">
        <f>STOCK[[#This Row],[Precio Final]]-STOCK[[#This Row],[Costo total]]</f>
        <v>3.74222222222222</v>
      </c>
      <c r="X71" s="77">
        <f>STOCK[[#This Row],[Ganancia Unitaria]]*STOCK[[#This Row],[Salidas]]</f>
        <v>3.74222222222222</v>
      </c>
      <c r="Y71" s="77" t="s">
        <v>167</v>
      </c>
      <c r="AA71" s="77">
        <f>STOCK[[#This Row],[Costo total]]*STOCK[[#This Row],[Entradas]]</f>
        <v>10.2577777777778</v>
      </c>
      <c r="AB71" s="77">
        <f>STOCK[[#This Row],[Stock Actual]]*STOCK[[#This Row],[Costo total]]</f>
        <v>0</v>
      </c>
    </row>
    <row r="72" s="76" customFormat="1" ht="50" customHeight="1" spans="1:28">
      <c r="A72" s="76" t="s">
        <v>184</v>
      </c>
      <c r="B72" s="6"/>
      <c r="C72" s="76" t="s">
        <v>30</v>
      </c>
      <c r="D72" s="76" t="s">
        <v>173</v>
      </c>
      <c r="E72" s="76" t="s">
        <v>185</v>
      </c>
      <c r="F72" s="76" t="s">
        <v>186</v>
      </c>
      <c r="G72" s="76" t="s">
        <v>34</v>
      </c>
      <c r="H72" s="76">
        <f>STOCK[[#This Row],[Precio Final]]</f>
        <v>12</v>
      </c>
      <c r="I72" s="76">
        <f>STOCK[[#This Row],[Precio Venta Ideal (x1.5)]]</f>
        <v>14.7866666666667</v>
      </c>
      <c r="J72" s="91">
        <v>1</v>
      </c>
      <c r="K72" s="91">
        <f>SUMIFS(VENTAS[Cantidad],VENTAS[Código del producto Vendido],STOCK[[#This Row],[Code]])</f>
        <v>1</v>
      </c>
      <c r="L72" s="91">
        <f>STOCK[[#This Row],[Entradas]]-STOCK[[#This Row],[Salidas]]</f>
        <v>0</v>
      </c>
      <c r="M72" s="76">
        <f>STOCK[[#This Row],[Precio Final]]*10%</f>
        <v>1.2</v>
      </c>
      <c r="N72" s="76">
        <v>140</v>
      </c>
      <c r="O72" s="76">
        <v>18</v>
      </c>
      <c r="P72" s="76">
        <v>7.77777777777778</v>
      </c>
      <c r="Q72" s="91">
        <v>110</v>
      </c>
      <c r="R72" s="76">
        <v>8</v>
      </c>
      <c r="S72" s="76">
        <f>STOCK[[#This Row],[Peso (g)]]*STOCK[[#This Row],[Precio Envío Kilogramo (USD)]]/1000</f>
        <v>0.88</v>
      </c>
      <c r="T72" s="76">
        <f>STOCK[[#This Row],[Costo Unitario (USD)]]+STOCK[[#This Row],[Costo Envío (USD)]]+STOCK[[#This Row],[Comisión 10%]]</f>
        <v>9.85777777777778</v>
      </c>
      <c r="U72" s="76">
        <f>STOCK[[#This Row],[Costo total]]*1.5</f>
        <v>14.7866666666667</v>
      </c>
      <c r="V72" s="76">
        <v>12</v>
      </c>
      <c r="W72" s="76">
        <f>STOCK[[#This Row],[Precio Final]]-STOCK[[#This Row],[Costo total]]</f>
        <v>2.14222222222222</v>
      </c>
      <c r="X72" s="76">
        <f>STOCK[[#This Row],[Ganancia Unitaria]]*STOCK[[#This Row],[Salidas]]</f>
        <v>2.14222222222222</v>
      </c>
      <c r="Y72" s="76" t="s">
        <v>167</v>
      </c>
      <c r="AA72" s="76">
        <f>STOCK[[#This Row],[Costo total]]*STOCK[[#This Row],[Entradas]]</f>
        <v>9.85777777777778</v>
      </c>
      <c r="AB72" s="76">
        <f>STOCK[[#This Row],[Stock Actual]]*STOCK[[#This Row],[Costo total]]</f>
        <v>0</v>
      </c>
    </row>
    <row r="73" s="77" customFormat="1" ht="50" customHeight="1" spans="1:28">
      <c r="A73" s="77" t="s">
        <v>187</v>
      </c>
      <c r="B73" s="6"/>
      <c r="C73" s="77" t="s">
        <v>30</v>
      </c>
      <c r="D73" s="77" t="s">
        <v>173</v>
      </c>
      <c r="E73" s="77" t="s">
        <v>188</v>
      </c>
      <c r="F73" s="77" t="s">
        <v>189</v>
      </c>
      <c r="G73" s="77" t="s">
        <v>34</v>
      </c>
      <c r="H73" s="77">
        <f>STOCK[[#This Row],[Precio Final]]</f>
        <v>14</v>
      </c>
      <c r="I73" s="77">
        <f>STOCK[[#This Row],[Precio Venta Ideal (x1.5)]]</f>
        <v>15.4466666666667</v>
      </c>
      <c r="J73" s="92">
        <v>1</v>
      </c>
      <c r="K73" s="92">
        <f>SUMIFS(VENTAS[Cantidad],VENTAS[Código del producto Vendido],STOCK[[#This Row],[Code]])</f>
        <v>1</v>
      </c>
      <c r="L73" s="92">
        <f>STOCK[[#This Row],[Entradas]]-STOCK[[#This Row],[Salidas]]</f>
        <v>0</v>
      </c>
      <c r="M73" s="77">
        <f>STOCK[[#This Row],[Precio Final]]*10%</f>
        <v>1.4</v>
      </c>
      <c r="N73" s="77">
        <v>140</v>
      </c>
      <c r="O73" s="77">
        <v>18</v>
      </c>
      <c r="P73" s="77">
        <v>7.77777777777778</v>
      </c>
      <c r="Q73" s="92">
        <v>140</v>
      </c>
      <c r="R73" s="77">
        <v>8</v>
      </c>
      <c r="S73" s="77">
        <f>STOCK[[#This Row],[Peso (g)]]*STOCK[[#This Row],[Precio Envío Kilogramo (USD)]]/1000</f>
        <v>1.12</v>
      </c>
      <c r="T73" s="76">
        <f>STOCK[[#This Row],[Costo Unitario (USD)]]+STOCK[[#This Row],[Costo Envío (USD)]]+STOCK[[#This Row],[Comisión 10%]]</f>
        <v>10.2977777777778</v>
      </c>
      <c r="U73" s="77">
        <f>STOCK[[#This Row],[Costo total]]*1.5</f>
        <v>15.4466666666667</v>
      </c>
      <c r="V73" s="77">
        <v>14</v>
      </c>
      <c r="W73" s="77">
        <f>STOCK[[#This Row],[Precio Final]]-STOCK[[#This Row],[Costo total]]</f>
        <v>3.70222222222222</v>
      </c>
      <c r="X73" s="77">
        <f>STOCK[[#This Row],[Ganancia Unitaria]]*STOCK[[#This Row],[Salidas]]</f>
        <v>3.70222222222222</v>
      </c>
      <c r="Y73" s="77" t="s">
        <v>167</v>
      </c>
      <c r="AA73" s="77">
        <f>STOCK[[#This Row],[Costo total]]*STOCK[[#This Row],[Entradas]]</f>
        <v>10.2977777777778</v>
      </c>
      <c r="AB73" s="77">
        <f>STOCK[[#This Row],[Stock Actual]]*STOCK[[#This Row],[Costo total]]</f>
        <v>0</v>
      </c>
    </row>
    <row r="74" s="76" customFormat="1" ht="50" customHeight="1" spans="1:28">
      <c r="A74" s="76" t="s">
        <v>190</v>
      </c>
      <c r="B74" s="6"/>
      <c r="C74" s="76" t="s">
        <v>30</v>
      </c>
      <c r="D74" s="76" t="s">
        <v>151</v>
      </c>
      <c r="E74" s="76" t="s">
        <v>191</v>
      </c>
      <c r="F74" s="76" t="s">
        <v>44</v>
      </c>
      <c r="G74" s="76" t="s">
        <v>34</v>
      </c>
      <c r="H74" s="76">
        <f>STOCK[[#This Row],[Precio Final]]</f>
        <v>23</v>
      </c>
      <c r="I74" s="76">
        <f>STOCK[[#This Row],[Precio Venta Ideal (x1.5)]]</f>
        <v>23.0566666666667</v>
      </c>
      <c r="J74" s="91">
        <v>1</v>
      </c>
      <c r="K74" s="91">
        <f>SUMIFS(VENTAS[Cantidad],VENTAS[Código del producto Vendido],STOCK[[#This Row],[Code]])</f>
        <v>1</v>
      </c>
      <c r="L74" s="91">
        <f>STOCK[[#This Row],[Entradas]]-STOCK[[#This Row],[Salidas]]</f>
        <v>0</v>
      </c>
      <c r="M74" s="76">
        <f>STOCK[[#This Row],[Precio Final]]*10%</f>
        <v>2.3</v>
      </c>
      <c r="N74" s="76">
        <v>200</v>
      </c>
      <c r="O74" s="76">
        <v>18</v>
      </c>
      <c r="P74" s="76">
        <v>11.1111111111111</v>
      </c>
      <c r="Q74" s="91">
        <v>245</v>
      </c>
      <c r="R74" s="76">
        <v>8</v>
      </c>
      <c r="S74" s="76">
        <f>STOCK[[#This Row],[Peso (g)]]*STOCK[[#This Row],[Precio Envío Kilogramo (USD)]]/1000</f>
        <v>1.96</v>
      </c>
      <c r="T74" s="76">
        <f>STOCK[[#This Row],[Costo Unitario (USD)]]+STOCK[[#This Row],[Costo Envío (USD)]]+STOCK[[#This Row],[Comisión 10%]]</f>
        <v>15.3711111111111</v>
      </c>
      <c r="U74" s="76">
        <f>STOCK[[#This Row],[Costo total]]*1.5</f>
        <v>23.0566666666667</v>
      </c>
      <c r="V74" s="76">
        <v>23</v>
      </c>
      <c r="W74" s="76">
        <f>STOCK[[#This Row],[Precio Final]]-STOCK[[#This Row],[Costo total]]</f>
        <v>7.6288888888889</v>
      </c>
      <c r="X74" s="76">
        <f>STOCK[[#This Row],[Ganancia Unitaria]]*STOCK[[#This Row],[Salidas]]</f>
        <v>7.6288888888889</v>
      </c>
      <c r="Y74" s="76" t="s">
        <v>167</v>
      </c>
      <c r="AA74" s="76">
        <f>STOCK[[#This Row],[Costo total]]*STOCK[[#This Row],[Entradas]]</f>
        <v>15.3711111111111</v>
      </c>
      <c r="AB74" s="76">
        <f>STOCK[[#This Row],[Stock Actual]]*STOCK[[#This Row],[Costo total]]</f>
        <v>0</v>
      </c>
    </row>
    <row r="75" s="77" customFormat="1" ht="50" customHeight="1" spans="1:28">
      <c r="A75" s="77" t="s">
        <v>192</v>
      </c>
      <c r="B75" s="6"/>
      <c r="C75" s="77" t="s">
        <v>30</v>
      </c>
      <c r="D75" s="77" t="s">
        <v>151</v>
      </c>
      <c r="E75" s="77" t="s">
        <v>191</v>
      </c>
      <c r="F75" s="77" t="s">
        <v>60</v>
      </c>
      <c r="G75" s="77" t="s">
        <v>34</v>
      </c>
      <c r="H75" s="77">
        <f>STOCK[[#This Row],[Precio Final]]</f>
        <v>23</v>
      </c>
      <c r="I75" s="77">
        <f>STOCK[[#This Row],[Precio Venta Ideal (x1.5)]]</f>
        <v>23.1766666666666</v>
      </c>
      <c r="J75" s="92">
        <v>1</v>
      </c>
      <c r="K75" s="92">
        <f>SUMIFS(VENTAS[Cantidad],VENTAS[Código del producto Vendido],STOCK[[#This Row],[Code]])</f>
        <v>1</v>
      </c>
      <c r="L75" s="92">
        <f>STOCK[[#This Row],[Entradas]]-STOCK[[#This Row],[Salidas]]</f>
        <v>0</v>
      </c>
      <c r="M75" s="77">
        <f>STOCK[[#This Row],[Precio Final]]*10%</f>
        <v>2.3</v>
      </c>
      <c r="N75" s="77">
        <v>200</v>
      </c>
      <c r="O75" s="77">
        <v>18</v>
      </c>
      <c r="P75" s="77">
        <v>11.1111111111111</v>
      </c>
      <c r="Q75" s="92">
        <v>255</v>
      </c>
      <c r="R75" s="77">
        <v>8</v>
      </c>
      <c r="S75" s="77">
        <f>STOCK[[#This Row],[Peso (g)]]*STOCK[[#This Row],[Precio Envío Kilogramo (USD)]]/1000</f>
        <v>2.04</v>
      </c>
      <c r="T75" s="76">
        <f>STOCK[[#This Row],[Costo Unitario (USD)]]+STOCK[[#This Row],[Costo Envío (USD)]]+STOCK[[#This Row],[Comisión 10%]]</f>
        <v>15.4511111111111</v>
      </c>
      <c r="U75" s="77">
        <f>STOCK[[#This Row],[Costo total]]*1.5</f>
        <v>23.1766666666666</v>
      </c>
      <c r="V75" s="77">
        <v>23</v>
      </c>
      <c r="W75" s="77">
        <f>STOCK[[#This Row],[Precio Final]]-STOCK[[#This Row],[Costo total]]</f>
        <v>7.5488888888889</v>
      </c>
      <c r="X75" s="77">
        <f>STOCK[[#This Row],[Ganancia Unitaria]]*STOCK[[#This Row],[Salidas]]</f>
        <v>7.5488888888889</v>
      </c>
      <c r="Y75" s="77" t="s">
        <v>167</v>
      </c>
      <c r="AA75" s="77">
        <f>STOCK[[#This Row],[Costo total]]*STOCK[[#This Row],[Entradas]]</f>
        <v>15.4511111111111</v>
      </c>
      <c r="AB75" s="77">
        <f>STOCK[[#This Row],[Stock Actual]]*STOCK[[#This Row],[Costo total]]</f>
        <v>0</v>
      </c>
    </row>
    <row r="76" s="76" customFormat="1" ht="50" customHeight="1" spans="1:28">
      <c r="A76" s="76" t="s">
        <v>193</v>
      </c>
      <c r="B76" s="6"/>
      <c r="C76" s="76" t="s">
        <v>30</v>
      </c>
      <c r="D76" s="76" t="s">
        <v>151</v>
      </c>
      <c r="E76" s="76" t="s">
        <v>191</v>
      </c>
      <c r="F76" s="76" t="s">
        <v>47</v>
      </c>
      <c r="G76" s="76" t="s">
        <v>34</v>
      </c>
      <c r="H76" s="76">
        <f>STOCK[[#This Row],[Precio Final]]</f>
        <v>23</v>
      </c>
      <c r="I76" s="76">
        <f>STOCK[[#This Row],[Precio Venta Ideal (x1.5)]]</f>
        <v>23.1766666666666</v>
      </c>
      <c r="J76" s="91">
        <v>1</v>
      </c>
      <c r="K76" s="91">
        <f>SUMIFS(VENTAS[Cantidad],VENTAS[Código del producto Vendido],STOCK[[#This Row],[Code]])</f>
        <v>1</v>
      </c>
      <c r="L76" s="91">
        <f>STOCK[[#This Row],[Entradas]]-STOCK[[#This Row],[Salidas]]</f>
        <v>0</v>
      </c>
      <c r="M76" s="76">
        <f>STOCK[[#This Row],[Precio Final]]*10%</f>
        <v>2.3</v>
      </c>
      <c r="N76" s="76">
        <v>200</v>
      </c>
      <c r="O76" s="76">
        <v>18</v>
      </c>
      <c r="P76" s="76">
        <v>11.1111111111111</v>
      </c>
      <c r="Q76" s="91">
        <v>255</v>
      </c>
      <c r="R76" s="76">
        <v>8</v>
      </c>
      <c r="S76" s="76">
        <f>STOCK[[#This Row],[Peso (g)]]*STOCK[[#This Row],[Precio Envío Kilogramo (USD)]]/1000</f>
        <v>2.04</v>
      </c>
      <c r="T76" s="76">
        <f>STOCK[[#This Row],[Costo Unitario (USD)]]+STOCK[[#This Row],[Costo Envío (USD)]]+STOCK[[#This Row],[Comisión 10%]]</f>
        <v>15.4511111111111</v>
      </c>
      <c r="U76" s="76">
        <f>STOCK[[#This Row],[Costo total]]*1.5</f>
        <v>23.1766666666666</v>
      </c>
      <c r="V76" s="76">
        <v>23</v>
      </c>
      <c r="W76" s="76">
        <f>STOCK[[#This Row],[Precio Final]]-STOCK[[#This Row],[Costo total]]</f>
        <v>7.5488888888889</v>
      </c>
      <c r="X76" s="76">
        <f>STOCK[[#This Row],[Ganancia Unitaria]]*STOCK[[#This Row],[Salidas]]</f>
        <v>7.5488888888889</v>
      </c>
      <c r="Y76" s="76" t="s">
        <v>167</v>
      </c>
      <c r="AA76" s="76">
        <f>STOCK[[#This Row],[Costo total]]*STOCK[[#This Row],[Entradas]]</f>
        <v>15.4511111111111</v>
      </c>
      <c r="AB76" s="76">
        <f>STOCK[[#This Row],[Stock Actual]]*STOCK[[#This Row],[Costo total]]</f>
        <v>0</v>
      </c>
    </row>
    <row r="77" s="77" customFormat="1" ht="50" customHeight="1" spans="1:28">
      <c r="A77" s="77" t="s">
        <v>194</v>
      </c>
      <c r="B77" s="6"/>
      <c r="C77" s="77" t="s">
        <v>30</v>
      </c>
      <c r="D77" s="77" t="s">
        <v>195</v>
      </c>
      <c r="E77" s="77" t="s">
        <v>196</v>
      </c>
      <c r="F77" s="77" t="s">
        <v>47</v>
      </c>
      <c r="G77" s="77" t="s">
        <v>34</v>
      </c>
      <c r="H77" s="77">
        <f>STOCK[[#This Row],[Precio Final]]</f>
        <v>12</v>
      </c>
      <c r="I77" s="77">
        <f>STOCK[[#This Row],[Precio Venta Ideal (x1.5)]]</f>
        <v>12.53</v>
      </c>
      <c r="J77" s="92">
        <v>1</v>
      </c>
      <c r="K77" s="92">
        <f>SUMIFS(VENTAS[Cantidad],VENTAS[Código del producto Vendido],STOCK[[#This Row],[Code]])</f>
        <v>0</v>
      </c>
      <c r="L77" s="92">
        <f>STOCK[[#This Row],[Entradas]]-STOCK[[#This Row],[Salidas]]</f>
        <v>1</v>
      </c>
      <c r="M77" s="77">
        <f>STOCK[[#This Row],[Precio Final]]*10%</f>
        <v>1.2</v>
      </c>
      <c r="N77" s="77">
        <v>105</v>
      </c>
      <c r="O77" s="77">
        <v>18</v>
      </c>
      <c r="P77" s="77">
        <v>5.83333333333333</v>
      </c>
      <c r="Q77" s="92">
        <v>165</v>
      </c>
      <c r="R77" s="77">
        <v>8</v>
      </c>
      <c r="S77" s="77">
        <f>STOCK[[#This Row],[Peso (g)]]*STOCK[[#This Row],[Precio Envío Kilogramo (USD)]]/1000</f>
        <v>1.32</v>
      </c>
      <c r="T77" s="76">
        <f>STOCK[[#This Row],[Costo Unitario (USD)]]+STOCK[[#This Row],[Costo Envío (USD)]]+STOCK[[#This Row],[Comisión 10%]]</f>
        <v>8.35333333333333</v>
      </c>
      <c r="U77" s="77">
        <f>STOCK[[#This Row],[Costo total]]*1.5</f>
        <v>12.53</v>
      </c>
      <c r="V77" s="77">
        <v>12</v>
      </c>
      <c r="W77" s="77">
        <f>STOCK[[#This Row],[Precio Final]]-STOCK[[#This Row],[Costo total]]</f>
        <v>3.64666666666667</v>
      </c>
      <c r="X77" s="77">
        <f>STOCK[[#This Row],[Ganancia Unitaria]]*STOCK[[#This Row],[Salidas]]</f>
        <v>0</v>
      </c>
      <c r="Y77" s="77" t="s">
        <v>167</v>
      </c>
      <c r="AA77" s="77">
        <f>STOCK[[#This Row],[Costo total]]*STOCK[[#This Row],[Entradas]]</f>
        <v>8.35333333333333</v>
      </c>
      <c r="AB77" s="77">
        <f>STOCK[[#This Row],[Stock Actual]]*STOCK[[#This Row],[Costo total]]</f>
        <v>8.35333333333333</v>
      </c>
    </row>
    <row r="78" s="76" customFormat="1" ht="50" customHeight="1" spans="1:28">
      <c r="A78" s="76" t="s">
        <v>197</v>
      </c>
      <c r="B78" s="6"/>
      <c r="C78" s="76" t="s">
        <v>30</v>
      </c>
      <c r="D78" s="77" t="s">
        <v>198</v>
      </c>
      <c r="E78" s="76" t="s">
        <v>196</v>
      </c>
      <c r="F78" s="76" t="s">
        <v>44</v>
      </c>
      <c r="G78" s="76" t="s">
        <v>34</v>
      </c>
      <c r="H78" s="76">
        <f>STOCK[[#This Row],[Precio Final]]</f>
        <v>12</v>
      </c>
      <c r="I78" s="76">
        <f>STOCK[[#This Row],[Precio Venta Ideal (x1.5)]]</f>
        <v>12.71</v>
      </c>
      <c r="J78" s="91">
        <v>1</v>
      </c>
      <c r="K78" s="91">
        <f>SUMIFS(VENTAS[Cantidad],VENTAS[Código del producto Vendido],STOCK[[#This Row],[Code]])</f>
        <v>0</v>
      </c>
      <c r="L78" s="91">
        <f>STOCK[[#This Row],[Entradas]]-STOCK[[#This Row],[Salidas]]</f>
        <v>1</v>
      </c>
      <c r="M78" s="76">
        <f>STOCK[[#This Row],[Precio Final]]*10%</f>
        <v>1.2</v>
      </c>
      <c r="N78" s="76">
        <v>105</v>
      </c>
      <c r="O78" s="76">
        <v>18</v>
      </c>
      <c r="P78" s="76">
        <v>5.83333333333333</v>
      </c>
      <c r="Q78" s="91">
        <v>180</v>
      </c>
      <c r="R78" s="76">
        <v>8</v>
      </c>
      <c r="S78" s="76">
        <f>STOCK[[#This Row],[Peso (g)]]*STOCK[[#This Row],[Precio Envío Kilogramo (USD)]]/1000</f>
        <v>1.44</v>
      </c>
      <c r="T78" s="76">
        <f>STOCK[[#This Row],[Costo Unitario (USD)]]+STOCK[[#This Row],[Costo Envío (USD)]]+STOCK[[#This Row],[Comisión 10%]]</f>
        <v>8.47333333333333</v>
      </c>
      <c r="U78" s="76">
        <f>STOCK[[#This Row],[Costo total]]*1.5</f>
        <v>12.71</v>
      </c>
      <c r="V78" s="76">
        <v>12</v>
      </c>
      <c r="W78" s="76">
        <f>STOCK[[#This Row],[Precio Final]]-STOCK[[#This Row],[Costo total]]</f>
        <v>3.52666666666667</v>
      </c>
      <c r="X78" s="76">
        <f>STOCK[[#This Row],[Ganancia Unitaria]]*STOCK[[#This Row],[Salidas]]</f>
        <v>0</v>
      </c>
      <c r="Y78" s="76" t="s">
        <v>167</v>
      </c>
      <c r="AA78" s="76">
        <f>STOCK[[#This Row],[Costo total]]*STOCK[[#This Row],[Entradas]]</f>
        <v>8.47333333333333</v>
      </c>
      <c r="AB78" s="76">
        <f>STOCK[[#This Row],[Stock Actual]]*STOCK[[#This Row],[Costo total]]</f>
        <v>8.47333333333333</v>
      </c>
    </row>
    <row r="79" s="77" customFormat="1" ht="50" customHeight="1" spans="1:28">
      <c r="A79" s="77" t="s">
        <v>199</v>
      </c>
      <c r="B79" s="6"/>
      <c r="C79" s="77" t="s">
        <v>30</v>
      </c>
      <c r="D79" s="77" t="s">
        <v>42</v>
      </c>
      <c r="E79" s="77" t="s">
        <v>200</v>
      </c>
      <c r="F79" s="77" t="s">
        <v>60</v>
      </c>
      <c r="G79" s="77" t="s">
        <v>34</v>
      </c>
      <c r="H79" s="77">
        <f>STOCK[[#This Row],[Precio Final]]</f>
        <v>16</v>
      </c>
      <c r="I79" s="77">
        <f>STOCK[[#This Row],[Precio Venta Ideal (x1.5)]]</f>
        <v>13.96</v>
      </c>
      <c r="J79" s="92">
        <v>1</v>
      </c>
      <c r="K79" s="92">
        <f>SUMIFS(VENTAS[Cantidad],VENTAS[Código del producto Vendido],STOCK[[#This Row],[Code]])</f>
        <v>1</v>
      </c>
      <c r="L79" s="92">
        <f>STOCK[[#This Row],[Entradas]]-STOCK[[#This Row],[Salidas]]</f>
        <v>0</v>
      </c>
      <c r="M79" s="77">
        <f>STOCK[[#This Row],[Precio Final]]*10%</f>
        <v>1.6</v>
      </c>
      <c r="N79" s="77">
        <v>120</v>
      </c>
      <c r="O79" s="77">
        <v>18</v>
      </c>
      <c r="P79" s="77">
        <v>6.66666666666667</v>
      </c>
      <c r="Q79" s="92">
        <v>130</v>
      </c>
      <c r="R79" s="77">
        <v>8</v>
      </c>
      <c r="S79" s="77">
        <f>STOCK[[#This Row],[Peso (g)]]*STOCK[[#This Row],[Precio Envío Kilogramo (USD)]]/1000</f>
        <v>1.04</v>
      </c>
      <c r="T79" s="76">
        <f>STOCK[[#This Row],[Costo Unitario (USD)]]+STOCK[[#This Row],[Costo Envío (USD)]]+STOCK[[#This Row],[Comisión 10%]]</f>
        <v>9.30666666666667</v>
      </c>
      <c r="U79" s="77">
        <f>STOCK[[#This Row],[Costo total]]*1.5</f>
        <v>13.96</v>
      </c>
      <c r="V79" s="77">
        <v>16</v>
      </c>
      <c r="W79" s="77">
        <f>STOCK[[#This Row],[Precio Final]]-STOCK[[#This Row],[Costo total]]</f>
        <v>6.69333333333333</v>
      </c>
      <c r="X79" s="77">
        <f>STOCK[[#This Row],[Ganancia Unitaria]]*STOCK[[#This Row],[Salidas]]</f>
        <v>6.69333333333333</v>
      </c>
      <c r="Y79" s="77" t="s">
        <v>167</v>
      </c>
      <c r="AA79" s="77">
        <f>STOCK[[#This Row],[Costo total]]*STOCK[[#This Row],[Entradas]]</f>
        <v>9.30666666666667</v>
      </c>
      <c r="AB79" s="77">
        <f>STOCK[[#This Row],[Stock Actual]]*STOCK[[#This Row],[Costo total]]</f>
        <v>0</v>
      </c>
    </row>
    <row r="80" s="76" customFormat="1" ht="50" customHeight="1" spans="1:28">
      <c r="A80" s="76" t="s">
        <v>201</v>
      </c>
      <c r="B80" s="6"/>
      <c r="C80" s="76" t="s">
        <v>30</v>
      </c>
      <c r="D80" s="76" t="s">
        <v>202</v>
      </c>
      <c r="E80" s="76" t="s">
        <v>203</v>
      </c>
      <c r="F80" s="76" t="s">
        <v>204</v>
      </c>
      <c r="G80" s="76" t="s">
        <v>34</v>
      </c>
      <c r="H80" s="76">
        <f>STOCK[[#This Row],[Precio Final]]</f>
        <v>18</v>
      </c>
      <c r="I80" s="76">
        <f>STOCK[[#This Row],[Precio Venta Ideal (x1.5)]]</f>
        <v>21.4733333333334</v>
      </c>
      <c r="J80" s="91">
        <v>1</v>
      </c>
      <c r="K80" s="91">
        <f>SUMIFS(VENTAS[Cantidad],VENTAS[Código del producto Vendido],STOCK[[#This Row],[Code]])</f>
        <v>1</v>
      </c>
      <c r="L80" s="91">
        <f>STOCK[[#This Row],[Entradas]]-STOCK[[#This Row],[Salidas]]</f>
        <v>0</v>
      </c>
      <c r="M80" s="76">
        <f>STOCK[[#This Row],[Precio Final]]*10%</f>
        <v>1.8</v>
      </c>
      <c r="N80" s="76">
        <v>190</v>
      </c>
      <c r="O80" s="76">
        <v>18</v>
      </c>
      <c r="P80" s="76">
        <v>10.5555555555556</v>
      </c>
      <c r="Q80" s="91">
        <v>245</v>
      </c>
      <c r="R80" s="76">
        <v>8</v>
      </c>
      <c r="S80" s="76">
        <f>STOCK[[#This Row],[Peso (g)]]*STOCK[[#This Row],[Precio Envío Kilogramo (USD)]]/1000</f>
        <v>1.96</v>
      </c>
      <c r="T80" s="76">
        <f>STOCK[[#This Row],[Costo Unitario (USD)]]+STOCK[[#This Row],[Costo Envío (USD)]]+STOCK[[#This Row],[Comisión 10%]]</f>
        <v>14.3155555555556</v>
      </c>
      <c r="U80" s="76">
        <f>STOCK[[#This Row],[Costo total]]*1.5</f>
        <v>21.4733333333334</v>
      </c>
      <c r="V80" s="76">
        <v>18</v>
      </c>
      <c r="W80" s="76">
        <f>STOCK[[#This Row],[Precio Final]]-STOCK[[#This Row],[Costo total]]</f>
        <v>3.6844444444444</v>
      </c>
      <c r="X80" s="76">
        <f>STOCK[[#This Row],[Ganancia Unitaria]]*STOCK[[#This Row],[Salidas]]</f>
        <v>3.6844444444444</v>
      </c>
      <c r="Y80" s="76" t="s">
        <v>167</v>
      </c>
      <c r="AA80" s="76">
        <f>STOCK[[#This Row],[Costo total]]*STOCK[[#This Row],[Entradas]]</f>
        <v>14.3155555555556</v>
      </c>
      <c r="AB80" s="76">
        <f>STOCK[[#This Row],[Stock Actual]]*STOCK[[#This Row],[Costo total]]</f>
        <v>0</v>
      </c>
    </row>
    <row r="81" s="77" customFormat="1" ht="50" customHeight="1" spans="1:28">
      <c r="A81" s="77" t="s">
        <v>205</v>
      </c>
      <c r="B81" s="6"/>
      <c r="C81" s="77" t="s">
        <v>30</v>
      </c>
      <c r="D81" s="77" t="s">
        <v>42</v>
      </c>
      <c r="E81" s="77" t="s">
        <v>206</v>
      </c>
      <c r="F81" s="77" t="s">
        <v>47</v>
      </c>
      <c r="G81" s="77" t="s">
        <v>34</v>
      </c>
      <c r="H81" s="77">
        <f>STOCK[[#This Row],[Precio Final]]</f>
        <v>20</v>
      </c>
      <c r="I81" s="77">
        <f>STOCK[[#This Row],[Precio Venta Ideal (x1.5)]]</f>
        <v>22.3133333333334</v>
      </c>
      <c r="J81" s="92">
        <v>1</v>
      </c>
      <c r="K81" s="92">
        <f>SUMIFS(VENTAS[Cantidad],VENTAS[Código del producto Vendido],STOCK[[#This Row],[Code]])</f>
        <v>1</v>
      </c>
      <c r="L81" s="92">
        <f>STOCK[[#This Row],[Entradas]]-STOCK[[#This Row],[Salidas]]</f>
        <v>0</v>
      </c>
      <c r="M81" s="77">
        <f>STOCK[[#This Row],[Precio Final]]*10%</f>
        <v>2</v>
      </c>
      <c r="N81" s="77">
        <v>190</v>
      </c>
      <c r="O81" s="77">
        <v>18</v>
      </c>
      <c r="P81" s="77">
        <v>10.5555555555556</v>
      </c>
      <c r="Q81" s="92">
        <v>290</v>
      </c>
      <c r="R81" s="77">
        <v>8</v>
      </c>
      <c r="S81" s="77">
        <f>STOCK[[#This Row],[Peso (g)]]*STOCK[[#This Row],[Precio Envío Kilogramo (USD)]]/1000</f>
        <v>2.32</v>
      </c>
      <c r="T81" s="76">
        <f>STOCK[[#This Row],[Costo Unitario (USD)]]+STOCK[[#This Row],[Costo Envío (USD)]]+STOCK[[#This Row],[Comisión 10%]]</f>
        <v>14.8755555555556</v>
      </c>
      <c r="U81" s="77">
        <f>STOCK[[#This Row],[Costo total]]*1.5</f>
        <v>22.3133333333334</v>
      </c>
      <c r="V81" s="77">
        <v>20</v>
      </c>
      <c r="W81" s="77">
        <f>STOCK[[#This Row],[Precio Final]]-STOCK[[#This Row],[Costo total]]</f>
        <v>5.1244444444444</v>
      </c>
      <c r="X81" s="77">
        <f>STOCK[[#This Row],[Ganancia Unitaria]]*STOCK[[#This Row],[Salidas]]</f>
        <v>5.1244444444444</v>
      </c>
      <c r="Y81" s="77" t="s">
        <v>167</v>
      </c>
      <c r="AA81" s="77">
        <f>STOCK[[#This Row],[Costo total]]*STOCK[[#This Row],[Entradas]]</f>
        <v>14.8755555555556</v>
      </c>
      <c r="AB81" s="77">
        <f>STOCK[[#This Row],[Stock Actual]]*STOCK[[#This Row],[Costo total]]</f>
        <v>0</v>
      </c>
    </row>
    <row r="82" s="76" customFormat="1" ht="50" customHeight="1" spans="1:28">
      <c r="A82" s="76" t="s">
        <v>207</v>
      </c>
      <c r="B82" s="6"/>
      <c r="C82" s="76" t="s">
        <v>30</v>
      </c>
      <c r="D82" s="76" t="s">
        <v>42</v>
      </c>
      <c r="E82" s="76" t="s">
        <v>208</v>
      </c>
      <c r="F82" s="76" t="s">
        <v>86</v>
      </c>
      <c r="G82" s="76" t="s">
        <v>34</v>
      </c>
      <c r="H82" s="76">
        <f>STOCK[[#This Row],[Precio Final]]</f>
        <v>25</v>
      </c>
      <c r="I82" s="76">
        <f>STOCK[[#This Row],[Precio Venta Ideal (x1.5)]]</f>
        <v>25.5</v>
      </c>
      <c r="J82" s="91">
        <v>1</v>
      </c>
      <c r="K82" s="91">
        <f>SUMIFS(VENTAS[Cantidad],VENTAS[Código del producto Vendido],STOCK[[#This Row],[Code]])</f>
        <v>1</v>
      </c>
      <c r="L82" s="91">
        <f>STOCK[[#This Row],[Entradas]]-STOCK[[#This Row],[Salidas]]</f>
        <v>0</v>
      </c>
      <c r="M82" s="76">
        <f>STOCK[[#This Row],[Precio Final]]*10%</f>
        <v>2.5</v>
      </c>
      <c r="N82" s="76">
        <v>225</v>
      </c>
      <c r="O82" s="76">
        <v>18</v>
      </c>
      <c r="P82" s="76">
        <v>12.5</v>
      </c>
      <c r="Q82" s="91">
        <v>250</v>
      </c>
      <c r="R82" s="76">
        <v>8</v>
      </c>
      <c r="S82" s="76">
        <f>STOCK[[#This Row],[Peso (g)]]*STOCK[[#This Row],[Precio Envío Kilogramo (USD)]]/1000</f>
        <v>2</v>
      </c>
      <c r="T82" s="76">
        <f>STOCK[[#This Row],[Costo Unitario (USD)]]+STOCK[[#This Row],[Costo Envío (USD)]]+STOCK[[#This Row],[Comisión 10%]]</f>
        <v>17</v>
      </c>
      <c r="U82" s="76">
        <f>STOCK[[#This Row],[Costo total]]*1.5</f>
        <v>25.5</v>
      </c>
      <c r="V82" s="76">
        <v>25</v>
      </c>
      <c r="W82" s="76">
        <f>STOCK[[#This Row],[Precio Final]]-STOCK[[#This Row],[Costo total]]</f>
        <v>8</v>
      </c>
      <c r="X82" s="76">
        <f>STOCK[[#This Row],[Ganancia Unitaria]]*STOCK[[#This Row],[Salidas]]</f>
        <v>8</v>
      </c>
      <c r="Y82" s="76" t="s">
        <v>167</v>
      </c>
      <c r="AA82" s="76">
        <f>STOCK[[#This Row],[Costo total]]*STOCK[[#This Row],[Entradas]]</f>
        <v>17</v>
      </c>
      <c r="AB82" s="76">
        <f>STOCK[[#This Row],[Stock Actual]]*STOCK[[#This Row],[Costo total]]</f>
        <v>0</v>
      </c>
    </row>
    <row r="83" s="77" customFormat="1" ht="50" customHeight="1" spans="1:28">
      <c r="A83" s="77" t="s">
        <v>209</v>
      </c>
      <c r="B83" s="6"/>
      <c r="C83" s="77" t="s">
        <v>30</v>
      </c>
      <c r="D83" s="77" t="s">
        <v>42</v>
      </c>
      <c r="E83" s="77" t="s">
        <v>208</v>
      </c>
      <c r="F83" s="77" t="s">
        <v>210</v>
      </c>
      <c r="G83" s="77" t="s">
        <v>34</v>
      </c>
      <c r="H83" s="77">
        <f>STOCK[[#This Row],[Precio Final]]</f>
        <v>25</v>
      </c>
      <c r="I83" s="77">
        <f>STOCK[[#This Row],[Precio Venta Ideal (x1.5)]]</f>
        <v>24.84</v>
      </c>
      <c r="J83" s="92">
        <v>1</v>
      </c>
      <c r="K83" s="92">
        <f>SUMIFS(VENTAS[Cantidad],VENTAS[Código del producto Vendido],STOCK[[#This Row],[Code]])</f>
        <v>1</v>
      </c>
      <c r="L83" s="92">
        <f>STOCK[[#This Row],[Entradas]]-STOCK[[#This Row],[Salidas]]</f>
        <v>0</v>
      </c>
      <c r="M83" s="77">
        <f>STOCK[[#This Row],[Precio Final]]*10%</f>
        <v>2.5</v>
      </c>
      <c r="N83" s="77">
        <v>225</v>
      </c>
      <c r="O83" s="77">
        <v>18</v>
      </c>
      <c r="P83" s="77">
        <v>12.5</v>
      </c>
      <c r="Q83" s="92">
        <v>195</v>
      </c>
      <c r="R83" s="77">
        <v>8</v>
      </c>
      <c r="S83" s="77">
        <f>STOCK[[#This Row],[Peso (g)]]*STOCK[[#This Row],[Precio Envío Kilogramo (USD)]]/1000</f>
        <v>1.56</v>
      </c>
      <c r="T83" s="76">
        <f>STOCK[[#This Row],[Costo Unitario (USD)]]+STOCK[[#This Row],[Costo Envío (USD)]]+STOCK[[#This Row],[Comisión 10%]]</f>
        <v>16.56</v>
      </c>
      <c r="U83" s="77">
        <f>STOCK[[#This Row],[Costo total]]*1.5</f>
        <v>24.84</v>
      </c>
      <c r="V83" s="77">
        <v>25</v>
      </c>
      <c r="W83" s="77">
        <f>STOCK[[#This Row],[Precio Final]]-STOCK[[#This Row],[Costo total]]</f>
        <v>8.44</v>
      </c>
      <c r="X83" s="77">
        <f>STOCK[[#This Row],[Ganancia Unitaria]]*STOCK[[#This Row],[Salidas]]</f>
        <v>8.44</v>
      </c>
      <c r="Y83" s="77" t="s">
        <v>167</v>
      </c>
      <c r="AA83" s="77">
        <f>STOCK[[#This Row],[Costo total]]*STOCK[[#This Row],[Entradas]]</f>
        <v>16.56</v>
      </c>
      <c r="AB83" s="77">
        <f>STOCK[[#This Row],[Stock Actual]]*STOCK[[#This Row],[Costo total]]</f>
        <v>0</v>
      </c>
    </row>
    <row r="84" s="76" customFormat="1" ht="50" customHeight="1" spans="1:28">
      <c r="A84" s="76" t="s">
        <v>211</v>
      </c>
      <c r="B84" s="6"/>
      <c r="C84" s="76" t="s">
        <v>30</v>
      </c>
      <c r="D84" s="76" t="s">
        <v>212</v>
      </c>
      <c r="E84" s="76" t="s">
        <v>213</v>
      </c>
      <c r="F84" s="76" t="s">
        <v>44</v>
      </c>
      <c r="G84" s="76" t="s">
        <v>34</v>
      </c>
      <c r="H84" s="76">
        <f>STOCK[[#This Row],[Precio Final]]</f>
        <v>25</v>
      </c>
      <c r="I84" s="76">
        <f>STOCK[[#This Row],[Precio Venta Ideal (x1.5)]]</f>
        <v>25.26</v>
      </c>
      <c r="J84" s="91">
        <v>1</v>
      </c>
      <c r="K84" s="91">
        <f>SUMIFS(VENTAS[Cantidad],VENTAS[Código del producto Vendido],STOCK[[#This Row],[Code]])</f>
        <v>1</v>
      </c>
      <c r="L84" s="91">
        <f>STOCK[[#This Row],[Entradas]]-STOCK[[#This Row],[Salidas]]</f>
        <v>0</v>
      </c>
      <c r="M84" s="76">
        <f>STOCK[[#This Row],[Precio Final]]*10%</f>
        <v>2.5</v>
      </c>
      <c r="N84" s="76">
        <v>225</v>
      </c>
      <c r="O84" s="76">
        <v>18</v>
      </c>
      <c r="P84" s="76">
        <v>12.5</v>
      </c>
      <c r="Q84" s="91">
        <v>230</v>
      </c>
      <c r="R84" s="76">
        <v>8</v>
      </c>
      <c r="S84" s="76">
        <f>STOCK[[#This Row],[Peso (g)]]*STOCK[[#This Row],[Precio Envío Kilogramo (USD)]]/1000</f>
        <v>1.84</v>
      </c>
      <c r="T84" s="76">
        <f>STOCK[[#This Row],[Costo Unitario (USD)]]+STOCK[[#This Row],[Costo Envío (USD)]]+STOCK[[#This Row],[Comisión 10%]]</f>
        <v>16.84</v>
      </c>
      <c r="U84" s="76">
        <f>STOCK[[#This Row],[Costo total]]*1.5</f>
        <v>25.26</v>
      </c>
      <c r="V84" s="76">
        <v>25</v>
      </c>
      <c r="W84" s="76">
        <f>STOCK[[#This Row],[Precio Final]]-STOCK[[#This Row],[Costo total]]</f>
        <v>8.16</v>
      </c>
      <c r="X84" s="76">
        <f>STOCK[[#This Row],[Ganancia Unitaria]]*STOCK[[#This Row],[Salidas]]</f>
        <v>8.16</v>
      </c>
      <c r="Y84" s="76" t="s">
        <v>167</v>
      </c>
      <c r="AA84" s="76">
        <f>STOCK[[#This Row],[Costo total]]*STOCK[[#This Row],[Entradas]]</f>
        <v>16.84</v>
      </c>
      <c r="AB84" s="76">
        <f>STOCK[[#This Row],[Stock Actual]]*STOCK[[#This Row],[Costo total]]</f>
        <v>0</v>
      </c>
    </row>
    <row r="85" s="77" customFormat="1" ht="50" customHeight="1" spans="1:29">
      <c r="A85" s="77" t="s">
        <v>214</v>
      </c>
      <c r="B85" s="6"/>
      <c r="C85" s="77" t="s">
        <v>30</v>
      </c>
      <c r="D85" s="77" t="s">
        <v>215</v>
      </c>
      <c r="E85" s="77" t="s">
        <v>216</v>
      </c>
      <c r="F85" s="77" t="s">
        <v>47</v>
      </c>
      <c r="G85" s="77" t="s">
        <v>34</v>
      </c>
      <c r="H85" s="77">
        <f>STOCK[[#This Row],[Precio Final]]</f>
        <v>30</v>
      </c>
      <c r="I85" s="77">
        <f>STOCK[[#This Row],[Precio Venta Ideal (x1.5)]]</f>
        <v>31.3766666666667</v>
      </c>
      <c r="J85" s="92">
        <v>1</v>
      </c>
      <c r="K85" s="92">
        <f>SUMIFS(VENTAS[Cantidad],VENTAS[Código del producto Vendido],STOCK[[#This Row],[Code]])</f>
        <v>0</v>
      </c>
      <c r="L85" s="92">
        <f>STOCK[[#This Row],[Entradas]]-STOCK[[#This Row],[Salidas]]</f>
        <v>1</v>
      </c>
      <c r="M85" s="77">
        <f>STOCK[[#This Row],[Precio Final]]*10%</f>
        <v>3</v>
      </c>
      <c r="N85" s="77">
        <v>275</v>
      </c>
      <c r="O85" s="77">
        <v>18</v>
      </c>
      <c r="P85" s="77">
        <v>15.2777777777778</v>
      </c>
      <c r="Q85" s="92">
        <v>330</v>
      </c>
      <c r="R85" s="77">
        <v>8</v>
      </c>
      <c r="S85" s="77">
        <f>STOCK[[#This Row],[Peso (g)]]*STOCK[[#This Row],[Precio Envío Kilogramo (USD)]]/1000</f>
        <v>2.64</v>
      </c>
      <c r="T85" s="76">
        <f>STOCK[[#This Row],[Costo Unitario (USD)]]+STOCK[[#This Row],[Costo Envío (USD)]]+STOCK[[#This Row],[Comisión 10%]]</f>
        <v>20.9177777777778</v>
      </c>
      <c r="U85" s="77">
        <f>STOCK[[#This Row],[Costo total]]*1.5</f>
        <v>31.3766666666667</v>
      </c>
      <c r="V85" s="77">
        <v>30</v>
      </c>
      <c r="W85" s="77">
        <f>STOCK[[#This Row],[Precio Final]]-STOCK[[#This Row],[Costo total]]</f>
        <v>9.0822222222222</v>
      </c>
      <c r="X85" s="77">
        <f>STOCK[[#This Row],[Ganancia Unitaria]]*STOCK[[#This Row],[Salidas]]</f>
        <v>0</v>
      </c>
      <c r="Y85" s="77" t="s">
        <v>167</v>
      </c>
      <c r="AA85" s="77">
        <f>STOCK[[#This Row],[Costo total]]*STOCK[[#This Row],[Entradas]]</f>
        <v>20.9177777777778</v>
      </c>
      <c r="AB85" s="77">
        <f>STOCK[[#This Row],[Stock Actual]]*STOCK[[#This Row],[Costo total]]</f>
        <v>20.9177777777778</v>
      </c>
      <c r="AC85" s="77">
        <v>28</v>
      </c>
    </row>
    <row r="86" s="76" customFormat="1" ht="50" customHeight="1" spans="1:29">
      <c r="A86" s="76" t="s">
        <v>217</v>
      </c>
      <c r="B86" s="6"/>
      <c r="C86" s="76" t="s">
        <v>30</v>
      </c>
      <c r="D86" s="76" t="s">
        <v>215</v>
      </c>
      <c r="E86" s="76" t="s">
        <v>216</v>
      </c>
      <c r="F86" s="76" t="s">
        <v>38</v>
      </c>
      <c r="G86" s="76" t="s">
        <v>34</v>
      </c>
      <c r="H86" s="76">
        <f>STOCK[[#This Row],[Precio Final]]</f>
        <v>30</v>
      </c>
      <c r="I86" s="76">
        <f>STOCK[[#This Row],[Precio Venta Ideal (x1.5)]]</f>
        <v>31.3766666666667</v>
      </c>
      <c r="J86" s="91">
        <v>1</v>
      </c>
      <c r="K86" s="91">
        <f>SUMIFS(VENTAS[Cantidad],VENTAS[Código del producto Vendido],STOCK[[#This Row],[Code]])</f>
        <v>0</v>
      </c>
      <c r="L86" s="91">
        <f>STOCK[[#This Row],[Entradas]]-STOCK[[#This Row],[Salidas]]</f>
        <v>1</v>
      </c>
      <c r="M86" s="76">
        <f>STOCK[[#This Row],[Precio Final]]*10%</f>
        <v>3</v>
      </c>
      <c r="N86" s="76">
        <v>275</v>
      </c>
      <c r="O86" s="76">
        <v>18</v>
      </c>
      <c r="P86" s="76">
        <v>15.2777777777778</v>
      </c>
      <c r="Q86" s="91">
        <v>330</v>
      </c>
      <c r="R86" s="76">
        <v>8</v>
      </c>
      <c r="S86" s="76">
        <f>STOCK[[#This Row],[Peso (g)]]*STOCK[[#This Row],[Precio Envío Kilogramo (USD)]]/1000</f>
        <v>2.64</v>
      </c>
      <c r="T86" s="76">
        <f>STOCK[[#This Row],[Costo Unitario (USD)]]+STOCK[[#This Row],[Costo Envío (USD)]]+STOCK[[#This Row],[Comisión 10%]]</f>
        <v>20.9177777777778</v>
      </c>
      <c r="U86" s="76">
        <f>STOCK[[#This Row],[Costo total]]*1.5</f>
        <v>31.3766666666667</v>
      </c>
      <c r="V86" s="76">
        <v>30</v>
      </c>
      <c r="W86" s="76">
        <f>STOCK[[#This Row],[Precio Final]]-STOCK[[#This Row],[Costo total]]</f>
        <v>9.0822222222222</v>
      </c>
      <c r="X86" s="76">
        <f>STOCK[[#This Row],[Ganancia Unitaria]]*STOCK[[#This Row],[Salidas]]</f>
        <v>0</v>
      </c>
      <c r="Y86" s="76" t="s">
        <v>167</v>
      </c>
      <c r="AA86" s="76">
        <f>STOCK[[#This Row],[Costo total]]*STOCK[[#This Row],[Entradas]]</f>
        <v>20.9177777777778</v>
      </c>
      <c r="AB86" s="76">
        <f>STOCK[[#This Row],[Stock Actual]]*STOCK[[#This Row],[Costo total]]</f>
        <v>20.9177777777778</v>
      </c>
      <c r="AC86" s="76">
        <v>28</v>
      </c>
    </row>
    <row r="87" s="77" customFormat="1" ht="50" customHeight="1" spans="1:28">
      <c r="A87" s="77" t="s">
        <v>218</v>
      </c>
      <c r="B87" s="6"/>
      <c r="C87" s="77" t="s">
        <v>30</v>
      </c>
      <c r="D87" s="77" t="s">
        <v>173</v>
      </c>
      <c r="E87" s="77" t="s">
        <v>219</v>
      </c>
      <c r="F87" s="77" t="s">
        <v>47</v>
      </c>
      <c r="G87" s="77" t="s">
        <v>34</v>
      </c>
      <c r="H87" s="77">
        <f>STOCK[[#This Row],[Precio Final]]</f>
        <v>14</v>
      </c>
      <c r="I87" s="77">
        <f>STOCK[[#This Row],[Precio Venta Ideal (x1.5)]]</f>
        <v>15.3866666666667</v>
      </c>
      <c r="J87" s="92">
        <v>1</v>
      </c>
      <c r="K87" s="92">
        <f>SUMIFS(VENTAS[Cantidad],VENTAS[Código del producto Vendido],STOCK[[#This Row],[Code]])</f>
        <v>1</v>
      </c>
      <c r="L87" s="92">
        <f>STOCK[[#This Row],[Entradas]]-STOCK[[#This Row],[Salidas]]</f>
        <v>0</v>
      </c>
      <c r="M87" s="77">
        <f>STOCK[[#This Row],[Precio Final]]*10%</f>
        <v>1.4</v>
      </c>
      <c r="N87" s="77">
        <v>140</v>
      </c>
      <c r="O87" s="77">
        <v>18</v>
      </c>
      <c r="P87" s="77">
        <v>7.77777777777778</v>
      </c>
      <c r="Q87" s="92">
        <v>135</v>
      </c>
      <c r="R87" s="77">
        <v>8</v>
      </c>
      <c r="S87" s="77">
        <f>STOCK[[#This Row],[Peso (g)]]*STOCK[[#This Row],[Precio Envío Kilogramo (USD)]]/1000</f>
        <v>1.08</v>
      </c>
      <c r="T87" s="76">
        <f>STOCK[[#This Row],[Costo Unitario (USD)]]+STOCK[[#This Row],[Costo Envío (USD)]]+STOCK[[#This Row],[Comisión 10%]]</f>
        <v>10.2577777777778</v>
      </c>
      <c r="U87" s="77">
        <f>STOCK[[#This Row],[Costo total]]*1.5</f>
        <v>15.3866666666667</v>
      </c>
      <c r="V87" s="77">
        <v>14</v>
      </c>
      <c r="W87" s="77">
        <f>STOCK[[#This Row],[Precio Final]]-STOCK[[#This Row],[Costo total]]</f>
        <v>3.74222222222222</v>
      </c>
      <c r="X87" s="77">
        <f>STOCK[[#This Row],[Ganancia Unitaria]]*STOCK[[#This Row],[Salidas]]</f>
        <v>3.74222222222222</v>
      </c>
      <c r="Y87" s="77" t="s">
        <v>167</v>
      </c>
      <c r="AA87" s="77">
        <f>STOCK[[#This Row],[Costo total]]*STOCK[[#This Row],[Entradas]]</f>
        <v>10.2577777777778</v>
      </c>
      <c r="AB87" s="77">
        <f>STOCK[[#This Row],[Stock Actual]]*STOCK[[#This Row],[Costo total]]</f>
        <v>0</v>
      </c>
    </row>
    <row r="88" s="76" customFormat="1" ht="50" customHeight="1" spans="1:28">
      <c r="A88" s="76" t="s">
        <v>220</v>
      </c>
      <c r="B88" s="6"/>
      <c r="C88" s="76" t="s">
        <v>30</v>
      </c>
      <c r="D88" s="76" t="s">
        <v>42</v>
      </c>
      <c r="E88" s="76" t="s">
        <v>221</v>
      </c>
      <c r="F88" s="76" t="s">
        <v>38</v>
      </c>
      <c r="G88" s="76" t="s">
        <v>34</v>
      </c>
      <c r="H88" s="76">
        <f>STOCK[[#This Row],[Precio Final]]</f>
        <v>30</v>
      </c>
      <c r="I88" s="76">
        <f>STOCK[[#This Row],[Precio Venta Ideal (x1.5)]]</f>
        <v>29.2300000000001</v>
      </c>
      <c r="J88" s="91">
        <v>1</v>
      </c>
      <c r="K88" s="91">
        <f>SUMIFS(VENTAS[Cantidad],VENTAS[Código del producto Vendido],STOCK[[#This Row],[Code]])</f>
        <v>1</v>
      </c>
      <c r="L88" s="91">
        <f>STOCK[[#This Row],[Entradas]]-STOCK[[#This Row],[Salidas]]</f>
        <v>0</v>
      </c>
      <c r="M88" s="76">
        <f>STOCK[[#This Row],[Precio Final]]*10%</f>
        <v>3</v>
      </c>
      <c r="N88" s="76">
        <v>255</v>
      </c>
      <c r="O88" s="76">
        <v>18</v>
      </c>
      <c r="P88" s="76">
        <v>14.1666666666667</v>
      </c>
      <c r="Q88" s="91">
        <v>290</v>
      </c>
      <c r="R88" s="76">
        <v>8</v>
      </c>
      <c r="S88" s="76">
        <f>STOCK[[#This Row],[Peso (g)]]*STOCK[[#This Row],[Precio Envío Kilogramo (USD)]]/1000</f>
        <v>2.32</v>
      </c>
      <c r="T88" s="76">
        <f>STOCK[[#This Row],[Costo Unitario (USD)]]+STOCK[[#This Row],[Costo Envío (USD)]]+STOCK[[#This Row],[Comisión 10%]]</f>
        <v>19.4866666666667</v>
      </c>
      <c r="U88" s="76">
        <f>STOCK[[#This Row],[Costo total]]*1.5</f>
        <v>29.2300000000001</v>
      </c>
      <c r="V88" s="76">
        <v>30</v>
      </c>
      <c r="W88" s="76">
        <f>STOCK[[#This Row],[Precio Final]]-STOCK[[#This Row],[Costo total]]</f>
        <v>10.5133333333333</v>
      </c>
      <c r="X88" s="76">
        <f>STOCK[[#This Row],[Ganancia Unitaria]]*STOCK[[#This Row],[Salidas]]</f>
        <v>10.5133333333333</v>
      </c>
      <c r="Y88" s="76" t="s">
        <v>167</v>
      </c>
      <c r="AA88" s="76">
        <f>STOCK[[#This Row],[Costo total]]*STOCK[[#This Row],[Entradas]]</f>
        <v>19.4866666666667</v>
      </c>
      <c r="AB88" s="76">
        <f>STOCK[[#This Row],[Stock Actual]]*STOCK[[#This Row],[Costo total]]</f>
        <v>0</v>
      </c>
    </row>
    <row r="89" s="77" customFormat="1" ht="50" customHeight="1" spans="1:28">
      <c r="A89" s="77" t="s">
        <v>222</v>
      </c>
      <c r="B89" s="6"/>
      <c r="C89" s="77" t="s">
        <v>30</v>
      </c>
      <c r="D89" s="77" t="s">
        <v>42</v>
      </c>
      <c r="E89" s="77" t="s">
        <v>223</v>
      </c>
      <c r="F89" s="77" t="s">
        <v>38</v>
      </c>
      <c r="G89" s="77" t="s">
        <v>34</v>
      </c>
      <c r="H89" s="77">
        <f>STOCK[[#This Row],[Precio Final]]</f>
        <v>18</v>
      </c>
      <c r="I89" s="77">
        <f>STOCK[[#This Row],[Precio Venta Ideal (x1.5)]]</f>
        <v>16.47</v>
      </c>
      <c r="J89" s="92">
        <v>1</v>
      </c>
      <c r="K89" s="92">
        <f>SUMIFS(VENTAS[Cantidad],VENTAS[Código del producto Vendido],STOCK[[#This Row],[Code]])</f>
        <v>1</v>
      </c>
      <c r="L89" s="92">
        <f>STOCK[[#This Row],[Entradas]]-STOCK[[#This Row],[Salidas]]</f>
        <v>0</v>
      </c>
      <c r="M89" s="77">
        <f>STOCK[[#This Row],[Precio Final]]*10%</f>
        <v>1.8</v>
      </c>
      <c r="N89" s="77">
        <v>135</v>
      </c>
      <c r="O89" s="77">
        <v>18</v>
      </c>
      <c r="P89" s="77">
        <v>7.5</v>
      </c>
      <c r="Q89" s="92">
        <v>210</v>
      </c>
      <c r="R89" s="77">
        <v>8</v>
      </c>
      <c r="S89" s="77">
        <f>STOCK[[#This Row],[Peso (g)]]*STOCK[[#This Row],[Precio Envío Kilogramo (USD)]]/1000</f>
        <v>1.68</v>
      </c>
      <c r="T89" s="76">
        <f>STOCK[[#This Row],[Costo Unitario (USD)]]+STOCK[[#This Row],[Costo Envío (USD)]]+STOCK[[#This Row],[Comisión 10%]]</f>
        <v>10.98</v>
      </c>
      <c r="U89" s="77">
        <f>STOCK[[#This Row],[Costo total]]*1.5</f>
        <v>16.47</v>
      </c>
      <c r="V89" s="77">
        <v>18</v>
      </c>
      <c r="W89" s="77">
        <f>STOCK[[#This Row],[Precio Final]]-STOCK[[#This Row],[Costo total]]</f>
        <v>7.02</v>
      </c>
      <c r="X89" s="77">
        <f>STOCK[[#This Row],[Ganancia Unitaria]]*STOCK[[#This Row],[Salidas]]</f>
        <v>7.02</v>
      </c>
      <c r="Y89" s="77" t="s">
        <v>167</v>
      </c>
      <c r="AA89" s="77">
        <f>STOCK[[#This Row],[Costo total]]*STOCK[[#This Row],[Entradas]]</f>
        <v>10.98</v>
      </c>
      <c r="AB89" s="77">
        <f>STOCK[[#This Row],[Stock Actual]]*STOCK[[#This Row],[Costo total]]</f>
        <v>0</v>
      </c>
    </row>
    <row r="90" s="76" customFormat="1" ht="50" customHeight="1" spans="1:28">
      <c r="A90" s="76" t="s">
        <v>224</v>
      </c>
      <c r="B90" s="6"/>
      <c r="C90" s="76" t="s">
        <v>30</v>
      </c>
      <c r="D90" s="76" t="s">
        <v>42</v>
      </c>
      <c r="E90" s="76" t="s">
        <v>166</v>
      </c>
      <c r="F90" s="76" t="s">
        <v>47</v>
      </c>
      <c r="G90" s="76" t="s">
        <v>34</v>
      </c>
      <c r="H90" s="76">
        <f>STOCK[[#This Row],[Precio Final]]</f>
        <v>22</v>
      </c>
      <c r="I90" s="76">
        <f>STOCK[[#This Row],[Precio Venta Ideal (x1.5)]]</f>
        <v>22.6066666666667</v>
      </c>
      <c r="J90" s="91">
        <v>1</v>
      </c>
      <c r="K90" s="91">
        <f>SUMIFS(VENTAS[Cantidad],VENTAS[Código del producto Vendido],STOCK[[#This Row],[Code]])</f>
        <v>1</v>
      </c>
      <c r="L90" s="91">
        <f>STOCK[[#This Row],[Entradas]]-STOCK[[#This Row],[Salidas]]</f>
        <v>0</v>
      </c>
      <c r="M90" s="76">
        <f>STOCK[[#This Row],[Precio Final]]*10%</f>
        <v>2.2</v>
      </c>
      <c r="N90" s="76">
        <v>200</v>
      </c>
      <c r="O90" s="76">
        <v>18</v>
      </c>
      <c r="P90" s="76">
        <v>11.1111111111111</v>
      </c>
      <c r="Q90" s="91">
        <v>220</v>
      </c>
      <c r="R90" s="76">
        <v>8</v>
      </c>
      <c r="S90" s="76">
        <f>STOCK[[#This Row],[Peso (g)]]*STOCK[[#This Row],[Precio Envío Kilogramo (USD)]]/1000</f>
        <v>1.76</v>
      </c>
      <c r="T90" s="76">
        <f>STOCK[[#This Row],[Costo Unitario (USD)]]+STOCK[[#This Row],[Costo Envío (USD)]]+STOCK[[#This Row],[Comisión 10%]]</f>
        <v>15.0711111111111</v>
      </c>
      <c r="U90" s="76">
        <f>STOCK[[#This Row],[Costo total]]*1.5</f>
        <v>22.6066666666667</v>
      </c>
      <c r="V90" s="76">
        <v>22</v>
      </c>
      <c r="W90" s="76">
        <f>STOCK[[#This Row],[Precio Final]]-STOCK[[#This Row],[Costo total]]</f>
        <v>6.9288888888889</v>
      </c>
      <c r="X90" s="76">
        <f>STOCK[[#This Row],[Ganancia Unitaria]]*STOCK[[#This Row],[Salidas]]</f>
        <v>6.9288888888889</v>
      </c>
      <c r="Y90" s="76" t="s">
        <v>167</v>
      </c>
      <c r="AA90" s="76">
        <f>STOCK[[#This Row],[Costo total]]*STOCK[[#This Row],[Entradas]]</f>
        <v>15.0711111111111</v>
      </c>
      <c r="AB90" s="76">
        <f>STOCK[[#This Row],[Stock Actual]]*STOCK[[#This Row],[Costo total]]</f>
        <v>0</v>
      </c>
    </row>
    <row r="91" s="77" customFormat="1" ht="50" customHeight="1" spans="1:28">
      <c r="A91" s="77" t="s">
        <v>225</v>
      </c>
      <c r="B91" s="6"/>
      <c r="C91" s="77" t="s">
        <v>30</v>
      </c>
      <c r="D91" s="77" t="s">
        <v>151</v>
      </c>
      <c r="E91" s="77" t="s">
        <v>226</v>
      </c>
      <c r="F91" s="77" t="s">
        <v>227</v>
      </c>
      <c r="G91" s="77" t="s">
        <v>34</v>
      </c>
      <c r="H91" s="77">
        <f>STOCK[[#This Row],[Precio Final]]</f>
        <v>23</v>
      </c>
      <c r="I91" s="77">
        <f>STOCK[[#This Row],[Precio Venta Ideal (x1.5)]]</f>
        <v>24.3666666666666</v>
      </c>
      <c r="J91" s="92">
        <v>1</v>
      </c>
      <c r="K91" s="92">
        <f>SUMIFS(VENTAS[Cantidad],VENTAS[Código del producto Vendido],STOCK[[#This Row],[Code]])</f>
        <v>1</v>
      </c>
      <c r="L91" s="92">
        <f>STOCK[[#This Row],[Entradas]]-STOCK[[#This Row],[Salidas]]</f>
        <v>0</v>
      </c>
      <c r="M91" s="77">
        <f>STOCK[[#This Row],[Precio Final]]*10%</f>
        <v>2.3</v>
      </c>
      <c r="N91" s="77">
        <v>215</v>
      </c>
      <c r="O91" s="77">
        <v>18</v>
      </c>
      <c r="P91" s="77">
        <v>11.9444444444444</v>
      </c>
      <c r="Q91" s="92">
        <v>250</v>
      </c>
      <c r="R91" s="77">
        <v>8</v>
      </c>
      <c r="S91" s="77">
        <f>STOCK[[#This Row],[Peso (g)]]*STOCK[[#This Row],[Precio Envío Kilogramo (USD)]]/1000</f>
        <v>2</v>
      </c>
      <c r="T91" s="76">
        <f>STOCK[[#This Row],[Costo Unitario (USD)]]+STOCK[[#This Row],[Costo Envío (USD)]]+STOCK[[#This Row],[Comisión 10%]]</f>
        <v>16.2444444444444</v>
      </c>
      <c r="U91" s="77">
        <f>STOCK[[#This Row],[Costo total]]*1.5</f>
        <v>24.3666666666666</v>
      </c>
      <c r="V91" s="77">
        <v>23</v>
      </c>
      <c r="W91" s="77">
        <f>STOCK[[#This Row],[Precio Final]]-STOCK[[#This Row],[Costo total]]</f>
        <v>6.7555555555556</v>
      </c>
      <c r="X91" s="77">
        <f>STOCK[[#This Row],[Ganancia Unitaria]]*STOCK[[#This Row],[Salidas]]</f>
        <v>6.7555555555556</v>
      </c>
      <c r="Y91" s="77" t="s">
        <v>167</v>
      </c>
      <c r="AA91" s="77">
        <f>STOCK[[#This Row],[Costo total]]*STOCK[[#This Row],[Entradas]]</f>
        <v>16.2444444444444</v>
      </c>
      <c r="AB91" s="77">
        <f>STOCK[[#This Row],[Stock Actual]]*STOCK[[#This Row],[Costo total]]</f>
        <v>0</v>
      </c>
    </row>
    <row r="92" s="76" customFormat="1" ht="50" customHeight="1" spans="1:28">
      <c r="A92" s="76" t="s">
        <v>228</v>
      </c>
      <c r="B92" s="6"/>
      <c r="C92" s="76" t="s">
        <v>30</v>
      </c>
      <c r="D92" s="76" t="s">
        <v>151</v>
      </c>
      <c r="E92" s="76" t="s">
        <v>229</v>
      </c>
      <c r="F92" s="76" t="s">
        <v>227</v>
      </c>
      <c r="G92" s="76" t="s">
        <v>34</v>
      </c>
      <c r="H92" s="76">
        <f>STOCK[[#This Row],[Precio Final]]</f>
        <v>23</v>
      </c>
      <c r="I92" s="76">
        <f>STOCK[[#This Row],[Precio Venta Ideal (x1.5)]]</f>
        <v>24.3666666666666</v>
      </c>
      <c r="J92" s="91">
        <v>1</v>
      </c>
      <c r="K92" s="91">
        <f>SUMIFS(VENTAS[Cantidad],VENTAS[Código del producto Vendido],STOCK[[#This Row],[Code]])</f>
        <v>1</v>
      </c>
      <c r="L92" s="91">
        <f>STOCK[[#This Row],[Entradas]]-STOCK[[#This Row],[Salidas]]</f>
        <v>0</v>
      </c>
      <c r="M92" s="76">
        <f>STOCK[[#This Row],[Precio Final]]*10%</f>
        <v>2.3</v>
      </c>
      <c r="N92" s="76">
        <v>215</v>
      </c>
      <c r="O92" s="76">
        <v>18</v>
      </c>
      <c r="P92" s="76">
        <v>11.9444444444444</v>
      </c>
      <c r="Q92" s="91">
        <v>250</v>
      </c>
      <c r="R92" s="76">
        <v>8</v>
      </c>
      <c r="S92" s="76">
        <f>STOCK[[#This Row],[Peso (g)]]*STOCK[[#This Row],[Precio Envío Kilogramo (USD)]]/1000</f>
        <v>2</v>
      </c>
      <c r="T92" s="76">
        <f>STOCK[[#This Row],[Costo Unitario (USD)]]+STOCK[[#This Row],[Costo Envío (USD)]]+STOCK[[#This Row],[Comisión 10%]]</f>
        <v>16.2444444444444</v>
      </c>
      <c r="U92" s="76">
        <f>STOCK[[#This Row],[Costo total]]*1.5</f>
        <v>24.3666666666666</v>
      </c>
      <c r="V92" s="76">
        <v>23</v>
      </c>
      <c r="W92" s="76">
        <f>STOCK[[#This Row],[Precio Final]]-STOCK[[#This Row],[Costo total]]</f>
        <v>6.7555555555556</v>
      </c>
      <c r="X92" s="76">
        <f>STOCK[[#This Row],[Ganancia Unitaria]]*STOCK[[#This Row],[Salidas]]</f>
        <v>6.7555555555556</v>
      </c>
      <c r="Y92" s="76" t="s">
        <v>167</v>
      </c>
      <c r="AA92" s="76">
        <f>STOCK[[#This Row],[Costo total]]*STOCK[[#This Row],[Entradas]]</f>
        <v>16.2444444444444</v>
      </c>
      <c r="AB92" s="76">
        <f>STOCK[[#This Row],[Stock Actual]]*STOCK[[#This Row],[Costo total]]</f>
        <v>0</v>
      </c>
    </row>
    <row r="93" s="77" customFormat="1" ht="50" customHeight="1" spans="1:28">
      <c r="A93" s="77" t="s">
        <v>230</v>
      </c>
      <c r="B93" s="6"/>
      <c r="C93" s="77" t="s">
        <v>30</v>
      </c>
      <c r="D93" s="77" t="s">
        <v>42</v>
      </c>
      <c r="E93" s="77" t="s">
        <v>231</v>
      </c>
      <c r="F93" s="77" t="s">
        <v>60</v>
      </c>
      <c r="G93" s="77" t="s">
        <v>34</v>
      </c>
      <c r="H93" s="77">
        <f>STOCK[[#This Row],[Precio Final]]</f>
        <v>28</v>
      </c>
      <c r="I93" s="77">
        <f>STOCK[[#This Row],[Precio Venta Ideal (x1.5)]]</f>
        <v>31.92</v>
      </c>
      <c r="J93" s="92">
        <v>1</v>
      </c>
      <c r="K93" s="92">
        <f>SUMIFS(VENTAS[Cantidad],VENTAS[Código del producto Vendido],STOCK[[#This Row],[Code]])</f>
        <v>1</v>
      </c>
      <c r="L93" s="92">
        <f>STOCK[[#This Row],[Entradas]]-STOCK[[#This Row],[Salidas]]</f>
        <v>0</v>
      </c>
      <c r="M93" s="77">
        <f>STOCK[[#This Row],[Precio Final]]*10%</f>
        <v>2.8</v>
      </c>
      <c r="N93" s="77">
        <v>270</v>
      </c>
      <c r="O93" s="77">
        <v>18</v>
      </c>
      <c r="P93" s="77">
        <v>15</v>
      </c>
      <c r="Q93" s="92">
        <v>435</v>
      </c>
      <c r="R93" s="77">
        <v>8</v>
      </c>
      <c r="S93" s="77">
        <f>STOCK[[#This Row],[Peso (g)]]*STOCK[[#This Row],[Precio Envío Kilogramo (USD)]]/1000</f>
        <v>3.48</v>
      </c>
      <c r="T93" s="76">
        <f>STOCK[[#This Row],[Costo Unitario (USD)]]+STOCK[[#This Row],[Costo Envío (USD)]]+STOCK[[#This Row],[Comisión 10%]]</f>
        <v>21.28</v>
      </c>
      <c r="U93" s="77">
        <f>STOCK[[#This Row],[Costo total]]*1.5</f>
        <v>31.92</v>
      </c>
      <c r="V93" s="77">
        <v>28</v>
      </c>
      <c r="W93" s="77">
        <f>STOCK[[#This Row],[Precio Final]]-STOCK[[#This Row],[Costo total]]</f>
        <v>6.72</v>
      </c>
      <c r="X93" s="77">
        <f>STOCK[[#This Row],[Ganancia Unitaria]]*STOCK[[#This Row],[Salidas]]</f>
        <v>6.72</v>
      </c>
      <c r="Y93" s="77" t="s">
        <v>167</v>
      </c>
      <c r="AA93" s="77">
        <f>STOCK[[#This Row],[Costo total]]*STOCK[[#This Row],[Entradas]]</f>
        <v>21.28</v>
      </c>
      <c r="AB93" s="77">
        <f>STOCK[[#This Row],[Stock Actual]]*STOCK[[#This Row],[Costo total]]</f>
        <v>0</v>
      </c>
    </row>
    <row r="94" s="76" customFormat="1" ht="50" customHeight="1" spans="1:28">
      <c r="A94" s="76" t="s">
        <v>232</v>
      </c>
      <c r="B94" s="6"/>
      <c r="C94" s="76" t="s">
        <v>30</v>
      </c>
      <c r="D94" s="76" t="s">
        <v>173</v>
      </c>
      <c r="E94" s="76" t="s">
        <v>233</v>
      </c>
      <c r="F94" s="76" t="s">
        <v>47</v>
      </c>
      <c r="G94" s="76" t="s">
        <v>34</v>
      </c>
      <c r="H94" s="76">
        <f>STOCK[[#This Row],[Precio Final]]</f>
        <v>14</v>
      </c>
      <c r="I94" s="76">
        <f>STOCK[[#This Row],[Precio Venta Ideal (x1.5)]]</f>
        <v>14.4333333333333</v>
      </c>
      <c r="J94" s="91">
        <v>1</v>
      </c>
      <c r="K94" s="91">
        <f>SUMIFS(VENTAS[Cantidad],VENTAS[Código del producto Vendido],STOCK[[#This Row],[Code]])</f>
        <v>1</v>
      </c>
      <c r="L94" s="91">
        <f>STOCK[[#This Row],[Entradas]]-STOCK[[#This Row],[Salidas]]</f>
        <v>0</v>
      </c>
      <c r="M94" s="76">
        <f>STOCK[[#This Row],[Precio Final]]*10%</f>
        <v>1.4</v>
      </c>
      <c r="N94" s="76">
        <v>130</v>
      </c>
      <c r="O94" s="76">
        <v>18</v>
      </c>
      <c r="P94" s="76">
        <v>7.22222222222222</v>
      </c>
      <c r="Q94" s="91">
        <v>125</v>
      </c>
      <c r="R94" s="76">
        <v>8</v>
      </c>
      <c r="S94" s="76">
        <f>STOCK[[#This Row],[Peso (g)]]*STOCK[[#This Row],[Precio Envío Kilogramo (USD)]]/1000</f>
        <v>1</v>
      </c>
      <c r="T94" s="76">
        <f>STOCK[[#This Row],[Costo Unitario (USD)]]+STOCK[[#This Row],[Costo Envío (USD)]]+STOCK[[#This Row],[Comisión 10%]]</f>
        <v>9.62222222222222</v>
      </c>
      <c r="U94" s="76">
        <f>STOCK[[#This Row],[Costo total]]*1.5</f>
        <v>14.4333333333333</v>
      </c>
      <c r="V94" s="76">
        <v>14</v>
      </c>
      <c r="W94" s="76">
        <f>STOCK[[#This Row],[Precio Final]]-STOCK[[#This Row],[Costo total]]</f>
        <v>4.37777777777778</v>
      </c>
      <c r="X94" s="76">
        <f>STOCK[[#This Row],[Ganancia Unitaria]]*STOCK[[#This Row],[Salidas]]</f>
        <v>4.37777777777778</v>
      </c>
      <c r="Y94" s="76" t="s">
        <v>167</v>
      </c>
      <c r="AA94" s="76">
        <f>STOCK[[#This Row],[Costo total]]*STOCK[[#This Row],[Entradas]]</f>
        <v>9.62222222222222</v>
      </c>
      <c r="AB94" s="76">
        <f>STOCK[[#This Row],[Stock Actual]]*STOCK[[#This Row],[Costo total]]</f>
        <v>0</v>
      </c>
    </row>
    <row r="95" s="77" customFormat="1" ht="50" customHeight="1" spans="1:28">
      <c r="A95" s="77" t="s">
        <v>234</v>
      </c>
      <c r="B95" s="6"/>
      <c r="C95" s="77" t="s">
        <v>30</v>
      </c>
      <c r="D95" s="77" t="s">
        <v>173</v>
      </c>
      <c r="E95" s="77" t="s">
        <v>235</v>
      </c>
      <c r="F95" s="77" t="s">
        <v>38</v>
      </c>
      <c r="G95" s="77" t="s">
        <v>34</v>
      </c>
      <c r="H95" s="77">
        <f>STOCK[[#This Row],[Precio Final]]</f>
        <v>12</v>
      </c>
      <c r="I95" s="77">
        <f>STOCK[[#This Row],[Precio Venta Ideal (x1.5)]]</f>
        <v>13.6566666666667</v>
      </c>
      <c r="J95" s="92">
        <v>1</v>
      </c>
      <c r="K95" s="92">
        <f>SUMIFS(VENTAS[Cantidad],VENTAS[Código del producto Vendido],STOCK[[#This Row],[Code]])</f>
        <v>1</v>
      </c>
      <c r="L95" s="92">
        <f>STOCK[[#This Row],[Entradas]]-STOCK[[#This Row],[Salidas]]</f>
        <v>0</v>
      </c>
      <c r="M95" s="77">
        <f>STOCK[[#This Row],[Precio Final]]*10%</f>
        <v>1.2</v>
      </c>
      <c r="N95" s="77">
        <v>125</v>
      </c>
      <c r="O95" s="77">
        <v>18</v>
      </c>
      <c r="P95" s="77">
        <v>6.94444444444444</v>
      </c>
      <c r="Q95" s="92">
        <v>120</v>
      </c>
      <c r="R95" s="77">
        <v>8</v>
      </c>
      <c r="S95" s="77">
        <f>STOCK[[#This Row],[Peso (g)]]*STOCK[[#This Row],[Precio Envío Kilogramo (USD)]]/1000</f>
        <v>0.96</v>
      </c>
      <c r="T95" s="76">
        <f>STOCK[[#This Row],[Costo Unitario (USD)]]+STOCK[[#This Row],[Costo Envío (USD)]]+STOCK[[#This Row],[Comisión 10%]]</f>
        <v>9.10444444444444</v>
      </c>
      <c r="U95" s="77">
        <f>STOCK[[#This Row],[Costo total]]*1.5</f>
        <v>13.6566666666667</v>
      </c>
      <c r="V95" s="77">
        <v>12</v>
      </c>
      <c r="W95" s="77">
        <f>STOCK[[#This Row],[Precio Final]]-STOCK[[#This Row],[Costo total]]</f>
        <v>2.89555555555556</v>
      </c>
      <c r="X95" s="77">
        <f>STOCK[[#This Row],[Ganancia Unitaria]]*STOCK[[#This Row],[Salidas]]</f>
        <v>2.89555555555556</v>
      </c>
      <c r="Y95" s="77" t="s">
        <v>167</v>
      </c>
      <c r="AA95" s="77">
        <f>STOCK[[#This Row],[Costo total]]*STOCK[[#This Row],[Entradas]]</f>
        <v>9.10444444444444</v>
      </c>
      <c r="AB95" s="77">
        <f>STOCK[[#This Row],[Stock Actual]]*STOCK[[#This Row],[Costo total]]</f>
        <v>0</v>
      </c>
    </row>
    <row r="96" s="76" customFormat="1" ht="50" customHeight="1" spans="1:28">
      <c r="A96" s="76" t="s">
        <v>236</v>
      </c>
      <c r="B96" s="6"/>
      <c r="C96" s="76" t="s">
        <v>30</v>
      </c>
      <c r="D96" s="76" t="s">
        <v>173</v>
      </c>
      <c r="E96" s="76" t="s">
        <v>235</v>
      </c>
      <c r="F96" s="76" t="s">
        <v>47</v>
      </c>
      <c r="G96" s="76" t="s">
        <v>34</v>
      </c>
      <c r="H96" s="76">
        <f>STOCK[[#This Row],[Precio Final]]</f>
        <v>12</v>
      </c>
      <c r="I96" s="76">
        <f>STOCK[[#This Row],[Precio Venta Ideal (x1.5)]]</f>
        <v>13.6566666666667</v>
      </c>
      <c r="J96" s="91">
        <v>1</v>
      </c>
      <c r="K96" s="91">
        <f>SUMIFS(VENTAS[Cantidad],VENTAS[Código del producto Vendido],STOCK[[#This Row],[Code]])</f>
        <v>1</v>
      </c>
      <c r="L96" s="91">
        <f>STOCK[[#This Row],[Entradas]]-STOCK[[#This Row],[Salidas]]</f>
        <v>0</v>
      </c>
      <c r="M96" s="76">
        <f>STOCK[[#This Row],[Precio Final]]*10%</f>
        <v>1.2</v>
      </c>
      <c r="N96" s="76">
        <v>125</v>
      </c>
      <c r="O96" s="76">
        <v>18</v>
      </c>
      <c r="P96" s="76">
        <v>6.94444444444444</v>
      </c>
      <c r="Q96" s="91">
        <v>120</v>
      </c>
      <c r="R96" s="76">
        <v>8</v>
      </c>
      <c r="S96" s="76">
        <f>STOCK[[#This Row],[Peso (g)]]*STOCK[[#This Row],[Precio Envío Kilogramo (USD)]]/1000</f>
        <v>0.96</v>
      </c>
      <c r="T96" s="76">
        <f>STOCK[[#This Row],[Costo Unitario (USD)]]+STOCK[[#This Row],[Costo Envío (USD)]]+STOCK[[#This Row],[Comisión 10%]]</f>
        <v>9.10444444444444</v>
      </c>
      <c r="U96" s="76">
        <f>STOCK[[#This Row],[Costo total]]*1.5</f>
        <v>13.6566666666667</v>
      </c>
      <c r="V96" s="76">
        <v>12</v>
      </c>
      <c r="W96" s="76">
        <f>STOCK[[#This Row],[Precio Final]]-STOCK[[#This Row],[Costo total]]</f>
        <v>2.89555555555556</v>
      </c>
      <c r="X96" s="76">
        <f>STOCK[[#This Row],[Ganancia Unitaria]]*STOCK[[#This Row],[Salidas]]</f>
        <v>2.89555555555556</v>
      </c>
      <c r="Y96" s="76" t="s">
        <v>167</v>
      </c>
      <c r="AA96" s="76">
        <f>STOCK[[#This Row],[Costo total]]*STOCK[[#This Row],[Entradas]]</f>
        <v>9.10444444444444</v>
      </c>
      <c r="AB96" s="76">
        <f>STOCK[[#This Row],[Stock Actual]]*STOCK[[#This Row],[Costo total]]</f>
        <v>0</v>
      </c>
    </row>
    <row r="97" s="77" customFormat="1" ht="50" customHeight="1" spans="1:28">
      <c r="A97" s="77" t="s">
        <v>237</v>
      </c>
      <c r="B97" s="6"/>
      <c r="C97" s="77" t="s">
        <v>30</v>
      </c>
      <c r="D97" s="77" t="s">
        <v>42</v>
      </c>
      <c r="E97" s="77" t="s">
        <v>238</v>
      </c>
      <c r="F97" s="77" t="s">
        <v>47</v>
      </c>
      <c r="G97" s="77" t="s">
        <v>34</v>
      </c>
      <c r="H97" s="77">
        <f>STOCK[[#This Row],[Precio Final]]</f>
        <v>28</v>
      </c>
      <c r="I97" s="77">
        <f>STOCK[[#This Row],[Precio Venta Ideal (x1.5)]]</f>
        <v>31.7966666666667</v>
      </c>
      <c r="J97" s="92">
        <v>1</v>
      </c>
      <c r="K97" s="92">
        <f>SUMIFS(VENTAS[Cantidad],VENTAS[Código del producto Vendido],STOCK[[#This Row],[Code]])</f>
        <v>1</v>
      </c>
      <c r="L97" s="92">
        <f>STOCK[[#This Row],[Entradas]]-STOCK[[#This Row],[Salidas]]</f>
        <v>0</v>
      </c>
      <c r="M97" s="77">
        <f>STOCK[[#This Row],[Precio Final]]*10%</f>
        <v>2.8</v>
      </c>
      <c r="N97" s="77">
        <v>275</v>
      </c>
      <c r="O97" s="77">
        <v>18</v>
      </c>
      <c r="P97" s="77">
        <v>15.2777777777778</v>
      </c>
      <c r="Q97" s="92">
        <v>390</v>
      </c>
      <c r="R97" s="77">
        <v>8</v>
      </c>
      <c r="S97" s="77">
        <f>STOCK[[#This Row],[Peso (g)]]*STOCK[[#This Row],[Precio Envío Kilogramo (USD)]]/1000</f>
        <v>3.12</v>
      </c>
      <c r="T97" s="76">
        <f>STOCK[[#This Row],[Costo Unitario (USD)]]+STOCK[[#This Row],[Costo Envío (USD)]]+STOCK[[#This Row],[Comisión 10%]]</f>
        <v>21.1977777777778</v>
      </c>
      <c r="U97" s="77">
        <f>STOCK[[#This Row],[Costo total]]*1.5</f>
        <v>31.7966666666667</v>
      </c>
      <c r="V97" s="77">
        <v>28</v>
      </c>
      <c r="W97" s="77">
        <f>STOCK[[#This Row],[Precio Final]]-STOCK[[#This Row],[Costo total]]</f>
        <v>6.8022222222222</v>
      </c>
      <c r="X97" s="77">
        <f>STOCK[[#This Row],[Ganancia Unitaria]]*STOCK[[#This Row],[Salidas]]</f>
        <v>6.8022222222222</v>
      </c>
      <c r="Y97" s="77" t="s">
        <v>167</v>
      </c>
      <c r="AA97" s="77">
        <f>STOCK[[#This Row],[Costo total]]*STOCK[[#This Row],[Entradas]]</f>
        <v>21.1977777777778</v>
      </c>
      <c r="AB97" s="77">
        <f>STOCK[[#This Row],[Stock Actual]]*STOCK[[#This Row],[Costo total]]</f>
        <v>0</v>
      </c>
    </row>
    <row r="98" s="76" customFormat="1" ht="50" customHeight="1" spans="1:28">
      <c r="A98" s="76" t="s">
        <v>239</v>
      </c>
      <c r="B98" s="6"/>
      <c r="C98" s="76" t="s">
        <v>30</v>
      </c>
      <c r="D98" s="76" t="s">
        <v>42</v>
      </c>
      <c r="E98" s="76" t="s">
        <v>238</v>
      </c>
      <c r="F98" s="76" t="s">
        <v>38</v>
      </c>
      <c r="G98" s="76" t="s">
        <v>34</v>
      </c>
      <c r="H98" s="76">
        <f>STOCK[[#This Row],[Precio Final]]</f>
        <v>28</v>
      </c>
      <c r="I98" s="76">
        <f>STOCK[[#This Row],[Precio Venta Ideal (x1.5)]]</f>
        <v>30.6566666666667</v>
      </c>
      <c r="J98" s="91">
        <v>1</v>
      </c>
      <c r="K98" s="91">
        <f>SUMIFS(VENTAS[Cantidad],VENTAS[Código del producto Vendido],STOCK[[#This Row],[Code]])</f>
        <v>1</v>
      </c>
      <c r="L98" s="91">
        <f>STOCK[[#This Row],[Entradas]]-STOCK[[#This Row],[Salidas]]</f>
        <v>0</v>
      </c>
      <c r="M98" s="76">
        <f>STOCK[[#This Row],[Precio Final]]*10%</f>
        <v>2.8</v>
      </c>
      <c r="N98" s="76">
        <v>275</v>
      </c>
      <c r="O98" s="76">
        <v>18</v>
      </c>
      <c r="P98" s="76">
        <v>15.2777777777778</v>
      </c>
      <c r="Q98" s="91">
        <v>295</v>
      </c>
      <c r="R98" s="76">
        <v>8</v>
      </c>
      <c r="S98" s="76">
        <f>STOCK[[#This Row],[Peso (g)]]*STOCK[[#This Row],[Precio Envío Kilogramo (USD)]]/1000</f>
        <v>2.36</v>
      </c>
      <c r="T98" s="76">
        <f>STOCK[[#This Row],[Costo Unitario (USD)]]+STOCK[[#This Row],[Costo Envío (USD)]]+STOCK[[#This Row],[Comisión 10%]]</f>
        <v>20.4377777777778</v>
      </c>
      <c r="U98" s="76">
        <f>STOCK[[#This Row],[Costo total]]*1.5</f>
        <v>30.6566666666667</v>
      </c>
      <c r="V98" s="76">
        <v>28</v>
      </c>
      <c r="W98" s="76">
        <f>STOCK[[#This Row],[Precio Final]]-STOCK[[#This Row],[Costo total]]</f>
        <v>7.5622222222222</v>
      </c>
      <c r="X98" s="76">
        <f>STOCK[[#This Row],[Ganancia Unitaria]]*STOCK[[#This Row],[Salidas]]</f>
        <v>7.5622222222222</v>
      </c>
      <c r="Y98" s="76" t="s">
        <v>167</v>
      </c>
      <c r="AA98" s="76">
        <f>STOCK[[#This Row],[Costo total]]*STOCK[[#This Row],[Entradas]]</f>
        <v>20.4377777777778</v>
      </c>
      <c r="AB98" s="76">
        <f>STOCK[[#This Row],[Stock Actual]]*STOCK[[#This Row],[Costo total]]</f>
        <v>0</v>
      </c>
    </row>
    <row r="99" s="77" customFormat="1" ht="50" customHeight="1" spans="1:28">
      <c r="A99" s="77" t="s">
        <v>240</v>
      </c>
      <c r="B99" s="6"/>
      <c r="C99" s="77" t="s">
        <v>30</v>
      </c>
      <c r="D99" s="77" t="s">
        <v>42</v>
      </c>
      <c r="E99" s="77" t="s">
        <v>241</v>
      </c>
      <c r="F99" s="77" t="s">
        <v>44</v>
      </c>
      <c r="G99" s="77" t="s">
        <v>34</v>
      </c>
      <c r="H99" s="77">
        <f>STOCK[[#This Row],[Precio Final]]</f>
        <v>20</v>
      </c>
      <c r="I99" s="77">
        <f>STOCK[[#This Row],[Precio Venta Ideal (x1.5)]]</f>
        <v>20.8133333333334</v>
      </c>
      <c r="J99" s="92">
        <v>1</v>
      </c>
      <c r="K99" s="92">
        <f>SUMIFS(VENTAS[Cantidad],VENTAS[Código del producto Vendido],STOCK[[#This Row],[Code]])</f>
        <v>1</v>
      </c>
      <c r="L99" s="92">
        <f>STOCK[[#This Row],[Entradas]]-STOCK[[#This Row],[Salidas]]</f>
        <v>0</v>
      </c>
      <c r="M99" s="77">
        <f>STOCK[[#This Row],[Precio Final]]*10%</f>
        <v>2</v>
      </c>
      <c r="N99" s="77">
        <v>190</v>
      </c>
      <c r="O99" s="77">
        <v>18</v>
      </c>
      <c r="P99" s="77">
        <v>10.5555555555556</v>
      </c>
      <c r="Q99" s="92">
        <v>165</v>
      </c>
      <c r="R99" s="77">
        <v>8</v>
      </c>
      <c r="S99" s="77">
        <f>STOCK[[#This Row],[Peso (g)]]*STOCK[[#This Row],[Precio Envío Kilogramo (USD)]]/1000</f>
        <v>1.32</v>
      </c>
      <c r="T99" s="76">
        <f>STOCK[[#This Row],[Costo Unitario (USD)]]+STOCK[[#This Row],[Costo Envío (USD)]]+STOCK[[#This Row],[Comisión 10%]]</f>
        <v>13.8755555555556</v>
      </c>
      <c r="U99" s="77">
        <f>STOCK[[#This Row],[Costo total]]*1.5</f>
        <v>20.8133333333334</v>
      </c>
      <c r="V99" s="77">
        <v>20</v>
      </c>
      <c r="W99" s="77">
        <f>STOCK[[#This Row],[Precio Final]]-STOCK[[#This Row],[Costo total]]</f>
        <v>6.1244444444444</v>
      </c>
      <c r="X99" s="77">
        <f>STOCK[[#This Row],[Ganancia Unitaria]]*STOCK[[#This Row],[Salidas]]</f>
        <v>6.1244444444444</v>
      </c>
      <c r="Y99" s="77" t="s">
        <v>167</v>
      </c>
      <c r="AA99" s="77">
        <f>STOCK[[#This Row],[Costo total]]*STOCK[[#This Row],[Entradas]]</f>
        <v>13.8755555555556</v>
      </c>
      <c r="AB99" s="77">
        <f>STOCK[[#This Row],[Stock Actual]]*STOCK[[#This Row],[Costo total]]</f>
        <v>0</v>
      </c>
    </row>
    <row r="100" s="76" customFormat="1" ht="50" customHeight="1" spans="1:28">
      <c r="A100" s="76" t="s">
        <v>242</v>
      </c>
      <c r="B100" s="6"/>
      <c r="C100" s="76" t="s">
        <v>30</v>
      </c>
      <c r="D100" s="76" t="s">
        <v>42</v>
      </c>
      <c r="E100" s="76" t="s">
        <v>241</v>
      </c>
      <c r="F100" s="76" t="s">
        <v>47</v>
      </c>
      <c r="G100" s="76" t="s">
        <v>34</v>
      </c>
      <c r="H100" s="76">
        <f>STOCK[[#This Row],[Precio Final]]</f>
        <v>20</v>
      </c>
      <c r="I100" s="76">
        <f>STOCK[[#This Row],[Precio Venta Ideal (x1.5)]]</f>
        <v>20.6933333333334</v>
      </c>
      <c r="J100" s="91">
        <v>1</v>
      </c>
      <c r="K100" s="91">
        <f>SUMIFS(VENTAS[Cantidad],VENTAS[Código del producto Vendido],STOCK[[#This Row],[Code]])</f>
        <v>1</v>
      </c>
      <c r="L100" s="91">
        <f>STOCK[[#This Row],[Entradas]]-STOCK[[#This Row],[Salidas]]</f>
        <v>0</v>
      </c>
      <c r="M100" s="76">
        <f>STOCK[[#This Row],[Precio Final]]*10%</f>
        <v>2</v>
      </c>
      <c r="N100" s="76">
        <v>190</v>
      </c>
      <c r="O100" s="76">
        <v>18</v>
      </c>
      <c r="P100" s="76">
        <v>10.5555555555556</v>
      </c>
      <c r="Q100" s="91">
        <v>155</v>
      </c>
      <c r="R100" s="76">
        <v>8</v>
      </c>
      <c r="S100" s="76">
        <f>STOCK[[#This Row],[Peso (g)]]*STOCK[[#This Row],[Precio Envío Kilogramo (USD)]]/1000</f>
        <v>1.24</v>
      </c>
      <c r="T100" s="76">
        <f>STOCK[[#This Row],[Costo Unitario (USD)]]+STOCK[[#This Row],[Costo Envío (USD)]]+STOCK[[#This Row],[Comisión 10%]]</f>
        <v>13.7955555555556</v>
      </c>
      <c r="U100" s="76">
        <f>STOCK[[#This Row],[Costo total]]*1.5</f>
        <v>20.6933333333334</v>
      </c>
      <c r="V100" s="76">
        <v>20</v>
      </c>
      <c r="W100" s="76">
        <f>STOCK[[#This Row],[Precio Final]]-STOCK[[#This Row],[Costo total]]</f>
        <v>6.2044444444444</v>
      </c>
      <c r="X100" s="76">
        <f>STOCK[[#This Row],[Ganancia Unitaria]]*STOCK[[#This Row],[Salidas]]</f>
        <v>6.2044444444444</v>
      </c>
      <c r="Y100" s="76" t="s">
        <v>167</v>
      </c>
      <c r="AA100" s="76">
        <f>STOCK[[#This Row],[Costo total]]*STOCK[[#This Row],[Entradas]]</f>
        <v>13.7955555555556</v>
      </c>
      <c r="AB100" s="76">
        <f>STOCK[[#This Row],[Stock Actual]]*STOCK[[#This Row],[Costo total]]</f>
        <v>0</v>
      </c>
    </row>
    <row r="101" s="77" customFormat="1" ht="50" customHeight="1" spans="1:28">
      <c r="A101" s="77" t="s">
        <v>243</v>
      </c>
      <c r="B101" s="6"/>
      <c r="C101" s="77" t="s">
        <v>30</v>
      </c>
      <c r="D101" s="77" t="s">
        <v>173</v>
      </c>
      <c r="E101" s="77" t="s">
        <v>244</v>
      </c>
      <c r="F101" s="77" t="s">
        <v>47</v>
      </c>
      <c r="G101" s="77" t="s">
        <v>34</v>
      </c>
      <c r="H101" s="77">
        <f>STOCK[[#This Row],[Precio Final]]</f>
        <v>14</v>
      </c>
      <c r="I101" s="77">
        <f>STOCK[[#This Row],[Precio Venta Ideal (x1.5)]]</f>
        <v>15.7566666666667</v>
      </c>
      <c r="J101" s="92">
        <v>1</v>
      </c>
      <c r="K101" s="92">
        <f>SUMIFS(VENTAS[Cantidad],VENTAS[Código del producto Vendido],STOCK[[#This Row],[Code]])</f>
        <v>1</v>
      </c>
      <c r="L101" s="92">
        <f>STOCK[[#This Row],[Entradas]]-STOCK[[#This Row],[Salidas]]</f>
        <v>0</v>
      </c>
      <c r="M101" s="77">
        <f>STOCK[[#This Row],[Precio Final]]*10%</f>
        <v>1.4</v>
      </c>
      <c r="N101" s="77">
        <v>143</v>
      </c>
      <c r="O101" s="77">
        <v>18</v>
      </c>
      <c r="P101" s="77">
        <v>7.94444444444444</v>
      </c>
      <c r="Q101" s="92">
        <v>145</v>
      </c>
      <c r="R101" s="77">
        <v>8</v>
      </c>
      <c r="S101" s="77">
        <f>STOCK[[#This Row],[Peso (g)]]*STOCK[[#This Row],[Precio Envío Kilogramo (USD)]]/1000</f>
        <v>1.16</v>
      </c>
      <c r="T101" s="76">
        <f>STOCK[[#This Row],[Costo Unitario (USD)]]+STOCK[[#This Row],[Costo Envío (USD)]]+STOCK[[#This Row],[Comisión 10%]]</f>
        <v>10.5044444444444</v>
      </c>
      <c r="U101" s="77">
        <f>STOCK[[#This Row],[Costo total]]*1.5</f>
        <v>15.7566666666667</v>
      </c>
      <c r="V101" s="77">
        <v>14</v>
      </c>
      <c r="W101" s="77">
        <f>STOCK[[#This Row],[Precio Final]]-STOCK[[#This Row],[Costo total]]</f>
        <v>3.49555555555556</v>
      </c>
      <c r="X101" s="77">
        <f>STOCK[[#This Row],[Ganancia Unitaria]]*STOCK[[#This Row],[Salidas]]</f>
        <v>3.49555555555556</v>
      </c>
      <c r="Y101" s="77" t="s">
        <v>167</v>
      </c>
      <c r="AA101" s="77">
        <f>STOCK[[#This Row],[Costo total]]*STOCK[[#This Row],[Entradas]]</f>
        <v>10.5044444444444</v>
      </c>
      <c r="AB101" s="77">
        <f>STOCK[[#This Row],[Stock Actual]]*STOCK[[#This Row],[Costo total]]</f>
        <v>0</v>
      </c>
    </row>
    <row r="102" s="76" customFormat="1" ht="50" customHeight="1" spans="1:28">
      <c r="A102" s="76" t="s">
        <v>245</v>
      </c>
      <c r="B102" s="6"/>
      <c r="C102" s="76" t="s">
        <v>30</v>
      </c>
      <c r="D102" s="76" t="s">
        <v>246</v>
      </c>
      <c r="E102" s="76" t="s">
        <v>247</v>
      </c>
      <c r="F102" s="76" t="s">
        <v>204</v>
      </c>
      <c r="G102" s="76" t="s">
        <v>34</v>
      </c>
      <c r="H102" s="76">
        <f>STOCK[[#This Row],[Precio Final]]</f>
        <v>13</v>
      </c>
      <c r="I102" s="76">
        <f>STOCK[[#This Row],[Precio Venta Ideal (x1.5)]]</f>
        <v>14.0133333333333</v>
      </c>
      <c r="J102" s="91">
        <v>1</v>
      </c>
      <c r="K102" s="91">
        <f>SUMIFS(VENTAS[Cantidad],VENTAS[Código del producto Vendido],STOCK[[#This Row],[Code]])</f>
        <v>1</v>
      </c>
      <c r="L102" s="91">
        <f>STOCK[[#This Row],[Entradas]]-STOCK[[#This Row],[Salidas]]</f>
        <v>0</v>
      </c>
      <c r="M102" s="76">
        <f>STOCK[[#This Row],[Precio Final]]*10%</f>
        <v>1.3</v>
      </c>
      <c r="N102" s="76">
        <v>121</v>
      </c>
      <c r="O102" s="76">
        <v>18</v>
      </c>
      <c r="P102" s="76">
        <v>6.72222222222222</v>
      </c>
      <c r="Q102" s="91">
        <v>165</v>
      </c>
      <c r="R102" s="76">
        <v>8</v>
      </c>
      <c r="S102" s="76">
        <f>STOCK[[#This Row],[Peso (g)]]*STOCK[[#This Row],[Precio Envío Kilogramo (USD)]]/1000</f>
        <v>1.32</v>
      </c>
      <c r="T102" s="76">
        <f>STOCK[[#This Row],[Costo Unitario (USD)]]+STOCK[[#This Row],[Costo Envío (USD)]]+STOCK[[#This Row],[Comisión 10%]]</f>
        <v>9.34222222222222</v>
      </c>
      <c r="U102" s="76">
        <f>STOCK[[#This Row],[Costo total]]*1.5</f>
        <v>14.0133333333333</v>
      </c>
      <c r="V102" s="76">
        <v>13</v>
      </c>
      <c r="W102" s="76">
        <f>STOCK[[#This Row],[Precio Final]]-STOCK[[#This Row],[Costo total]]</f>
        <v>3.65777777777778</v>
      </c>
      <c r="X102" s="76">
        <f>STOCK[[#This Row],[Ganancia Unitaria]]*STOCK[[#This Row],[Salidas]]</f>
        <v>3.65777777777778</v>
      </c>
      <c r="Y102" s="76" t="s">
        <v>167</v>
      </c>
      <c r="AA102" s="76">
        <f>STOCK[[#This Row],[Costo total]]*STOCK[[#This Row],[Entradas]]</f>
        <v>9.34222222222222</v>
      </c>
      <c r="AB102" s="76">
        <f>STOCK[[#This Row],[Stock Actual]]*STOCK[[#This Row],[Costo total]]</f>
        <v>0</v>
      </c>
    </row>
    <row r="103" s="77" customFormat="1" ht="50" customHeight="1" spans="1:28">
      <c r="A103" s="77" t="s">
        <v>248</v>
      </c>
      <c r="B103" s="6"/>
      <c r="C103" s="77" t="s">
        <v>30</v>
      </c>
      <c r="D103" s="77" t="s">
        <v>42</v>
      </c>
      <c r="E103" s="77" t="s">
        <v>249</v>
      </c>
      <c r="F103" s="77" t="s">
        <v>40</v>
      </c>
      <c r="G103" s="77" t="s">
        <v>34</v>
      </c>
      <c r="H103" s="77">
        <f>STOCK[[#This Row],[Precio Final]]</f>
        <v>25</v>
      </c>
      <c r="I103" s="77">
        <f>STOCK[[#This Row],[Precio Venta Ideal (x1.5)]]</f>
        <v>29.55</v>
      </c>
      <c r="J103" s="92">
        <v>1</v>
      </c>
      <c r="K103" s="92">
        <f>SUMIFS(VENTAS[Cantidad],VENTAS[Código del producto Vendido],STOCK[[#This Row],[Code]])</f>
        <v>1</v>
      </c>
      <c r="L103" s="92">
        <f>STOCK[[#This Row],[Entradas]]-STOCK[[#This Row],[Salidas]]</f>
        <v>0</v>
      </c>
      <c r="M103" s="77">
        <f>STOCK[[#This Row],[Precio Final]]*10%</f>
        <v>2.5</v>
      </c>
      <c r="N103" s="77">
        <v>270</v>
      </c>
      <c r="O103" s="77">
        <v>18</v>
      </c>
      <c r="P103" s="77">
        <v>15</v>
      </c>
      <c r="Q103" s="92">
        <v>275</v>
      </c>
      <c r="R103" s="77">
        <v>8</v>
      </c>
      <c r="S103" s="77">
        <f>STOCK[[#This Row],[Peso (g)]]*STOCK[[#This Row],[Precio Envío Kilogramo (USD)]]/1000</f>
        <v>2.2</v>
      </c>
      <c r="T103" s="76">
        <f>STOCK[[#This Row],[Costo Unitario (USD)]]+STOCK[[#This Row],[Costo Envío (USD)]]+STOCK[[#This Row],[Comisión 10%]]</f>
        <v>19.7</v>
      </c>
      <c r="U103" s="77">
        <f>STOCK[[#This Row],[Costo total]]*1.5</f>
        <v>29.55</v>
      </c>
      <c r="V103" s="77">
        <v>25</v>
      </c>
      <c r="W103" s="77">
        <f>STOCK[[#This Row],[Precio Final]]-STOCK[[#This Row],[Costo total]]</f>
        <v>5.3</v>
      </c>
      <c r="X103" s="77">
        <f>STOCK[[#This Row],[Ganancia Unitaria]]*STOCK[[#This Row],[Salidas]]</f>
        <v>5.3</v>
      </c>
      <c r="Y103" s="77" t="s">
        <v>167</v>
      </c>
      <c r="AA103" s="77">
        <f>STOCK[[#This Row],[Costo total]]*STOCK[[#This Row],[Entradas]]</f>
        <v>19.7</v>
      </c>
      <c r="AB103" s="77">
        <f>STOCK[[#This Row],[Stock Actual]]*STOCK[[#This Row],[Costo total]]</f>
        <v>0</v>
      </c>
    </row>
    <row r="104" s="76" customFormat="1" ht="50" customHeight="1" spans="1:28">
      <c r="A104" s="76" t="s">
        <v>250</v>
      </c>
      <c r="B104" s="6"/>
      <c r="C104" s="76" t="s">
        <v>30</v>
      </c>
      <c r="D104" s="76" t="s">
        <v>42</v>
      </c>
      <c r="E104" s="76" t="s">
        <v>251</v>
      </c>
      <c r="F104" s="76" t="s">
        <v>210</v>
      </c>
      <c r="G104" s="76" t="s">
        <v>34</v>
      </c>
      <c r="H104" s="76">
        <f>STOCK[[#This Row],[Precio Final]]</f>
        <v>25</v>
      </c>
      <c r="I104" s="76">
        <f>STOCK[[#This Row],[Precio Venta Ideal (x1.5)]]</f>
        <v>28.89</v>
      </c>
      <c r="J104" s="91">
        <v>1</v>
      </c>
      <c r="K104" s="91">
        <f>SUMIFS(VENTAS[Cantidad],VENTAS[Código del producto Vendido],STOCK[[#This Row],[Code]])</f>
        <v>1</v>
      </c>
      <c r="L104" s="91">
        <f>STOCK[[#This Row],[Entradas]]-STOCK[[#This Row],[Salidas]]</f>
        <v>0</v>
      </c>
      <c r="M104" s="76">
        <f>STOCK[[#This Row],[Precio Final]]*10%</f>
        <v>2.5</v>
      </c>
      <c r="N104" s="76">
        <v>270</v>
      </c>
      <c r="O104" s="76">
        <v>18</v>
      </c>
      <c r="P104" s="76">
        <v>15</v>
      </c>
      <c r="Q104" s="91">
        <v>220</v>
      </c>
      <c r="R104" s="76">
        <v>8</v>
      </c>
      <c r="S104" s="76">
        <f>STOCK[[#This Row],[Peso (g)]]*STOCK[[#This Row],[Precio Envío Kilogramo (USD)]]/1000</f>
        <v>1.76</v>
      </c>
      <c r="T104" s="76">
        <f>STOCK[[#This Row],[Costo Unitario (USD)]]+STOCK[[#This Row],[Costo Envío (USD)]]+STOCK[[#This Row],[Comisión 10%]]</f>
        <v>19.26</v>
      </c>
      <c r="U104" s="76">
        <f>STOCK[[#This Row],[Costo total]]*1.5</f>
        <v>28.89</v>
      </c>
      <c r="V104" s="76">
        <v>25</v>
      </c>
      <c r="W104" s="76">
        <f>STOCK[[#This Row],[Precio Final]]-STOCK[[#This Row],[Costo total]]</f>
        <v>5.74</v>
      </c>
      <c r="X104" s="76">
        <f>STOCK[[#This Row],[Ganancia Unitaria]]*STOCK[[#This Row],[Salidas]]</f>
        <v>5.74</v>
      </c>
      <c r="Y104" s="76" t="s">
        <v>167</v>
      </c>
      <c r="AA104" s="76">
        <f>STOCK[[#This Row],[Costo total]]*STOCK[[#This Row],[Entradas]]</f>
        <v>19.26</v>
      </c>
      <c r="AB104" s="76">
        <f>STOCK[[#This Row],[Stock Actual]]*STOCK[[#This Row],[Costo total]]</f>
        <v>0</v>
      </c>
    </row>
    <row r="105" s="77" customFormat="1" ht="50" customHeight="1" spans="1:28">
      <c r="A105" s="77" t="s">
        <v>252</v>
      </c>
      <c r="B105" s="6"/>
      <c r="C105" s="77" t="s">
        <v>30</v>
      </c>
      <c r="D105" s="77" t="s">
        <v>42</v>
      </c>
      <c r="E105" s="77" t="s">
        <v>249</v>
      </c>
      <c r="F105" s="77" t="s">
        <v>60</v>
      </c>
      <c r="G105" s="77" t="s">
        <v>34</v>
      </c>
      <c r="H105" s="77">
        <f>STOCK[[#This Row],[Precio Final]]</f>
        <v>25</v>
      </c>
      <c r="I105" s="77">
        <f>STOCK[[#This Row],[Precio Venta Ideal (x1.5)]]</f>
        <v>28.95</v>
      </c>
      <c r="J105" s="92">
        <v>1</v>
      </c>
      <c r="K105" s="92">
        <f>SUMIFS(VENTAS[Cantidad],VENTAS[Código del producto Vendido],STOCK[[#This Row],[Code]])</f>
        <v>1</v>
      </c>
      <c r="L105" s="92">
        <f>STOCK[[#This Row],[Entradas]]-STOCK[[#This Row],[Salidas]]</f>
        <v>0</v>
      </c>
      <c r="M105" s="77">
        <f>STOCK[[#This Row],[Precio Final]]*10%</f>
        <v>2.5</v>
      </c>
      <c r="N105" s="77">
        <v>270</v>
      </c>
      <c r="O105" s="77">
        <v>18</v>
      </c>
      <c r="P105" s="77">
        <v>15</v>
      </c>
      <c r="Q105" s="92">
        <v>225</v>
      </c>
      <c r="R105" s="77">
        <v>8</v>
      </c>
      <c r="S105" s="77">
        <f>STOCK[[#This Row],[Peso (g)]]*STOCK[[#This Row],[Precio Envío Kilogramo (USD)]]/1000</f>
        <v>1.8</v>
      </c>
      <c r="T105" s="76">
        <f>STOCK[[#This Row],[Costo Unitario (USD)]]+STOCK[[#This Row],[Costo Envío (USD)]]+STOCK[[#This Row],[Comisión 10%]]</f>
        <v>19.3</v>
      </c>
      <c r="U105" s="77">
        <f>STOCK[[#This Row],[Costo total]]*1.5</f>
        <v>28.95</v>
      </c>
      <c r="V105" s="77">
        <v>25</v>
      </c>
      <c r="W105" s="77">
        <f>STOCK[[#This Row],[Precio Final]]-STOCK[[#This Row],[Costo total]]</f>
        <v>5.7</v>
      </c>
      <c r="X105" s="77">
        <f>STOCK[[#This Row],[Ganancia Unitaria]]*STOCK[[#This Row],[Salidas]]</f>
        <v>5.7</v>
      </c>
      <c r="Y105" s="77" t="s">
        <v>167</v>
      </c>
      <c r="AA105" s="77">
        <f>STOCK[[#This Row],[Costo total]]*STOCK[[#This Row],[Entradas]]</f>
        <v>19.3</v>
      </c>
      <c r="AB105" s="77">
        <f>STOCK[[#This Row],[Stock Actual]]*STOCK[[#This Row],[Costo total]]</f>
        <v>0</v>
      </c>
    </row>
    <row r="106" s="76" customFormat="1" ht="50" customHeight="1" spans="1:28">
      <c r="A106" s="76" t="s">
        <v>253</v>
      </c>
      <c r="B106" s="6"/>
      <c r="C106" s="76" t="s">
        <v>30</v>
      </c>
      <c r="D106" s="76" t="s">
        <v>173</v>
      </c>
      <c r="E106" s="76" t="s">
        <v>254</v>
      </c>
      <c r="F106" s="76" t="s">
        <v>186</v>
      </c>
      <c r="G106" s="76" t="s">
        <v>34</v>
      </c>
      <c r="H106" s="76">
        <f>STOCK[[#This Row],[Precio Final]]</f>
        <v>12</v>
      </c>
      <c r="I106" s="76">
        <f>STOCK[[#This Row],[Precio Venta Ideal (x1.5)]]</f>
        <v>14.3133333333333</v>
      </c>
      <c r="J106" s="91">
        <v>1</v>
      </c>
      <c r="K106" s="91">
        <f>SUMIFS(VENTAS[Cantidad],VENTAS[Código del producto Vendido],STOCK[[#This Row],[Code]])</f>
        <v>1</v>
      </c>
      <c r="L106" s="91">
        <f>STOCK[[#This Row],[Entradas]]-STOCK[[#This Row],[Salidas]]</f>
        <v>0</v>
      </c>
      <c r="M106" s="76">
        <f>STOCK[[#This Row],[Precio Final]]*10%</f>
        <v>1.2</v>
      </c>
      <c r="N106" s="76">
        <v>130</v>
      </c>
      <c r="O106" s="76">
        <v>18</v>
      </c>
      <c r="P106" s="76">
        <v>7.22222222222222</v>
      </c>
      <c r="Q106" s="91">
        <v>140</v>
      </c>
      <c r="R106" s="76">
        <v>8</v>
      </c>
      <c r="S106" s="76">
        <f>STOCK[[#This Row],[Peso (g)]]*STOCK[[#This Row],[Precio Envío Kilogramo (USD)]]/1000</f>
        <v>1.12</v>
      </c>
      <c r="T106" s="76">
        <f>STOCK[[#This Row],[Costo Unitario (USD)]]+STOCK[[#This Row],[Costo Envío (USD)]]+STOCK[[#This Row],[Comisión 10%]]</f>
        <v>9.54222222222222</v>
      </c>
      <c r="U106" s="76">
        <f>STOCK[[#This Row],[Costo total]]*1.5</f>
        <v>14.3133333333333</v>
      </c>
      <c r="V106" s="76">
        <v>12</v>
      </c>
      <c r="W106" s="76">
        <f>STOCK[[#This Row],[Precio Final]]-STOCK[[#This Row],[Costo total]]</f>
        <v>2.45777777777778</v>
      </c>
      <c r="X106" s="76">
        <f>STOCK[[#This Row],[Ganancia Unitaria]]*STOCK[[#This Row],[Salidas]]</f>
        <v>2.45777777777778</v>
      </c>
      <c r="Y106" s="76" t="s">
        <v>167</v>
      </c>
      <c r="AA106" s="76">
        <f>STOCK[[#This Row],[Costo total]]*STOCK[[#This Row],[Entradas]]</f>
        <v>9.54222222222222</v>
      </c>
      <c r="AB106" s="76">
        <f>STOCK[[#This Row],[Stock Actual]]*STOCK[[#This Row],[Costo total]]</f>
        <v>0</v>
      </c>
    </row>
    <row r="107" s="77" customFormat="1" ht="50" customHeight="1" spans="1:28">
      <c r="A107" s="77" t="s">
        <v>255</v>
      </c>
      <c r="B107" s="6"/>
      <c r="C107" s="77" t="s">
        <v>30</v>
      </c>
      <c r="D107" s="77" t="s">
        <v>173</v>
      </c>
      <c r="E107" s="77" t="s">
        <v>256</v>
      </c>
      <c r="F107" s="77" t="s">
        <v>257</v>
      </c>
      <c r="G107" s="77" t="s">
        <v>34</v>
      </c>
      <c r="H107" s="77">
        <f>STOCK[[#This Row],[Precio Final]]</f>
        <v>14</v>
      </c>
      <c r="I107" s="77">
        <f>STOCK[[#This Row],[Precio Venta Ideal (x1.5)]]</f>
        <v>14.6133333333333</v>
      </c>
      <c r="J107" s="92">
        <v>1</v>
      </c>
      <c r="K107" s="92">
        <f>SUMIFS(VENTAS[Cantidad],VENTAS[Código del producto Vendido],STOCK[[#This Row],[Code]])</f>
        <v>1</v>
      </c>
      <c r="L107" s="92">
        <f>STOCK[[#This Row],[Entradas]]-STOCK[[#This Row],[Salidas]]</f>
        <v>0</v>
      </c>
      <c r="M107" s="77">
        <f>STOCK[[#This Row],[Precio Final]]*10%</f>
        <v>1.4</v>
      </c>
      <c r="N107" s="77">
        <v>130</v>
      </c>
      <c r="O107" s="77">
        <v>18</v>
      </c>
      <c r="P107" s="77">
        <v>7.22222222222222</v>
      </c>
      <c r="Q107" s="92">
        <v>140</v>
      </c>
      <c r="R107" s="77">
        <v>8</v>
      </c>
      <c r="S107" s="77">
        <f>STOCK[[#This Row],[Peso (g)]]*STOCK[[#This Row],[Precio Envío Kilogramo (USD)]]/1000</f>
        <v>1.12</v>
      </c>
      <c r="T107" s="76">
        <f>STOCK[[#This Row],[Costo Unitario (USD)]]+STOCK[[#This Row],[Costo Envío (USD)]]+STOCK[[#This Row],[Comisión 10%]]</f>
        <v>9.74222222222222</v>
      </c>
      <c r="U107" s="77">
        <f>STOCK[[#This Row],[Costo total]]*1.5</f>
        <v>14.6133333333333</v>
      </c>
      <c r="V107" s="77">
        <v>14</v>
      </c>
      <c r="W107" s="77">
        <f>STOCK[[#This Row],[Precio Final]]-STOCK[[#This Row],[Costo total]]</f>
        <v>4.25777777777778</v>
      </c>
      <c r="X107" s="77">
        <f>STOCK[[#This Row],[Ganancia Unitaria]]*STOCK[[#This Row],[Salidas]]</f>
        <v>4.25777777777778</v>
      </c>
      <c r="Y107" s="77" t="s">
        <v>167</v>
      </c>
      <c r="AA107" s="77">
        <f>STOCK[[#This Row],[Costo total]]*STOCK[[#This Row],[Entradas]]</f>
        <v>9.74222222222222</v>
      </c>
      <c r="AB107" s="77">
        <f>STOCK[[#This Row],[Stock Actual]]*STOCK[[#This Row],[Costo total]]</f>
        <v>0</v>
      </c>
    </row>
    <row r="108" s="76" customFormat="1" ht="50" customHeight="1" spans="1:28">
      <c r="A108" s="76" t="s">
        <v>258</v>
      </c>
      <c r="B108" s="6"/>
      <c r="C108" s="76" t="s">
        <v>30</v>
      </c>
      <c r="D108" s="76" t="s">
        <v>173</v>
      </c>
      <c r="E108" s="76" t="s">
        <v>259</v>
      </c>
      <c r="F108" s="76" t="s">
        <v>60</v>
      </c>
      <c r="G108" s="76" t="s">
        <v>34</v>
      </c>
      <c r="H108" s="76">
        <f>STOCK[[#This Row],[Precio Final]]</f>
        <v>12</v>
      </c>
      <c r="I108" s="76">
        <f>STOCK[[#This Row],[Precio Venta Ideal (x1.5)]]</f>
        <v>13.0666666666667</v>
      </c>
      <c r="J108" s="91">
        <v>1</v>
      </c>
      <c r="K108" s="91">
        <f>SUMIFS(VENTAS[Cantidad],VENTAS[Código del producto Vendido],STOCK[[#This Row],[Code]])</f>
        <v>1</v>
      </c>
      <c r="L108" s="91">
        <f>STOCK[[#This Row],[Entradas]]-STOCK[[#This Row],[Salidas]]</f>
        <v>0</v>
      </c>
      <c r="M108" s="76">
        <f>STOCK[[#This Row],[Precio Final]]*10%</f>
        <v>1.2</v>
      </c>
      <c r="N108" s="76">
        <v>110</v>
      </c>
      <c r="O108" s="76">
        <v>18</v>
      </c>
      <c r="P108" s="76">
        <v>6.11111111111111</v>
      </c>
      <c r="Q108" s="91">
        <v>175</v>
      </c>
      <c r="R108" s="76">
        <v>8</v>
      </c>
      <c r="S108" s="76">
        <f>STOCK[[#This Row],[Peso (g)]]*STOCK[[#This Row],[Precio Envío Kilogramo (USD)]]/1000</f>
        <v>1.4</v>
      </c>
      <c r="T108" s="76">
        <f>STOCK[[#This Row],[Costo Unitario (USD)]]+STOCK[[#This Row],[Costo Envío (USD)]]+STOCK[[#This Row],[Comisión 10%]]</f>
        <v>8.71111111111111</v>
      </c>
      <c r="U108" s="76">
        <f>STOCK[[#This Row],[Costo total]]*1.5</f>
        <v>13.0666666666667</v>
      </c>
      <c r="V108" s="76">
        <v>12</v>
      </c>
      <c r="W108" s="76">
        <f>STOCK[[#This Row],[Precio Final]]-STOCK[[#This Row],[Costo total]]</f>
        <v>3.28888888888889</v>
      </c>
      <c r="X108" s="76">
        <f>STOCK[[#This Row],[Ganancia Unitaria]]*STOCK[[#This Row],[Salidas]]</f>
        <v>3.28888888888889</v>
      </c>
      <c r="Y108" s="76" t="s">
        <v>167</v>
      </c>
      <c r="AA108" s="76">
        <f>STOCK[[#This Row],[Costo total]]*STOCK[[#This Row],[Entradas]]</f>
        <v>8.71111111111111</v>
      </c>
      <c r="AB108" s="76">
        <f>STOCK[[#This Row],[Stock Actual]]*STOCK[[#This Row],[Costo total]]</f>
        <v>0</v>
      </c>
    </row>
    <row r="109" s="77" customFormat="1" ht="50" customHeight="1" spans="1:28">
      <c r="A109" s="77" t="s">
        <v>260</v>
      </c>
      <c r="B109" s="6"/>
      <c r="C109" s="77" t="s">
        <v>30</v>
      </c>
      <c r="D109" s="77" t="s">
        <v>173</v>
      </c>
      <c r="E109" s="77" t="s">
        <v>261</v>
      </c>
      <c r="F109" s="77" t="s">
        <v>60</v>
      </c>
      <c r="G109" s="77" t="s">
        <v>34</v>
      </c>
      <c r="H109" s="77">
        <f>STOCK[[#This Row],[Precio Final]]</f>
        <v>14</v>
      </c>
      <c r="I109" s="77">
        <f>STOCK[[#This Row],[Precio Venta Ideal (x1.5)]]</f>
        <v>14.2533333333333</v>
      </c>
      <c r="J109" s="92">
        <v>1</v>
      </c>
      <c r="K109" s="92">
        <f>SUMIFS(VENTAS[Cantidad],VENTAS[Código del producto Vendido],STOCK[[#This Row],[Code]])</f>
        <v>1</v>
      </c>
      <c r="L109" s="92">
        <f>STOCK[[#This Row],[Entradas]]-STOCK[[#This Row],[Salidas]]</f>
        <v>0</v>
      </c>
      <c r="M109" s="77">
        <f>STOCK[[#This Row],[Precio Final]]*10%</f>
        <v>1.4</v>
      </c>
      <c r="N109" s="77">
        <v>130</v>
      </c>
      <c r="O109" s="77">
        <v>18</v>
      </c>
      <c r="P109" s="77">
        <v>7.22222222222222</v>
      </c>
      <c r="Q109" s="92">
        <v>110</v>
      </c>
      <c r="R109" s="77">
        <v>8</v>
      </c>
      <c r="S109" s="77">
        <f>STOCK[[#This Row],[Peso (g)]]*STOCK[[#This Row],[Precio Envío Kilogramo (USD)]]/1000</f>
        <v>0.88</v>
      </c>
      <c r="T109" s="76">
        <f>STOCK[[#This Row],[Costo Unitario (USD)]]+STOCK[[#This Row],[Costo Envío (USD)]]+STOCK[[#This Row],[Comisión 10%]]</f>
        <v>9.50222222222222</v>
      </c>
      <c r="U109" s="77">
        <f>STOCK[[#This Row],[Costo total]]*1.5</f>
        <v>14.2533333333333</v>
      </c>
      <c r="V109" s="77">
        <v>14</v>
      </c>
      <c r="W109" s="77">
        <f>STOCK[[#This Row],[Precio Final]]-STOCK[[#This Row],[Costo total]]</f>
        <v>4.49777777777778</v>
      </c>
      <c r="X109" s="77">
        <f>STOCK[[#This Row],[Ganancia Unitaria]]*STOCK[[#This Row],[Salidas]]</f>
        <v>4.49777777777778</v>
      </c>
      <c r="Y109" s="77" t="s">
        <v>167</v>
      </c>
      <c r="AA109" s="77">
        <f>STOCK[[#This Row],[Costo total]]*STOCK[[#This Row],[Entradas]]</f>
        <v>9.50222222222222</v>
      </c>
      <c r="AB109" s="77">
        <f>STOCK[[#This Row],[Stock Actual]]*STOCK[[#This Row],[Costo total]]</f>
        <v>0</v>
      </c>
    </row>
    <row r="110" s="76" customFormat="1" ht="50" customHeight="1" spans="1:28">
      <c r="A110" s="76" t="s">
        <v>262</v>
      </c>
      <c r="B110" s="6"/>
      <c r="C110" s="76" t="s">
        <v>30</v>
      </c>
      <c r="D110" s="76" t="s">
        <v>173</v>
      </c>
      <c r="E110" s="76" t="s">
        <v>261</v>
      </c>
      <c r="F110" s="76" t="s">
        <v>47</v>
      </c>
      <c r="G110" s="76" t="s">
        <v>34</v>
      </c>
      <c r="H110" s="76">
        <f>STOCK[[#This Row],[Precio Final]]</f>
        <v>14</v>
      </c>
      <c r="I110" s="76">
        <f>STOCK[[#This Row],[Precio Venta Ideal (x1.5)]]</f>
        <v>14.1333333333333</v>
      </c>
      <c r="J110" s="91">
        <v>1</v>
      </c>
      <c r="K110" s="91">
        <f>SUMIFS(VENTAS[Cantidad],VENTAS[Código del producto Vendido],STOCK[[#This Row],[Code]])</f>
        <v>1</v>
      </c>
      <c r="L110" s="91">
        <f>STOCK[[#This Row],[Entradas]]-STOCK[[#This Row],[Salidas]]</f>
        <v>0</v>
      </c>
      <c r="M110" s="76">
        <f>STOCK[[#This Row],[Precio Final]]*10%</f>
        <v>1.4</v>
      </c>
      <c r="N110" s="76">
        <v>130</v>
      </c>
      <c r="O110" s="76">
        <v>18</v>
      </c>
      <c r="P110" s="76">
        <v>7.22222222222222</v>
      </c>
      <c r="Q110" s="91">
        <v>100</v>
      </c>
      <c r="R110" s="76">
        <v>8</v>
      </c>
      <c r="S110" s="76">
        <f>STOCK[[#This Row],[Peso (g)]]*STOCK[[#This Row],[Precio Envío Kilogramo (USD)]]/1000</f>
        <v>0.8</v>
      </c>
      <c r="T110" s="76">
        <f>STOCK[[#This Row],[Costo Unitario (USD)]]+STOCK[[#This Row],[Costo Envío (USD)]]+STOCK[[#This Row],[Comisión 10%]]</f>
        <v>9.42222222222222</v>
      </c>
      <c r="U110" s="76">
        <f>STOCK[[#This Row],[Costo total]]*1.5</f>
        <v>14.1333333333333</v>
      </c>
      <c r="V110" s="76">
        <v>14</v>
      </c>
      <c r="W110" s="76">
        <f>STOCK[[#This Row],[Precio Final]]-STOCK[[#This Row],[Costo total]]</f>
        <v>4.57777777777778</v>
      </c>
      <c r="X110" s="76">
        <f>STOCK[[#This Row],[Ganancia Unitaria]]*STOCK[[#This Row],[Salidas]]</f>
        <v>4.57777777777778</v>
      </c>
      <c r="Y110" s="76" t="s">
        <v>167</v>
      </c>
      <c r="AA110" s="76">
        <f>STOCK[[#This Row],[Costo total]]*STOCK[[#This Row],[Entradas]]</f>
        <v>9.42222222222222</v>
      </c>
      <c r="AB110" s="76">
        <f>STOCK[[#This Row],[Stock Actual]]*STOCK[[#This Row],[Costo total]]</f>
        <v>0</v>
      </c>
    </row>
    <row r="111" s="77" customFormat="1" ht="50" customHeight="1" spans="1:28">
      <c r="A111" s="77" t="s">
        <v>263</v>
      </c>
      <c r="B111" s="6"/>
      <c r="C111" s="77" t="s">
        <v>30</v>
      </c>
      <c r="D111" s="77" t="s">
        <v>173</v>
      </c>
      <c r="E111" s="77" t="s">
        <v>261</v>
      </c>
      <c r="F111" s="77" t="s">
        <v>44</v>
      </c>
      <c r="G111" s="77" t="s">
        <v>34</v>
      </c>
      <c r="H111" s="77">
        <f>STOCK[[#This Row],[Precio Final]]</f>
        <v>14</v>
      </c>
      <c r="I111" s="77">
        <f>STOCK[[#This Row],[Precio Venta Ideal (x1.5)]]</f>
        <v>14.4933333333333</v>
      </c>
      <c r="J111" s="92">
        <v>1</v>
      </c>
      <c r="K111" s="92">
        <f>SUMIFS(VENTAS[Cantidad],VENTAS[Código del producto Vendido],STOCK[[#This Row],[Code]])</f>
        <v>1</v>
      </c>
      <c r="L111" s="92">
        <f>STOCK[[#This Row],[Entradas]]-STOCK[[#This Row],[Salidas]]</f>
        <v>0</v>
      </c>
      <c r="M111" s="77">
        <f>STOCK[[#This Row],[Precio Final]]*10%</f>
        <v>1.4</v>
      </c>
      <c r="N111" s="77">
        <v>130</v>
      </c>
      <c r="O111" s="77">
        <v>18</v>
      </c>
      <c r="P111" s="77">
        <v>7.22222222222222</v>
      </c>
      <c r="Q111" s="92">
        <v>130</v>
      </c>
      <c r="R111" s="77">
        <v>8</v>
      </c>
      <c r="S111" s="77">
        <f>STOCK[[#This Row],[Peso (g)]]*STOCK[[#This Row],[Precio Envío Kilogramo (USD)]]/1000</f>
        <v>1.04</v>
      </c>
      <c r="T111" s="76">
        <f>STOCK[[#This Row],[Costo Unitario (USD)]]+STOCK[[#This Row],[Costo Envío (USD)]]+STOCK[[#This Row],[Comisión 10%]]</f>
        <v>9.66222222222222</v>
      </c>
      <c r="U111" s="77">
        <f>STOCK[[#This Row],[Costo total]]*1.5</f>
        <v>14.4933333333333</v>
      </c>
      <c r="V111" s="77">
        <v>14</v>
      </c>
      <c r="W111" s="77">
        <f>STOCK[[#This Row],[Precio Final]]-STOCK[[#This Row],[Costo total]]</f>
        <v>4.33777777777778</v>
      </c>
      <c r="X111" s="77">
        <f>STOCK[[#This Row],[Ganancia Unitaria]]*STOCK[[#This Row],[Salidas]]</f>
        <v>4.33777777777778</v>
      </c>
      <c r="Y111" s="77" t="s">
        <v>167</v>
      </c>
      <c r="AA111" s="77">
        <f>STOCK[[#This Row],[Costo total]]*STOCK[[#This Row],[Entradas]]</f>
        <v>9.66222222222222</v>
      </c>
      <c r="AB111" s="77">
        <f>STOCK[[#This Row],[Stock Actual]]*STOCK[[#This Row],[Costo total]]</f>
        <v>0</v>
      </c>
    </row>
    <row r="112" s="76" customFormat="1" ht="50" customHeight="1" spans="1:28">
      <c r="A112" s="76" t="s">
        <v>264</v>
      </c>
      <c r="B112" s="6"/>
      <c r="C112" s="76" t="s">
        <v>30</v>
      </c>
      <c r="D112" s="76" t="s">
        <v>42</v>
      </c>
      <c r="E112" s="76" t="s">
        <v>265</v>
      </c>
      <c r="F112" s="76" t="s">
        <v>60</v>
      </c>
      <c r="G112" s="76" t="s">
        <v>34</v>
      </c>
      <c r="H112" s="76">
        <f>STOCK[[#This Row],[Precio Final]]</f>
        <v>0</v>
      </c>
      <c r="I112" s="76">
        <f>STOCK[[#This Row],[Precio Venta Ideal (x1.5)]]</f>
        <v>26.8733333333334</v>
      </c>
      <c r="J112" s="91">
        <v>1</v>
      </c>
      <c r="K112" s="91">
        <f>SUMIFS(VENTAS[Cantidad],VENTAS[Código del producto Vendido],STOCK[[#This Row],[Code]])</f>
        <v>1</v>
      </c>
      <c r="L112" s="91">
        <f>STOCK[[#This Row],[Entradas]]-STOCK[[#This Row],[Salidas]]</f>
        <v>0</v>
      </c>
      <c r="M112" s="76">
        <f>STOCK[[#This Row],[Precio Final]]*10%</f>
        <v>0</v>
      </c>
      <c r="N112" s="76">
        <v>280</v>
      </c>
      <c r="O112" s="76">
        <v>18</v>
      </c>
      <c r="P112" s="76">
        <v>15.5555555555556</v>
      </c>
      <c r="Q112" s="91">
        <v>295</v>
      </c>
      <c r="R112" s="76">
        <v>8</v>
      </c>
      <c r="S112" s="76">
        <f>STOCK[[#This Row],[Peso (g)]]*STOCK[[#This Row],[Precio Envío Kilogramo (USD)]]/1000</f>
        <v>2.36</v>
      </c>
      <c r="T112" s="76">
        <f>STOCK[[#This Row],[Costo Unitario (USD)]]+STOCK[[#This Row],[Costo Envío (USD)]]+STOCK[[#This Row],[Comisión 10%]]</f>
        <v>17.9155555555556</v>
      </c>
      <c r="U112" s="76">
        <f>STOCK[[#This Row],[Costo total]]*1.5</f>
        <v>26.8733333333334</v>
      </c>
      <c r="V112" s="76">
        <v>0</v>
      </c>
      <c r="W112" s="76">
        <f>STOCK[[#This Row],[Precio Final]]-STOCK[[#This Row],[Costo total]]</f>
        <v>-17.9155555555556</v>
      </c>
      <c r="X112" s="76">
        <f>STOCK[[#This Row],[Ganancia Unitaria]]*STOCK[[#This Row],[Salidas]]</f>
        <v>-17.9155555555556</v>
      </c>
      <c r="Y112" s="76" t="s">
        <v>167</v>
      </c>
      <c r="AA112" s="76">
        <f>STOCK[[#This Row],[Costo total]]*STOCK[[#This Row],[Entradas]]</f>
        <v>17.9155555555556</v>
      </c>
      <c r="AB112" s="76">
        <f>STOCK[[#This Row],[Stock Actual]]*STOCK[[#This Row],[Costo total]]</f>
        <v>0</v>
      </c>
    </row>
    <row r="113" s="77" customFormat="1" ht="50" customHeight="1" spans="1:28">
      <c r="A113" s="77" t="s">
        <v>266</v>
      </c>
      <c r="B113" s="6"/>
      <c r="C113" s="77" t="s">
        <v>30</v>
      </c>
      <c r="D113" s="77" t="s">
        <v>42</v>
      </c>
      <c r="E113" s="77" t="s">
        <v>267</v>
      </c>
      <c r="F113" s="77" t="s">
        <v>47</v>
      </c>
      <c r="G113" s="77" t="s">
        <v>34</v>
      </c>
      <c r="H113" s="77">
        <f>STOCK[[#This Row],[Precio Final]]</f>
        <v>25</v>
      </c>
      <c r="I113" s="77">
        <f>STOCK[[#This Row],[Precio Venta Ideal (x1.5)]]</f>
        <v>23.4166666666667</v>
      </c>
      <c r="J113" s="92">
        <v>1</v>
      </c>
      <c r="K113" s="92">
        <f>SUMIFS(VENTAS[Cantidad],VENTAS[Código del producto Vendido],STOCK[[#This Row],[Code]])</f>
        <v>1</v>
      </c>
      <c r="L113" s="92">
        <f>STOCK[[#This Row],[Entradas]]-STOCK[[#This Row],[Salidas]]</f>
        <v>0</v>
      </c>
      <c r="M113" s="77">
        <f>STOCK[[#This Row],[Precio Final]]*10%</f>
        <v>2.5</v>
      </c>
      <c r="N113" s="77">
        <v>200</v>
      </c>
      <c r="O113" s="77">
        <v>18</v>
      </c>
      <c r="P113" s="77">
        <v>11.1111111111111</v>
      </c>
      <c r="Q113" s="92">
        <v>250</v>
      </c>
      <c r="R113" s="77">
        <v>8</v>
      </c>
      <c r="S113" s="77">
        <f>STOCK[[#This Row],[Peso (g)]]*STOCK[[#This Row],[Precio Envío Kilogramo (USD)]]/1000</f>
        <v>2</v>
      </c>
      <c r="T113" s="76">
        <f>STOCK[[#This Row],[Costo Unitario (USD)]]+STOCK[[#This Row],[Costo Envío (USD)]]+STOCK[[#This Row],[Comisión 10%]]</f>
        <v>15.6111111111111</v>
      </c>
      <c r="U113" s="77">
        <f>STOCK[[#This Row],[Costo total]]*1.5</f>
        <v>23.4166666666667</v>
      </c>
      <c r="V113" s="77">
        <v>25</v>
      </c>
      <c r="W113" s="77">
        <f>STOCK[[#This Row],[Precio Final]]-STOCK[[#This Row],[Costo total]]</f>
        <v>9.3888888888889</v>
      </c>
      <c r="X113" s="77">
        <f>STOCK[[#This Row],[Ganancia Unitaria]]*STOCK[[#This Row],[Salidas]]</f>
        <v>9.3888888888889</v>
      </c>
      <c r="Y113" s="77" t="s">
        <v>167</v>
      </c>
      <c r="AA113" s="77">
        <f>STOCK[[#This Row],[Costo total]]*STOCK[[#This Row],[Entradas]]</f>
        <v>15.6111111111111</v>
      </c>
      <c r="AB113" s="77">
        <f>STOCK[[#This Row],[Stock Actual]]*STOCK[[#This Row],[Costo total]]</f>
        <v>0</v>
      </c>
    </row>
    <row r="114" s="76" customFormat="1" ht="50" customHeight="1" spans="1:28">
      <c r="A114" s="76" t="s">
        <v>268</v>
      </c>
      <c r="B114" s="6"/>
      <c r="C114" s="76" t="s">
        <v>30</v>
      </c>
      <c r="D114" s="76" t="s">
        <v>42</v>
      </c>
      <c r="E114" s="76" t="s">
        <v>267</v>
      </c>
      <c r="F114" s="76" t="s">
        <v>60</v>
      </c>
      <c r="G114" s="76" t="s">
        <v>34</v>
      </c>
      <c r="H114" s="76">
        <f>STOCK[[#This Row],[Precio Final]]</f>
        <v>25</v>
      </c>
      <c r="I114" s="76">
        <f>STOCK[[#This Row],[Precio Venta Ideal (x1.5)]]</f>
        <v>23.3566666666667</v>
      </c>
      <c r="J114" s="91">
        <v>1</v>
      </c>
      <c r="K114" s="91">
        <f>SUMIFS(VENTAS[Cantidad],VENTAS[Código del producto Vendido],STOCK[[#This Row],[Code]])</f>
        <v>1</v>
      </c>
      <c r="L114" s="91">
        <f>STOCK[[#This Row],[Entradas]]-STOCK[[#This Row],[Salidas]]</f>
        <v>0</v>
      </c>
      <c r="M114" s="76">
        <f>STOCK[[#This Row],[Precio Final]]*10%</f>
        <v>2.5</v>
      </c>
      <c r="N114" s="76">
        <v>200</v>
      </c>
      <c r="O114" s="76">
        <v>18</v>
      </c>
      <c r="P114" s="76">
        <v>11.1111111111111</v>
      </c>
      <c r="Q114" s="91">
        <v>245</v>
      </c>
      <c r="R114" s="76">
        <v>8</v>
      </c>
      <c r="S114" s="76">
        <f>STOCK[[#This Row],[Peso (g)]]*STOCK[[#This Row],[Precio Envío Kilogramo (USD)]]/1000</f>
        <v>1.96</v>
      </c>
      <c r="T114" s="76">
        <f>STOCK[[#This Row],[Costo Unitario (USD)]]+STOCK[[#This Row],[Costo Envío (USD)]]+STOCK[[#This Row],[Comisión 10%]]</f>
        <v>15.5711111111111</v>
      </c>
      <c r="U114" s="76">
        <f>STOCK[[#This Row],[Costo total]]*1.5</f>
        <v>23.3566666666667</v>
      </c>
      <c r="V114" s="76">
        <v>25</v>
      </c>
      <c r="W114" s="76">
        <f>STOCK[[#This Row],[Precio Final]]-STOCK[[#This Row],[Costo total]]</f>
        <v>9.4288888888889</v>
      </c>
      <c r="X114" s="76">
        <f>STOCK[[#This Row],[Ganancia Unitaria]]*STOCK[[#This Row],[Salidas]]</f>
        <v>9.4288888888889</v>
      </c>
      <c r="Y114" s="76" t="s">
        <v>167</v>
      </c>
      <c r="AA114" s="76">
        <f>STOCK[[#This Row],[Costo total]]*STOCK[[#This Row],[Entradas]]</f>
        <v>15.5711111111111</v>
      </c>
      <c r="AB114" s="76">
        <f>STOCK[[#This Row],[Stock Actual]]*STOCK[[#This Row],[Costo total]]</f>
        <v>0</v>
      </c>
    </row>
    <row r="115" s="77" customFormat="1" ht="50" customHeight="1" spans="1:28">
      <c r="A115" s="77" t="s">
        <v>269</v>
      </c>
      <c r="B115" s="6"/>
      <c r="C115" s="77" t="s">
        <v>30</v>
      </c>
      <c r="D115" s="77" t="s">
        <v>215</v>
      </c>
      <c r="E115" s="77" t="s">
        <v>270</v>
      </c>
      <c r="F115" s="77" t="s">
        <v>210</v>
      </c>
      <c r="G115" s="77" t="s">
        <v>34</v>
      </c>
      <c r="H115" s="77">
        <f>STOCK[[#This Row],[Precio Final]]</f>
        <v>20</v>
      </c>
      <c r="I115" s="77">
        <f>STOCK[[#This Row],[Precio Venta Ideal (x1.5)]]</f>
        <v>23.0833333333333</v>
      </c>
      <c r="J115" s="92">
        <v>1</v>
      </c>
      <c r="K115" s="92">
        <f>SUMIFS(VENTAS[Cantidad],VENTAS[Código del producto Vendido],STOCK[[#This Row],[Code]])</f>
        <v>1</v>
      </c>
      <c r="L115" s="92">
        <f>STOCK[[#This Row],[Entradas]]-STOCK[[#This Row],[Salidas]]</f>
        <v>0</v>
      </c>
      <c r="M115" s="77">
        <f>STOCK[[#This Row],[Precio Final]]*10%</f>
        <v>2</v>
      </c>
      <c r="N115" s="77">
        <v>205</v>
      </c>
      <c r="O115" s="77">
        <v>18</v>
      </c>
      <c r="P115" s="77">
        <v>11.3888888888889</v>
      </c>
      <c r="Q115" s="92">
        <v>250</v>
      </c>
      <c r="R115" s="77">
        <v>8</v>
      </c>
      <c r="S115" s="77">
        <f>STOCK[[#This Row],[Peso (g)]]*STOCK[[#This Row],[Precio Envío Kilogramo (USD)]]/1000</f>
        <v>2</v>
      </c>
      <c r="T115" s="76">
        <f>STOCK[[#This Row],[Costo Unitario (USD)]]+STOCK[[#This Row],[Costo Envío (USD)]]+STOCK[[#This Row],[Comisión 10%]]</f>
        <v>15.3888888888889</v>
      </c>
      <c r="U115" s="77">
        <f>STOCK[[#This Row],[Costo total]]*1.5</f>
        <v>23.0833333333333</v>
      </c>
      <c r="V115" s="77">
        <v>20</v>
      </c>
      <c r="W115" s="77">
        <f>STOCK[[#This Row],[Precio Final]]-STOCK[[#This Row],[Costo total]]</f>
        <v>4.6111111111111</v>
      </c>
      <c r="X115" s="77">
        <f>STOCK[[#This Row],[Ganancia Unitaria]]*STOCK[[#This Row],[Salidas]]</f>
        <v>4.6111111111111</v>
      </c>
      <c r="Y115" s="77" t="s">
        <v>167</v>
      </c>
      <c r="AA115" s="77">
        <f>STOCK[[#This Row],[Costo total]]*STOCK[[#This Row],[Entradas]]</f>
        <v>15.3888888888889</v>
      </c>
      <c r="AB115" s="77">
        <f>STOCK[[#This Row],[Stock Actual]]*STOCK[[#This Row],[Costo total]]</f>
        <v>0</v>
      </c>
    </row>
    <row r="116" s="76" customFormat="1" ht="50" customHeight="1" spans="1:28">
      <c r="A116" s="76" t="s">
        <v>271</v>
      </c>
      <c r="B116" s="6"/>
      <c r="C116" s="76" t="s">
        <v>30</v>
      </c>
      <c r="D116" s="76" t="s">
        <v>42</v>
      </c>
      <c r="E116" s="76" t="s">
        <v>272</v>
      </c>
      <c r="F116" s="76" t="s">
        <v>60</v>
      </c>
      <c r="G116" s="76" t="s">
        <v>34</v>
      </c>
      <c r="H116" s="76">
        <f>STOCK[[#This Row],[Precio Final]]</f>
        <v>22</v>
      </c>
      <c r="I116" s="76">
        <f>STOCK[[#This Row],[Precio Venta Ideal (x1.5)]]</f>
        <v>23.3833333333333</v>
      </c>
      <c r="J116" s="91">
        <v>1</v>
      </c>
      <c r="K116" s="91">
        <f>SUMIFS(VENTAS[Cantidad],VENTAS[Código del producto Vendido],STOCK[[#This Row],[Code]])</f>
        <v>1</v>
      </c>
      <c r="L116" s="91">
        <f>STOCK[[#This Row],[Entradas]]-STOCK[[#This Row],[Salidas]]</f>
        <v>0</v>
      </c>
      <c r="M116" s="76">
        <f>STOCK[[#This Row],[Precio Final]]*10%</f>
        <v>2.2</v>
      </c>
      <c r="N116" s="76">
        <v>205</v>
      </c>
      <c r="O116" s="76">
        <v>18</v>
      </c>
      <c r="P116" s="76">
        <v>11.3888888888889</v>
      </c>
      <c r="Q116" s="91">
        <v>250</v>
      </c>
      <c r="R116" s="76">
        <v>8</v>
      </c>
      <c r="S116" s="76">
        <f>STOCK[[#This Row],[Peso (g)]]*STOCK[[#This Row],[Precio Envío Kilogramo (USD)]]/1000</f>
        <v>2</v>
      </c>
      <c r="T116" s="76">
        <f>STOCK[[#This Row],[Costo Unitario (USD)]]+STOCK[[#This Row],[Costo Envío (USD)]]+STOCK[[#This Row],[Comisión 10%]]</f>
        <v>15.5888888888889</v>
      </c>
      <c r="U116" s="76">
        <f>STOCK[[#This Row],[Costo total]]*1.5</f>
        <v>23.3833333333333</v>
      </c>
      <c r="V116" s="76">
        <v>22</v>
      </c>
      <c r="W116" s="76">
        <f>STOCK[[#This Row],[Precio Final]]-STOCK[[#This Row],[Costo total]]</f>
        <v>6.4111111111111</v>
      </c>
      <c r="X116" s="76">
        <f>STOCK[[#This Row],[Ganancia Unitaria]]*STOCK[[#This Row],[Salidas]]</f>
        <v>6.4111111111111</v>
      </c>
      <c r="Y116" s="76" t="s">
        <v>167</v>
      </c>
      <c r="AA116" s="76">
        <f>STOCK[[#This Row],[Costo total]]*STOCK[[#This Row],[Entradas]]</f>
        <v>15.5888888888889</v>
      </c>
      <c r="AB116" s="76">
        <f>STOCK[[#This Row],[Stock Actual]]*STOCK[[#This Row],[Costo total]]</f>
        <v>0</v>
      </c>
    </row>
    <row r="117" s="77" customFormat="1" ht="50" customHeight="1" spans="1:28">
      <c r="A117" s="77" t="s">
        <v>273</v>
      </c>
      <c r="B117" s="6"/>
      <c r="C117" s="77" t="s">
        <v>30</v>
      </c>
      <c r="D117" s="77" t="s">
        <v>202</v>
      </c>
      <c r="E117" s="77" t="s">
        <v>270</v>
      </c>
      <c r="F117" s="77" t="s">
        <v>81</v>
      </c>
      <c r="G117" s="77" t="s">
        <v>34</v>
      </c>
      <c r="H117" s="77">
        <f>STOCK[[#This Row],[Precio Final]]</f>
        <v>20</v>
      </c>
      <c r="I117" s="77">
        <f>STOCK[[#This Row],[Precio Venta Ideal (x1.5)]]</f>
        <v>23.6833333333334</v>
      </c>
      <c r="J117" s="92">
        <v>1</v>
      </c>
      <c r="K117" s="92">
        <f>SUMIFS(VENTAS[Cantidad],VENTAS[Código del producto Vendido],STOCK[[#This Row],[Code]])</f>
        <v>1</v>
      </c>
      <c r="L117" s="92">
        <f>STOCK[[#This Row],[Entradas]]-STOCK[[#This Row],[Salidas]]</f>
        <v>0</v>
      </c>
      <c r="M117" s="77">
        <f>STOCK[[#This Row],[Precio Final]]*10%</f>
        <v>2</v>
      </c>
      <c r="N117" s="77">
        <v>205</v>
      </c>
      <c r="O117" s="77">
        <v>18</v>
      </c>
      <c r="P117" s="77">
        <v>11.3888888888889</v>
      </c>
      <c r="Q117" s="92">
        <v>300</v>
      </c>
      <c r="R117" s="77">
        <v>8</v>
      </c>
      <c r="S117" s="77">
        <f>STOCK[[#This Row],[Peso (g)]]*STOCK[[#This Row],[Precio Envío Kilogramo (USD)]]/1000</f>
        <v>2.4</v>
      </c>
      <c r="T117" s="76">
        <f>STOCK[[#This Row],[Costo Unitario (USD)]]+STOCK[[#This Row],[Costo Envío (USD)]]+STOCK[[#This Row],[Comisión 10%]]</f>
        <v>15.7888888888889</v>
      </c>
      <c r="U117" s="77">
        <f>STOCK[[#This Row],[Costo total]]*1.5</f>
        <v>23.6833333333334</v>
      </c>
      <c r="V117" s="77">
        <v>20</v>
      </c>
      <c r="W117" s="77">
        <f>STOCK[[#This Row],[Precio Final]]-STOCK[[#This Row],[Costo total]]</f>
        <v>4.2111111111111</v>
      </c>
      <c r="X117" s="77">
        <f>STOCK[[#This Row],[Ganancia Unitaria]]*STOCK[[#This Row],[Salidas]]</f>
        <v>4.2111111111111</v>
      </c>
      <c r="Y117" s="77" t="s">
        <v>167</v>
      </c>
      <c r="AA117" s="77">
        <f>STOCK[[#This Row],[Costo total]]*STOCK[[#This Row],[Entradas]]</f>
        <v>15.7888888888889</v>
      </c>
      <c r="AB117" s="77">
        <f>STOCK[[#This Row],[Stock Actual]]*STOCK[[#This Row],[Costo total]]</f>
        <v>0</v>
      </c>
    </row>
    <row r="118" s="76" customFormat="1" ht="50" customHeight="1" spans="1:28">
      <c r="A118" s="76" t="s">
        <v>274</v>
      </c>
      <c r="B118" s="6"/>
      <c r="C118" s="76" t="s">
        <v>30</v>
      </c>
      <c r="D118" s="76" t="s">
        <v>42</v>
      </c>
      <c r="E118" s="76" t="s">
        <v>272</v>
      </c>
      <c r="F118" s="76" t="s">
        <v>44</v>
      </c>
      <c r="G118" s="76" t="s">
        <v>34</v>
      </c>
      <c r="H118" s="76">
        <f>STOCK[[#This Row],[Precio Final]]</f>
        <v>22</v>
      </c>
      <c r="I118" s="76">
        <f>STOCK[[#This Row],[Precio Venta Ideal (x1.5)]]</f>
        <v>23.9833333333334</v>
      </c>
      <c r="J118" s="91">
        <v>1</v>
      </c>
      <c r="K118" s="91">
        <f>SUMIFS(VENTAS[Cantidad],VENTAS[Código del producto Vendido],STOCK[[#This Row],[Code]])</f>
        <v>1</v>
      </c>
      <c r="L118" s="91">
        <f>STOCK[[#This Row],[Entradas]]-STOCK[[#This Row],[Salidas]]</f>
        <v>0</v>
      </c>
      <c r="M118" s="76">
        <f>STOCK[[#This Row],[Precio Final]]*10%</f>
        <v>2.2</v>
      </c>
      <c r="N118" s="76">
        <v>205</v>
      </c>
      <c r="O118" s="76">
        <v>18</v>
      </c>
      <c r="P118" s="76">
        <v>11.3888888888889</v>
      </c>
      <c r="Q118" s="91">
        <v>300</v>
      </c>
      <c r="R118" s="76">
        <v>8</v>
      </c>
      <c r="S118" s="76">
        <f>STOCK[[#This Row],[Peso (g)]]*STOCK[[#This Row],[Precio Envío Kilogramo (USD)]]/1000</f>
        <v>2.4</v>
      </c>
      <c r="T118" s="76">
        <f>STOCK[[#This Row],[Costo Unitario (USD)]]+STOCK[[#This Row],[Costo Envío (USD)]]+STOCK[[#This Row],[Comisión 10%]]</f>
        <v>15.9888888888889</v>
      </c>
      <c r="U118" s="76">
        <f>STOCK[[#This Row],[Costo total]]*1.5</f>
        <v>23.9833333333334</v>
      </c>
      <c r="V118" s="76">
        <v>22</v>
      </c>
      <c r="W118" s="76">
        <f>STOCK[[#This Row],[Precio Final]]-STOCK[[#This Row],[Costo total]]</f>
        <v>6.0111111111111</v>
      </c>
      <c r="X118" s="76">
        <f>STOCK[[#This Row],[Ganancia Unitaria]]*STOCK[[#This Row],[Salidas]]</f>
        <v>6.0111111111111</v>
      </c>
      <c r="Y118" s="76" t="s">
        <v>167</v>
      </c>
      <c r="AA118" s="76">
        <f>STOCK[[#This Row],[Costo total]]*STOCK[[#This Row],[Entradas]]</f>
        <v>15.9888888888889</v>
      </c>
      <c r="AB118" s="76">
        <f>STOCK[[#This Row],[Stock Actual]]*STOCK[[#This Row],[Costo total]]</f>
        <v>0</v>
      </c>
    </row>
    <row r="119" s="77" customFormat="1" ht="50" customHeight="1" spans="1:29">
      <c r="A119" s="77" t="s">
        <v>275</v>
      </c>
      <c r="B119" s="6"/>
      <c r="C119" s="77" t="s">
        <v>30</v>
      </c>
      <c r="D119" s="77" t="s">
        <v>195</v>
      </c>
      <c r="E119" s="77" t="s">
        <v>276</v>
      </c>
      <c r="F119" s="77" t="s">
        <v>47</v>
      </c>
      <c r="G119" s="77" t="s">
        <v>34</v>
      </c>
      <c r="H119" s="77">
        <f>STOCK[[#This Row],[Precio Final]]</f>
        <v>25</v>
      </c>
      <c r="I119" s="77">
        <f>STOCK[[#This Row],[Precio Venta Ideal (x1.5)]]</f>
        <v>22.8166666666666</v>
      </c>
      <c r="J119" s="92">
        <v>1</v>
      </c>
      <c r="K119" s="92">
        <f>SUMIFS(VENTAS[Cantidad],VENTAS[Código del producto Vendido],STOCK[[#This Row],[Code]])</f>
        <v>0</v>
      </c>
      <c r="L119" s="92">
        <f>STOCK[[#This Row],[Entradas]]-STOCK[[#This Row],[Salidas]]</f>
        <v>1</v>
      </c>
      <c r="M119" s="77">
        <f>STOCK[[#This Row],[Precio Final]]*10%</f>
        <v>2.5</v>
      </c>
      <c r="N119" s="77">
        <v>200</v>
      </c>
      <c r="O119" s="77">
        <v>18</v>
      </c>
      <c r="P119" s="77">
        <v>11.1111111111111</v>
      </c>
      <c r="Q119" s="92">
        <v>200</v>
      </c>
      <c r="R119" s="77">
        <v>8</v>
      </c>
      <c r="S119" s="77">
        <f>STOCK[[#This Row],[Peso (g)]]*STOCK[[#This Row],[Precio Envío Kilogramo (USD)]]/1000</f>
        <v>1.6</v>
      </c>
      <c r="T119" s="76">
        <f>STOCK[[#This Row],[Costo Unitario (USD)]]+STOCK[[#This Row],[Costo Envío (USD)]]+STOCK[[#This Row],[Comisión 10%]]</f>
        <v>15.2111111111111</v>
      </c>
      <c r="U119" s="77">
        <f>STOCK[[#This Row],[Costo total]]*1.5</f>
        <v>22.8166666666666</v>
      </c>
      <c r="V119" s="77">
        <v>25</v>
      </c>
      <c r="W119" s="77">
        <f>STOCK[[#This Row],[Precio Final]]-STOCK[[#This Row],[Costo total]]</f>
        <v>9.7888888888889</v>
      </c>
      <c r="X119" s="77">
        <f>STOCK[[#This Row],[Ganancia Unitaria]]*STOCK[[#This Row],[Salidas]]</f>
        <v>0</v>
      </c>
      <c r="Y119" s="77" t="s">
        <v>277</v>
      </c>
      <c r="AA119" s="77">
        <f>STOCK[[#This Row],[Costo total]]*STOCK[[#This Row],[Entradas]]</f>
        <v>15.2111111111111</v>
      </c>
      <c r="AB119" s="77">
        <f>STOCK[[#This Row],[Stock Actual]]*STOCK[[#This Row],[Costo total]]</f>
        <v>15.2111111111111</v>
      </c>
      <c r="AC119" s="77">
        <v>18</v>
      </c>
    </row>
    <row r="120" s="76" customFormat="1" ht="50" customHeight="1" spans="1:28">
      <c r="A120" s="76" t="s">
        <v>278</v>
      </c>
      <c r="B120" s="6"/>
      <c r="C120" s="76" t="s">
        <v>30</v>
      </c>
      <c r="D120" s="76" t="s">
        <v>173</v>
      </c>
      <c r="E120" s="76" t="s">
        <v>279</v>
      </c>
      <c r="F120" s="76" t="s">
        <v>280</v>
      </c>
      <c r="G120" s="76" t="s">
        <v>34</v>
      </c>
      <c r="H120" s="76">
        <f>STOCK[[#This Row],[Precio Final]]</f>
        <v>14</v>
      </c>
      <c r="I120" s="76">
        <f>STOCK[[#This Row],[Precio Venta Ideal (x1.5)]]</f>
        <v>12.5933333333333</v>
      </c>
      <c r="J120" s="91">
        <v>1</v>
      </c>
      <c r="K120" s="91">
        <f>SUMIFS(VENTAS[Cantidad],VENTAS[Código del producto Vendido],STOCK[[#This Row],[Code]])</f>
        <v>1</v>
      </c>
      <c r="L120" s="91">
        <f>STOCK[[#This Row],[Entradas]]-STOCK[[#This Row],[Salidas]]</f>
        <v>0</v>
      </c>
      <c r="M120" s="76">
        <f>STOCK[[#This Row],[Precio Final]]*10%</f>
        <v>1.4</v>
      </c>
      <c r="N120" s="76">
        <v>100</v>
      </c>
      <c r="O120" s="76">
        <v>18</v>
      </c>
      <c r="P120" s="76">
        <v>5.55555555555556</v>
      </c>
      <c r="Q120" s="91">
        <v>180</v>
      </c>
      <c r="R120" s="76">
        <v>8</v>
      </c>
      <c r="S120" s="76">
        <f>STOCK[[#This Row],[Peso (g)]]*STOCK[[#This Row],[Precio Envío Kilogramo (USD)]]/1000</f>
        <v>1.44</v>
      </c>
      <c r="T120" s="76">
        <f>STOCK[[#This Row],[Costo Unitario (USD)]]+STOCK[[#This Row],[Costo Envío (USD)]]+STOCK[[#This Row],[Comisión 10%]]</f>
        <v>8.39555555555556</v>
      </c>
      <c r="U120" s="76">
        <f>STOCK[[#This Row],[Costo total]]*1.5</f>
        <v>12.5933333333333</v>
      </c>
      <c r="V120" s="76">
        <v>14</v>
      </c>
      <c r="W120" s="76">
        <f>STOCK[[#This Row],[Precio Final]]-STOCK[[#This Row],[Costo total]]</f>
        <v>5.60444444444444</v>
      </c>
      <c r="X120" s="76">
        <f>STOCK[[#This Row],[Ganancia Unitaria]]*STOCK[[#This Row],[Salidas]]</f>
        <v>5.60444444444444</v>
      </c>
      <c r="Y120" s="76" t="s">
        <v>277</v>
      </c>
      <c r="AA120" s="76">
        <f>STOCK[[#This Row],[Costo total]]*STOCK[[#This Row],[Entradas]]</f>
        <v>8.39555555555556</v>
      </c>
      <c r="AB120" s="76">
        <f>STOCK[[#This Row],[Stock Actual]]*STOCK[[#This Row],[Costo total]]</f>
        <v>0</v>
      </c>
    </row>
    <row r="121" s="77" customFormat="1" ht="50" customHeight="1" spans="1:28">
      <c r="A121" s="77" t="s">
        <v>281</v>
      </c>
      <c r="B121" s="6"/>
      <c r="C121" s="77" t="s">
        <v>30</v>
      </c>
      <c r="D121" s="77" t="s">
        <v>282</v>
      </c>
      <c r="E121" s="77" t="s">
        <v>283</v>
      </c>
      <c r="F121" s="77" t="s">
        <v>186</v>
      </c>
      <c r="G121" s="77" t="s">
        <v>34</v>
      </c>
      <c r="H121" s="77">
        <f>STOCK[[#This Row],[Precio Final]]</f>
        <v>20</v>
      </c>
      <c r="I121" s="77">
        <f>STOCK[[#This Row],[Precio Venta Ideal (x1.5)]]</f>
        <v>21.3033333333333</v>
      </c>
      <c r="J121" s="92">
        <v>1</v>
      </c>
      <c r="K121" s="92">
        <f>SUMIFS(VENTAS[Cantidad],VENTAS[Código del producto Vendido],STOCK[[#This Row],[Code]])</f>
        <v>1</v>
      </c>
      <c r="L121" s="92">
        <f>STOCK[[#This Row],[Entradas]]-STOCK[[#This Row],[Salidas]]</f>
        <v>0</v>
      </c>
      <c r="M121" s="77">
        <f>STOCK[[#This Row],[Precio Final]]*10%</f>
        <v>2</v>
      </c>
      <c r="N121" s="77">
        <v>175</v>
      </c>
      <c r="O121" s="77">
        <v>18</v>
      </c>
      <c r="P121" s="77">
        <v>9.72222222222222</v>
      </c>
      <c r="Q121" s="92">
        <v>310</v>
      </c>
      <c r="R121" s="77">
        <v>8</v>
      </c>
      <c r="S121" s="77">
        <f>STOCK[[#This Row],[Peso (g)]]*STOCK[[#This Row],[Precio Envío Kilogramo (USD)]]/1000</f>
        <v>2.48</v>
      </c>
      <c r="T121" s="76">
        <f>STOCK[[#This Row],[Costo Unitario (USD)]]+STOCK[[#This Row],[Costo Envío (USD)]]+STOCK[[#This Row],[Comisión 10%]]</f>
        <v>14.2022222222222</v>
      </c>
      <c r="U121" s="77">
        <f>STOCK[[#This Row],[Costo total]]*1.5</f>
        <v>21.3033333333333</v>
      </c>
      <c r="V121" s="77">
        <v>20</v>
      </c>
      <c r="W121" s="77">
        <f>STOCK[[#This Row],[Precio Final]]-STOCK[[#This Row],[Costo total]]</f>
        <v>5.79777777777778</v>
      </c>
      <c r="X121" s="77">
        <f>STOCK[[#This Row],[Ganancia Unitaria]]*STOCK[[#This Row],[Salidas]]</f>
        <v>5.79777777777778</v>
      </c>
      <c r="Y121" s="77" t="s">
        <v>277</v>
      </c>
      <c r="AA121" s="77">
        <f>STOCK[[#This Row],[Costo total]]*STOCK[[#This Row],[Entradas]]</f>
        <v>14.2022222222222</v>
      </c>
      <c r="AB121" s="77">
        <f>STOCK[[#This Row],[Stock Actual]]*STOCK[[#This Row],[Costo total]]</f>
        <v>0</v>
      </c>
    </row>
    <row r="122" s="76" customFormat="1" ht="50" customHeight="1" spans="1:28">
      <c r="A122" s="76" t="s">
        <v>284</v>
      </c>
      <c r="B122" s="6"/>
      <c r="C122" s="76" t="s">
        <v>30</v>
      </c>
      <c r="D122" s="76" t="s">
        <v>42</v>
      </c>
      <c r="E122" s="76" t="s">
        <v>285</v>
      </c>
      <c r="F122" s="76" t="s">
        <v>60</v>
      </c>
      <c r="G122" s="76" t="s">
        <v>34</v>
      </c>
      <c r="H122" s="76">
        <f>STOCK[[#This Row],[Precio Final]]</f>
        <v>20</v>
      </c>
      <c r="I122" s="76">
        <f>STOCK[[#This Row],[Precio Venta Ideal (x1.5)]]</f>
        <v>23.2666666666667</v>
      </c>
      <c r="J122" s="91">
        <v>1</v>
      </c>
      <c r="K122" s="91">
        <f>SUMIFS(VENTAS[Cantidad],VENTAS[Código del producto Vendido],STOCK[[#This Row],[Code]])</f>
        <v>1</v>
      </c>
      <c r="L122" s="91">
        <f>STOCK[[#This Row],[Entradas]]-STOCK[[#This Row],[Salidas]]</f>
        <v>0</v>
      </c>
      <c r="M122" s="76">
        <f>STOCK[[#This Row],[Precio Final]]*10%</f>
        <v>2</v>
      </c>
      <c r="N122" s="76">
        <v>200</v>
      </c>
      <c r="O122" s="76">
        <v>18</v>
      </c>
      <c r="P122" s="76">
        <v>11.1111111111111</v>
      </c>
      <c r="Q122" s="91">
        <v>300</v>
      </c>
      <c r="R122" s="76">
        <v>8</v>
      </c>
      <c r="S122" s="76">
        <f>STOCK[[#This Row],[Peso (g)]]*STOCK[[#This Row],[Precio Envío Kilogramo (USD)]]/1000</f>
        <v>2.4</v>
      </c>
      <c r="T122" s="76">
        <f>STOCK[[#This Row],[Costo Unitario (USD)]]+STOCK[[#This Row],[Costo Envío (USD)]]+STOCK[[#This Row],[Comisión 10%]]</f>
        <v>15.5111111111111</v>
      </c>
      <c r="U122" s="76">
        <f>STOCK[[#This Row],[Costo total]]*1.5</f>
        <v>23.2666666666667</v>
      </c>
      <c r="V122" s="76">
        <v>20</v>
      </c>
      <c r="W122" s="76">
        <f>STOCK[[#This Row],[Precio Final]]-STOCK[[#This Row],[Costo total]]</f>
        <v>4.4888888888889</v>
      </c>
      <c r="X122" s="76">
        <f>STOCK[[#This Row],[Ganancia Unitaria]]*STOCK[[#This Row],[Salidas]]</f>
        <v>4.4888888888889</v>
      </c>
      <c r="Y122" s="76" t="s">
        <v>277</v>
      </c>
      <c r="AA122" s="76">
        <f>STOCK[[#This Row],[Costo total]]*STOCK[[#This Row],[Entradas]]</f>
        <v>15.5111111111111</v>
      </c>
      <c r="AB122" s="76">
        <f>STOCK[[#This Row],[Stock Actual]]*STOCK[[#This Row],[Costo total]]</f>
        <v>0</v>
      </c>
    </row>
    <row r="123" s="77" customFormat="1" ht="50" customHeight="1" spans="1:28">
      <c r="A123" s="77" t="s">
        <v>286</v>
      </c>
      <c r="B123" s="6"/>
      <c r="C123" s="77" t="s">
        <v>30</v>
      </c>
      <c r="D123" s="77" t="s">
        <v>287</v>
      </c>
      <c r="E123" s="77" t="s">
        <v>288</v>
      </c>
      <c r="F123" s="77" t="s">
        <v>60</v>
      </c>
      <c r="G123" s="77" t="s">
        <v>34</v>
      </c>
      <c r="H123" s="77">
        <f>STOCK[[#This Row],[Precio Final]]</f>
        <v>30</v>
      </c>
      <c r="I123" s="77">
        <f>STOCK[[#This Row],[Precio Venta Ideal (x1.5)]]</f>
        <v>24.11</v>
      </c>
      <c r="J123" s="92">
        <v>1</v>
      </c>
      <c r="K123" s="92">
        <f>SUMIFS(VENTAS[Cantidad],VENTAS[Código del producto Vendido],STOCK[[#This Row],[Code]])</f>
        <v>1</v>
      </c>
      <c r="L123" s="92">
        <f>STOCK[[#This Row],[Entradas]]-STOCK[[#This Row],[Salidas]]</f>
        <v>0</v>
      </c>
      <c r="M123" s="77">
        <f>STOCK[[#This Row],[Precio Final]]*10%</f>
        <v>3</v>
      </c>
      <c r="N123" s="77">
        <v>195</v>
      </c>
      <c r="O123" s="77">
        <v>18</v>
      </c>
      <c r="P123" s="77">
        <v>10.8333333333333</v>
      </c>
      <c r="Q123" s="92">
        <v>280</v>
      </c>
      <c r="R123" s="77">
        <v>8</v>
      </c>
      <c r="S123" s="77">
        <f>STOCK[[#This Row],[Peso (g)]]*STOCK[[#This Row],[Precio Envío Kilogramo (USD)]]/1000</f>
        <v>2.24</v>
      </c>
      <c r="T123" s="76">
        <f>STOCK[[#This Row],[Costo Unitario (USD)]]+STOCK[[#This Row],[Costo Envío (USD)]]+STOCK[[#This Row],[Comisión 10%]]</f>
        <v>16.0733333333333</v>
      </c>
      <c r="U123" s="77">
        <f>STOCK[[#This Row],[Costo total]]*1.5</f>
        <v>24.11</v>
      </c>
      <c r="V123" s="77">
        <v>30</v>
      </c>
      <c r="W123" s="77">
        <f>STOCK[[#This Row],[Precio Final]]-STOCK[[#This Row],[Costo total]]</f>
        <v>13.9266666666667</v>
      </c>
      <c r="X123" s="77">
        <f>STOCK[[#This Row],[Ganancia Unitaria]]*STOCK[[#This Row],[Salidas]]</f>
        <v>13.9266666666667</v>
      </c>
      <c r="Y123" s="77" t="s">
        <v>277</v>
      </c>
      <c r="AA123" s="77">
        <f>STOCK[[#This Row],[Costo total]]*STOCK[[#This Row],[Entradas]]</f>
        <v>16.0733333333333</v>
      </c>
      <c r="AB123" s="77">
        <f>STOCK[[#This Row],[Stock Actual]]*STOCK[[#This Row],[Costo total]]</f>
        <v>0</v>
      </c>
    </row>
    <row r="124" s="76" customFormat="1" ht="50" customHeight="1" spans="1:28">
      <c r="A124" s="76" t="s">
        <v>289</v>
      </c>
      <c r="B124" s="6"/>
      <c r="C124" s="76" t="s">
        <v>30</v>
      </c>
      <c r="D124" s="76" t="s">
        <v>287</v>
      </c>
      <c r="E124" s="76" t="s">
        <v>288</v>
      </c>
      <c r="F124" s="76" t="s">
        <v>47</v>
      </c>
      <c r="G124" s="76" t="s">
        <v>34</v>
      </c>
      <c r="H124" s="76">
        <f>STOCK[[#This Row],[Precio Final]]</f>
        <v>30</v>
      </c>
      <c r="I124" s="76">
        <f>STOCK[[#This Row],[Precio Venta Ideal (x1.5)]]</f>
        <v>24.3499999999999</v>
      </c>
      <c r="J124" s="91">
        <v>1</v>
      </c>
      <c r="K124" s="91">
        <f>SUMIFS(VENTAS[Cantidad],VENTAS[Código del producto Vendido],STOCK[[#This Row],[Code]])</f>
        <v>1</v>
      </c>
      <c r="L124" s="91">
        <f>STOCK[[#This Row],[Entradas]]-STOCK[[#This Row],[Salidas]]</f>
        <v>0</v>
      </c>
      <c r="M124" s="76">
        <f>STOCK[[#This Row],[Precio Final]]*10%</f>
        <v>3</v>
      </c>
      <c r="N124" s="76">
        <v>195</v>
      </c>
      <c r="O124" s="76">
        <v>18</v>
      </c>
      <c r="P124" s="76">
        <v>10.8333333333333</v>
      </c>
      <c r="Q124" s="91">
        <v>300</v>
      </c>
      <c r="R124" s="76">
        <v>8</v>
      </c>
      <c r="S124" s="76">
        <f>STOCK[[#This Row],[Peso (g)]]*STOCK[[#This Row],[Precio Envío Kilogramo (USD)]]/1000</f>
        <v>2.4</v>
      </c>
      <c r="T124" s="76">
        <f>STOCK[[#This Row],[Costo Unitario (USD)]]+STOCK[[#This Row],[Costo Envío (USD)]]+STOCK[[#This Row],[Comisión 10%]]</f>
        <v>16.2333333333333</v>
      </c>
      <c r="U124" s="76">
        <f>STOCK[[#This Row],[Costo total]]*1.5</f>
        <v>24.3499999999999</v>
      </c>
      <c r="V124" s="76">
        <v>30</v>
      </c>
      <c r="W124" s="76">
        <f>STOCK[[#This Row],[Precio Final]]-STOCK[[#This Row],[Costo total]]</f>
        <v>13.7666666666667</v>
      </c>
      <c r="X124" s="76">
        <f>STOCK[[#This Row],[Ganancia Unitaria]]*STOCK[[#This Row],[Salidas]]</f>
        <v>13.7666666666667</v>
      </c>
      <c r="Y124" s="76" t="s">
        <v>277</v>
      </c>
      <c r="AA124" s="76">
        <f>STOCK[[#This Row],[Costo total]]*STOCK[[#This Row],[Entradas]]</f>
        <v>16.2333333333333</v>
      </c>
      <c r="AB124" s="76">
        <f>STOCK[[#This Row],[Stock Actual]]*STOCK[[#This Row],[Costo total]]</f>
        <v>0</v>
      </c>
    </row>
    <row r="125" s="77" customFormat="1" ht="50" customHeight="1" spans="1:28">
      <c r="A125" s="77" t="s">
        <v>290</v>
      </c>
      <c r="B125" s="6"/>
      <c r="C125" s="77" t="s">
        <v>30</v>
      </c>
      <c r="D125" s="77" t="s">
        <v>287</v>
      </c>
      <c r="E125" s="77" t="s">
        <v>291</v>
      </c>
      <c r="F125" s="77" t="s">
        <v>60</v>
      </c>
      <c r="G125" s="77" t="s">
        <v>34</v>
      </c>
      <c r="H125" s="77">
        <f>STOCK[[#This Row],[Precio Final]]</f>
        <v>30</v>
      </c>
      <c r="I125" s="77">
        <f>STOCK[[#This Row],[Precio Venta Ideal (x1.5)]]</f>
        <v>26.69</v>
      </c>
      <c r="J125" s="92">
        <v>1</v>
      </c>
      <c r="K125" s="92">
        <f>SUMIFS(VENTAS[Cantidad],VENTAS[Código del producto Vendido],STOCK[[#This Row],[Code]])</f>
        <v>1</v>
      </c>
      <c r="L125" s="92">
        <f>STOCK[[#This Row],[Entradas]]-STOCK[[#This Row],[Salidas]]</f>
        <v>0</v>
      </c>
      <c r="M125" s="77">
        <f>STOCK[[#This Row],[Precio Final]]*10%</f>
        <v>3</v>
      </c>
      <c r="N125" s="77">
        <v>213</v>
      </c>
      <c r="O125" s="77">
        <v>18</v>
      </c>
      <c r="P125" s="77">
        <v>11.8333333333333</v>
      </c>
      <c r="Q125" s="92">
        <v>370</v>
      </c>
      <c r="R125" s="77">
        <v>8</v>
      </c>
      <c r="S125" s="77">
        <f>STOCK[[#This Row],[Peso (g)]]*STOCK[[#This Row],[Precio Envío Kilogramo (USD)]]/1000</f>
        <v>2.96</v>
      </c>
      <c r="T125" s="76">
        <f>STOCK[[#This Row],[Costo Unitario (USD)]]+STOCK[[#This Row],[Costo Envío (USD)]]+STOCK[[#This Row],[Comisión 10%]]</f>
        <v>17.7933333333333</v>
      </c>
      <c r="U125" s="77">
        <f>STOCK[[#This Row],[Costo total]]*1.5</f>
        <v>26.69</v>
      </c>
      <c r="V125" s="77">
        <v>30</v>
      </c>
      <c r="W125" s="77">
        <f>STOCK[[#This Row],[Precio Final]]-STOCK[[#This Row],[Costo total]]</f>
        <v>12.2066666666667</v>
      </c>
      <c r="X125" s="77">
        <f>STOCK[[#This Row],[Ganancia Unitaria]]*STOCK[[#This Row],[Salidas]]</f>
        <v>12.2066666666667</v>
      </c>
      <c r="Y125" s="77" t="s">
        <v>277</v>
      </c>
      <c r="AA125" s="77">
        <f>STOCK[[#This Row],[Costo total]]*STOCK[[#This Row],[Entradas]]</f>
        <v>17.7933333333333</v>
      </c>
      <c r="AB125" s="77">
        <f>STOCK[[#This Row],[Stock Actual]]*STOCK[[#This Row],[Costo total]]</f>
        <v>0</v>
      </c>
    </row>
    <row r="126" s="76" customFormat="1" ht="50" customHeight="1" spans="1:29">
      <c r="A126" s="76" t="s">
        <v>292</v>
      </c>
      <c r="B126" s="6"/>
      <c r="C126" s="76" t="s">
        <v>30</v>
      </c>
      <c r="D126" s="76" t="s">
        <v>293</v>
      </c>
      <c r="E126" s="76" t="s">
        <v>294</v>
      </c>
      <c r="F126" s="76" t="s">
        <v>47</v>
      </c>
      <c r="G126" s="76" t="s">
        <v>34</v>
      </c>
      <c r="H126" s="76">
        <f>STOCK[[#This Row],[Precio Final]]</f>
        <v>20</v>
      </c>
      <c r="I126" s="76">
        <f>STOCK[[#This Row],[Precio Venta Ideal (x1.5)]]</f>
        <v>16.86</v>
      </c>
      <c r="J126" s="91">
        <v>1</v>
      </c>
      <c r="K126" s="91">
        <f>SUMIFS(VENTAS[Cantidad],VENTAS[Código del producto Vendido],STOCK[[#This Row],[Code]])</f>
        <v>0</v>
      </c>
      <c r="L126" s="91">
        <f>STOCK[[#This Row],[Entradas]]-STOCK[[#This Row],[Salidas]]</f>
        <v>1</v>
      </c>
      <c r="M126" s="76">
        <f>STOCK[[#This Row],[Precio Final]]*10%</f>
        <v>2</v>
      </c>
      <c r="N126" s="76">
        <v>287</v>
      </c>
      <c r="O126" s="76">
        <v>18</v>
      </c>
      <c r="P126" s="76">
        <v>5</v>
      </c>
      <c r="Q126" s="91">
        <v>530</v>
      </c>
      <c r="R126" s="76">
        <v>8</v>
      </c>
      <c r="S126" s="76">
        <f>STOCK[[#This Row],[Peso (g)]]*STOCK[[#This Row],[Precio Envío Kilogramo (USD)]]/1000</f>
        <v>4.24</v>
      </c>
      <c r="T126" s="76">
        <f>STOCK[[#This Row],[Costo Unitario (USD)]]+STOCK[[#This Row],[Costo Envío (USD)]]+STOCK[[#This Row],[Comisión 10%]]</f>
        <v>11.24</v>
      </c>
      <c r="U126" s="76">
        <f>STOCK[[#This Row],[Costo total]]*1.5</f>
        <v>16.86</v>
      </c>
      <c r="V126" s="76">
        <v>20</v>
      </c>
      <c r="W126" s="76">
        <f>STOCK[[#This Row],[Precio Final]]-STOCK[[#This Row],[Costo total]]</f>
        <v>8.76</v>
      </c>
      <c r="X126" s="76">
        <f>STOCK[[#This Row],[Ganancia Unitaria]]*STOCK[[#This Row],[Salidas]]</f>
        <v>0</v>
      </c>
      <c r="Y126" s="76" t="s">
        <v>277</v>
      </c>
      <c r="AA126" s="76">
        <f>STOCK[[#This Row],[Costo total]]*STOCK[[#This Row],[Entradas]]</f>
        <v>11.24</v>
      </c>
      <c r="AB126" s="76">
        <f>STOCK[[#This Row],[Stock Actual]]*STOCK[[#This Row],[Costo total]]</f>
        <v>11.24</v>
      </c>
      <c r="AC126" s="76">
        <v>12</v>
      </c>
    </row>
    <row r="127" s="77" customFormat="1" ht="50" customHeight="1" spans="1:28">
      <c r="A127" s="77" t="s">
        <v>295</v>
      </c>
      <c r="B127" s="6"/>
      <c r="C127" s="77" t="s">
        <v>30</v>
      </c>
      <c r="D127" s="77" t="s">
        <v>287</v>
      </c>
      <c r="E127" s="77" t="s">
        <v>296</v>
      </c>
      <c r="F127" s="77" t="s">
        <v>47</v>
      </c>
      <c r="G127" s="77" t="s">
        <v>34</v>
      </c>
      <c r="H127" s="77">
        <f>STOCK[[#This Row],[Precio Final]]</f>
        <v>45</v>
      </c>
      <c r="I127" s="77">
        <f>STOCK[[#This Row],[Precio Venta Ideal (x1.5)]]</f>
        <v>35.4799999999999</v>
      </c>
      <c r="J127" s="92">
        <v>1</v>
      </c>
      <c r="K127" s="92">
        <f>SUMIFS(VENTAS[Cantidad],VENTAS[Código del producto Vendido],STOCK[[#This Row],[Code]])</f>
        <v>1</v>
      </c>
      <c r="L127" s="92">
        <f>STOCK[[#This Row],[Entradas]]-STOCK[[#This Row],[Salidas]]</f>
        <v>0</v>
      </c>
      <c r="M127" s="77">
        <f>STOCK[[#This Row],[Precio Final]]*10%</f>
        <v>4.5</v>
      </c>
      <c r="N127" s="77">
        <v>267</v>
      </c>
      <c r="O127" s="77">
        <v>18</v>
      </c>
      <c r="P127" s="77">
        <v>14.8333333333333</v>
      </c>
      <c r="Q127" s="92">
        <v>540</v>
      </c>
      <c r="R127" s="77">
        <v>8</v>
      </c>
      <c r="S127" s="77">
        <f>STOCK[[#This Row],[Peso (g)]]*STOCK[[#This Row],[Precio Envío Kilogramo (USD)]]/1000</f>
        <v>4.32</v>
      </c>
      <c r="T127" s="76">
        <f>STOCK[[#This Row],[Costo Unitario (USD)]]+STOCK[[#This Row],[Costo Envío (USD)]]+STOCK[[#This Row],[Comisión 10%]]</f>
        <v>23.6533333333333</v>
      </c>
      <c r="U127" s="77">
        <f>STOCK[[#This Row],[Costo total]]*1.5</f>
        <v>35.4799999999999</v>
      </c>
      <c r="V127" s="77">
        <v>45</v>
      </c>
      <c r="W127" s="77">
        <f>STOCK[[#This Row],[Precio Final]]-STOCK[[#This Row],[Costo total]]</f>
        <v>21.3466666666667</v>
      </c>
      <c r="X127" s="77">
        <f>STOCK[[#This Row],[Ganancia Unitaria]]*STOCK[[#This Row],[Salidas]]</f>
        <v>21.3466666666667</v>
      </c>
      <c r="Y127" s="77" t="s">
        <v>277</v>
      </c>
      <c r="AA127" s="77">
        <f>STOCK[[#This Row],[Costo total]]*STOCK[[#This Row],[Entradas]]</f>
        <v>23.6533333333333</v>
      </c>
      <c r="AB127" s="77">
        <f>STOCK[[#This Row],[Stock Actual]]*STOCK[[#This Row],[Costo total]]</f>
        <v>0</v>
      </c>
    </row>
    <row r="128" s="76" customFormat="1" ht="50" customHeight="1" spans="1:29">
      <c r="A128" s="76" t="s">
        <v>297</v>
      </c>
      <c r="B128" s="6"/>
      <c r="C128" s="76" t="s">
        <v>30</v>
      </c>
      <c r="D128" s="76" t="s">
        <v>298</v>
      </c>
      <c r="E128" s="76" t="s">
        <v>299</v>
      </c>
      <c r="F128" s="76" t="s">
        <v>60</v>
      </c>
      <c r="G128" s="76" t="s">
        <v>34</v>
      </c>
      <c r="H128" s="76">
        <f>STOCK[[#This Row],[Precio Final]]</f>
        <v>30</v>
      </c>
      <c r="I128" s="76">
        <f>STOCK[[#This Row],[Precio Venta Ideal (x1.5)]]</f>
        <v>29</v>
      </c>
      <c r="J128" s="91">
        <v>1</v>
      </c>
      <c r="K128" s="91">
        <f>SUMIFS(VENTAS[Cantidad],VENTAS[Código del producto Vendido],STOCK[[#This Row],[Code]])</f>
        <v>0</v>
      </c>
      <c r="L128" s="91">
        <f>STOCK[[#This Row],[Entradas]]-STOCK[[#This Row],[Salidas]]</f>
        <v>1</v>
      </c>
      <c r="M128" s="76">
        <f>STOCK[[#This Row],[Precio Final]]*10%</f>
        <v>3</v>
      </c>
      <c r="N128" s="76">
        <v>258</v>
      </c>
      <c r="O128" s="76">
        <v>18</v>
      </c>
      <c r="P128" s="76">
        <v>14.3333333333333</v>
      </c>
      <c r="Q128" s="91">
        <v>250</v>
      </c>
      <c r="R128" s="76">
        <v>8</v>
      </c>
      <c r="S128" s="76">
        <f>STOCK[[#This Row],[Peso (g)]]*STOCK[[#This Row],[Precio Envío Kilogramo (USD)]]/1000</f>
        <v>2</v>
      </c>
      <c r="T128" s="76">
        <f>STOCK[[#This Row],[Costo Unitario (USD)]]+STOCK[[#This Row],[Costo Envío (USD)]]+STOCK[[#This Row],[Comisión 10%]]</f>
        <v>19.3333333333333</v>
      </c>
      <c r="U128" s="76">
        <f>STOCK[[#This Row],[Costo total]]*1.5</f>
        <v>29</v>
      </c>
      <c r="V128" s="76">
        <v>30</v>
      </c>
      <c r="W128" s="76">
        <f>STOCK[[#This Row],[Precio Final]]-STOCK[[#This Row],[Costo total]]</f>
        <v>10.6666666666667</v>
      </c>
      <c r="X128" s="76">
        <f>STOCK[[#This Row],[Ganancia Unitaria]]*STOCK[[#This Row],[Salidas]]</f>
        <v>0</v>
      </c>
      <c r="Y128" s="76" t="s">
        <v>277</v>
      </c>
      <c r="AA128" s="76">
        <f>STOCK[[#This Row],[Costo total]]*STOCK[[#This Row],[Entradas]]</f>
        <v>19.3333333333333</v>
      </c>
      <c r="AB128" s="76">
        <f>STOCK[[#This Row],[Stock Actual]]*STOCK[[#This Row],[Costo total]]</f>
        <v>19.3333333333333</v>
      </c>
      <c r="AC128" s="76">
        <v>25</v>
      </c>
    </row>
    <row r="129" s="77" customFormat="1" ht="50" customHeight="1" spans="1:28">
      <c r="A129" s="77" t="s">
        <v>300</v>
      </c>
      <c r="B129" s="6"/>
      <c r="C129" s="77" t="s">
        <v>30</v>
      </c>
      <c r="D129" s="77" t="s">
        <v>301</v>
      </c>
      <c r="E129" s="77" t="s">
        <v>302</v>
      </c>
      <c r="F129" s="77" t="s">
        <v>47</v>
      </c>
      <c r="G129" s="77" t="s">
        <v>34</v>
      </c>
      <c r="H129" s="77">
        <f>STOCK[[#This Row],[Precio Final]]</f>
        <v>30</v>
      </c>
      <c r="I129" s="77">
        <f>STOCK[[#This Row],[Precio Venta Ideal (x1.5)]]</f>
        <v>29</v>
      </c>
      <c r="J129" s="92">
        <v>1</v>
      </c>
      <c r="K129" s="92">
        <f>SUMIFS(VENTAS[Cantidad],VENTAS[Código del producto Vendido],STOCK[[#This Row],[Code]])</f>
        <v>1</v>
      </c>
      <c r="L129" s="92">
        <f>STOCK[[#This Row],[Entradas]]-STOCK[[#This Row],[Salidas]]</f>
        <v>0</v>
      </c>
      <c r="M129" s="77">
        <f>STOCK[[#This Row],[Precio Final]]*10%</f>
        <v>3</v>
      </c>
      <c r="N129" s="77">
        <v>258</v>
      </c>
      <c r="O129" s="77">
        <v>18</v>
      </c>
      <c r="P129" s="77">
        <v>14.3333333333333</v>
      </c>
      <c r="Q129" s="92">
        <v>250</v>
      </c>
      <c r="R129" s="77">
        <v>8</v>
      </c>
      <c r="S129" s="77">
        <f>STOCK[[#This Row],[Peso (g)]]*STOCK[[#This Row],[Precio Envío Kilogramo (USD)]]/1000</f>
        <v>2</v>
      </c>
      <c r="T129" s="76">
        <f>STOCK[[#This Row],[Costo Unitario (USD)]]+STOCK[[#This Row],[Costo Envío (USD)]]+STOCK[[#This Row],[Comisión 10%]]</f>
        <v>19.3333333333333</v>
      </c>
      <c r="U129" s="77">
        <f>STOCK[[#This Row],[Costo total]]*1.5</f>
        <v>29</v>
      </c>
      <c r="V129" s="77">
        <v>30</v>
      </c>
      <c r="W129" s="77">
        <f>STOCK[[#This Row],[Precio Final]]-STOCK[[#This Row],[Costo total]]</f>
        <v>10.6666666666667</v>
      </c>
      <c r="X129" s="77">
        <f>STOCK[[#This Row],[Ganancia Unitaria]]*STOCK[[#This Row],[Salidas]]</f>
        <v>10.6666666666667</v>
      </c>
      <c r="Y129" s="77" t="s">
        <v>277</v>
      </c>
      <c r="AA129" s="77">
        <f>STOCK[[#This Row],[Costo total]]*STOCK[[#This Row],[Entradas]]</f>
        <v>19.3333333333333</v>
      </c>
      <c r="AB129" s="77">
        <f>STOCK[[#This Row],[Stock Actual]]*STOCK[[#This Row],[Costo total]]</f>
        <v>0</v>
      </c>
    </row>
    <row r="130" s="76" customFormat="1" ht="50" customHeight="1" spans="1:28">
      <c r="A130" s="76" t="s">
        <v>303</v>
      </c>
      <c r="B130" s="6"/>
      <c r="C130" s="76" t="s">
        <v>30</v>
      </c>
      <c r="D130" s="76" t="s">
        <v>301</v>
      </c>
      <c r="E130" s="76" t="s">
        <v>302</v>
      </c>
      <c r="F130" s="76" t="s">
        <v>44</v>
      </c>
      <c r="G130" s="76" t="s">
        <v>34</v>
      </c>
      <c r="H130" s="76">
        <f>STOCK[[#This Row],[Precio Final]]</f>
        <v>30</v>
      </c>
      <c r="I130" s="76">
        <f>STOCK[[#This Row],[Precio Venta Ideal (x1.5)]]</f>
        <v>29</v>
      </c>
      <c r="J130" s="91">
        <v>1</v>
      </c>
      <c r="K130" s="91">
        <f>SUMIFS(VENTAS[Cantidad],VENTAS[Código del producto Vendido],STOCK[[#This Row],[Code]])</f>
        <v>1</v>
      </c>
      <c r="L130" s="91">
        <f>STOCK[[#This Row],[Entradas]]-STOCK[[#This Row],[Salidas]]</f>
        <v>0</v>
      </c>
      <c r="M130" s="76">
        <f>STOCK[[#This Row],[Precio Final]]*10%</f>
        <v>3</v>
      </c>
      <c r="N130" s="76">
        <v>258</v>
      </c>
      <c r="O130" s="76">
        <v>18</v>
      </c>
      <c r="P130" s="76">
        <v>14.3333333333333</v>
      </c>
      <c r="Q130" s="91">
        <v>250</v>
      </c>
      <c r="R130" s="76">
        <v>8</v>
      </c>
      <c r="S130" s="76">
        <f>STOCK[[#This Row],[Peso (g)]]*STOCK[[#This Row],[Precio Envío Kilogramo (USD)]]/1000</f>
        <v>2</v>
      </c>
      <c r="T130" s="76">
        <f>STOCK[[#This Row],[Costo Unitario (USD)]]+STOCK[[#This Row],[Costo Envío (USD)]]+STOCK[[#This Row],[Comisión 10%]]</f>
        <v>19.3333333333333</v>
      </c>
      <c r="U130" s="76">
        <f>STOCK[[#This Row],[Costo total]]*1.5</f>
        <v>29</v>
      </c>
      <c r="V130" s="76">
        <v>30</v>
      </c>
      <c r="W130" s="76">
        <f>STOCK[[#This Row],[Precio Final]]-STOCK[[#This Row],[Costo total]]</f>
        <v>10.6666666666667</v>
      </c>
      <c r="X130" s="76">
        <f>STOCK[[#This Row],[Ganancia Unitaria]]*STOCK[[#This Row],[Salidas]]</f>
        <v>10.6666666666667</v>
      </c>
      <c r="Y130" s="76" t="s">
        <v>277</v>
      </c>
      <c r="AA130" s="76">
        <f>STOCK[[#This Row],[Costo total]]*STOCK[[#This Row],[Entradas]]</f>
        <v>19.3333333333333</v>
      </c>
      <c r="AB130" s="76">
        <f>STOCK[[#This Row],[Stock Actual]]*STOCK[[#This Row],[Costo total]]</f>
        <v>0</v>
      </c>
    </row>
    <row r="131" s="77" customFormat="1" ht="50" customHeight="1" spans="1:28">
      <c r="A131" s="77" t="s">
        <v>304</v>
      </c>
      <c r="B131" s="6"/>
      <c r="C131" s="77" t="s">
        <v>30</v>
      </c>
      <c r="D131" s="77" t="s">
        <v>287</v>
      </c>
      <c r="E131" s="77" t="s">
        <v>305</v>
      </c>
      <c r="F131" s="77" t="s">
        <v>47</v>
      </c>
      <c r="G131" s="77" t="s">
        <v>34</v>
      </c>
      <c r="H131" s="77">
        <f>STOCK[[#This Row],[Precio Final]]</f>
        <v>28</v>
      </c>
      <c r="I131" s="77">
        <f>STOCK[[#This Row],[Precio Venta Ideal (x1.5)]]</f>
        <v>29.45</v>
      </c>
      <c r="J131" s="92">
        <v>1</v>
      </c>
      <c r="K131" s="92">
        <f>SUMIFS(VENTAS[Cantidad],VENTAS[Código del producto Vendido],STOCK[[#This Row],[Code]])</f>
        <v>1</v>
      </c>
      <c r="L131" s="92">
        <f>STOCK[[#This Row],[Entradas]]-STOCK[[#This Row],[Salidas]]</f>
        <v>0</v>
      </c>
      <c r="M131" s="77">
        <f>STOCK[[#This Row],[Precio Final]]*10%</f>
        <v>2.8</v>
      </c>
      <c r="N131" s="77">
        <v>267</v>
      </c>
      <c r="O131" s="77">
        <v>18</v>
      </c>
      <c r="P131" s="77">
        <v>14.8333333333333</v>
      </c>
      <c r="Q131" s="92">
        <v>250</v>
      </c>
      <c r="R131" s="77">
        <v>8</v>
      </c>
      <c r="S131" s="77">
        <f>STOCK[[#This Row],[Peso (g)]]*STOCK[[#This Row],[Precio Envío Kilogramo (USD)]]/1000</f>
        <v>2</v>
      </c>
      <c r="T131" s="76">
        <f>STOCK[[#This Row],[Costo Unitario (USD)]]+STOCK[[#This Row],[Costo Envío (USD)]]+STOCK[[#This Row],[Comisión 10%]]</f>
        <v>19.6333333333333</v>
      </c>
      <c r="U131" s="77">
        <f>STOCK[[#This Row],[Costo total]]*1.5</f>
        <v>29.45</v>
      </c>
      <c r="V131" s="77">
        <v>28</v>
      </c>
      <c r="W131" s="77">
        <f>STOCK[[#This Row],[Precio Final]]-STOCK[[#This Row],[Costo total]]</f>
        <v>8.3666666666667</v>
      </c>
      <c r="X131" s="77">
        <f>STOCK[[#This Row],[Ganancia Unitaria]]*STOCK[[#This Row],[Salidas]]</f>
        <v>8.3666666666667</v>
      </c>
      <c r="Y131" s="77" t="s">
        <v>277</v>
      </c>
      <c r="AA131" s="77">
        <f>STOCK[[#This Row],[Costo total]]*STOCK[[#This Row],[Entradas]]</f>
        <v>19.6333333333333</v>
      </c>
      <c r="AB131" s="77">
        <f>STOCK[[#This Row],[Stock Actual]]*STOCK[[#This Row],[Costo total]]</f>
        <v>0</v>
      </c>
    </row>
    <row r="132" s="76" customFormat="1" ht="50" customHeight="1" spans="1:28">
      <c r="A132" s="76" t="s">
        <v>306</v>
      </c>
      <c r="B132" s="6"/>
      <c r="C132" s="76" t="s">
        <v>30</v>
      </c>
      <c r="D132" s="76" t="s">
        <v>287</v>
      </c>
      <c r="E132" s="76" t="s">
        <v>305</v>
      </c>
      <c r="F132" s="76" t="s">
        <v>38</v>
      </c>
      <c r="G132" s="76" t="s">
        <v>34</v>
      </c>
      <c r="H132" s="76">
        <f>STOCK[[#This Row],[Precio Final]]</f>
        <v>28</v>
      </c>
      <c r="I132" s="76">
        <f>STOCK[[#This Row],[Precio Venta Ideal (x1.5)]]</f>
        <v>29.45</v>
      </c>
      <c r="J132" s="91">
        <v>1</v>
      </c>
      <c r="K132" s="91">
        <f>SUMIFS(VENTAS[Cantidad],VENTAS[Código del producto Vendido],STOCK[[#This Row],[Code]])</f>
        <v>1</v>
      </c>
      <c r="L132" s="91">
        <f>STOCK[[#This Row],[Entradas]]-STOCK[[#This Row],[Salidas]]</f>
        <v>0</v>
      </c>
      <c r="M132" s="76">
        <f>STOCK[[#This Row],[Precio Final]]*10%</f>
        <v>2.8</v>
      </c>
      <c r="N132" s="76">
        <v>267</v>
      </c>
      <c r="O132" s="76">
        <v>18</v>
      </c>
      <c r="P132" s="76">
        <v>14.8333333333333</v>
      </c>
      <c r="Q132" s="91">
        <v>250</v>
      </c>
      <c r="R132" s="76">
        <v>8</v>
      </c>
      <c r="S132" s="76">
        <f>STOCK[[#This Row],[Peso (g)]]*STOCK[[#This Row],[Precio Envío Kilogramo (USD)]]/1000</f>
        <v>2</v>
      </c>
      <c r="T132" s="76">
        <f>STOCK[[#This Row],[Costo Unitario (USD)]]+STOCK[[#This Row],[Costo Envío (USD)]]+STOCK[[#This Row],[Comisión 10%]]</f>
        <v>19.6333333333333</v>
      </c>
      <c r="U132" s="76">
        <f>STOCK[[#This Row],[Costo total]]*1.5</f>
        <v>29.45</v>
      </c>
      <c r="V132" s="76">
        <v>28</v>
      </c>
      <c r="W132" s="76">
        <f>STOCK[[#This Row],[Precio Final]]-STOCK[[#This Row],[Costo total]]</f>
        <v>8.3666666666667</v>
      </c>
      <c r="X132" s="76">
        <f>STOCK[[#This Row],[Ganancia Unitaria]]*STOCK[[#This Row],[Salidas]]</f>
        <v>8.3666666666667</v>
      </c>
      <c r="Y132" s="76" t="s">
        <v>277</v>
      </c>
      <c r="AA132" s="76">
        <f>STOCK[[#This Row],[Costo total]]*STOCK[[#This Row],[Entradas]]</f>
        <v>19.6333333333333</v>
      </c>
      <c r="AB132" s="76">
        <f>STOCK[[#This Row],[Stock Actual]]*STOCK[[#This Row],[Costo total]]</f>
        <v>0</v>
      </c>
    </row>
    <row r="133" s="77" customFormat="1" ht="50" customHeight="1" spans="1:29">
      <c r="A133" s="77" t="s">
        <v>307</v>
      </c>
      <c r="B133" s="6"/>
      <c r="C133" s="77" t="s">
        <v>30</v>
      </c>
      <c r="D133" s="77" t="s">
        <v>282</v>
      </c>
      <c r="E133" s="77" t="s">
        <v>308</v>
      </c>
      <c r="F133" s="77" t="s">
        <v>47</v>
      </c>
      <c r="G133" s="77" t="s">
        <v>34</v>
      </c>
      <c r="H133" s="77">
        <f>STOCK[[#This Row],[Precio Final]]</f>
        <v>35</v>
      </c>
      <c r="I133" s="77">
        <f>STOCK[[#This Row],[Precio Venta Ideal (x1.5)]]</f>
        <v>31.7</v>
      </c>
      <c r="J133" s="92">
        <v>1</v>
      </c>
      <c r="K133" s="92">
        <f>SUMIFS(VENTAS[Cantidad],VENTAS[Código del producto Vendido],STOCK[[#This Row],[Code]])</f>
        <v>0</v>
      </c>
      <c r="L133" s="92">
        <f>STOCK[[#This Row],[Entradas]]-STOCK[[#This Row],[Salidas]]</f>
        <v>1</v>
      </c>
      <c r="M133" s="77">
        <f>STOCK[[#This Row],[Precio Final]]*10%</f>
        <v>3.5</v>
      </c>
      <c r="N133" s="77">
        <v>267</v>
      </c>
      <c r="O133" s="77">
        <v>18</v>
      </c>
      <c r="P133" s="77">
        <v>14.8333333333333</v>
      </c>
      <c r="Q133" s="92">
        <v>350</v>
      </c>
      <c r="R133" s="77">
        <v>8</v>
      </c>
      <c r="S133" s="77">
        <f>STOCK[[#This Row],[Peso (g)]]*STOCK[[#This Row],[Precio Envío Kilogramo (USD)]]/1000</f>
        <v>2.8</v>
      </c>
      <c r="T133" s="76">
        <f>STOCK[[#This Row],[Costo Unitario (USD)]]+STOCK[[#This Row],[Costo Envío (USD)]]+STOCK[[#This Row],[Comisión 10%]]</f>
        <v>21.1333333333333</v>
      </c>
      <c r="U133" s="77">
        <f>STOCK[[#This Row],[Costo total]]*1.5</f>
        <v>31.7</v>
      </c>
      <c r="V133" s="77">
        <v>35</v>
      </c>
      <c r="W133" s="77">
        <f>STOCK[[#This Row],[Precio Final]]-STOCK[[#This Row],[Costo total]]</f>
        <v>13.8666666666667</v>
      </c>
      <c r="X133" s="77">
        <f>STOCK[[#This Row],[Ganancia Unitaria]]*STOCK[[#This Row],[Salidas]]</f>
        <v>0</v>
      </c>
      <c r="Y133" s="77" t="s">
        <v>277</v>
      </c>
      <c r="AA133" s="77">
        <f>STOCK[[#This Row],[Costo total]]*STOCK[[#This Row],[Entradas]]</f>
        <v>21.1333333333333</v>
      </c>
      <c r="AB133" s="77">
        <f>STOCK[[#This Row],[Stock Actual]]*STOCK[[#This Row],[Costo total]]</f>
        <v>21.1333333333333</v>
      </c>
      <c r="AC133" s="77">
        <v>25</v>
      </c>
    </row>
    <row r="134" s="76" customFormat="1" ht="50" customHeight="1" spans="1:28">
      <c r="A134" s="76" t="s">
        <v>309</v>
      </c>
      <c r="B134" s="6"/>
      <c r="C134" s="76" t="s">
        <v>30</v>
      </c>
      <c r="D134" s="76" t="s">
        <v>42</v>
      </c>
      <c r="E134" s="76" t="s">
        <v>310</v>
      </c>
      <c r="F134" s="76" t="s">
        <v>60</v>
      </c>
      <c r="G134" s="76" t="s">
        <v>34</v>
      </c>
      <c r="H134" s="76">
        <f>STOCK[[#This Row],[Precio Final]]</f>
        <v>25</v>
      </c>
      <c r="I134" s="76">
        <f>STOCK[[#This Row],[Precio Venta Ideal (x1.5)]]</f>
        <v>23.4166666666667</v>
      </c>
      <c r="J134" s="91">
        <v>1</v>
      </c>
      <c r="K134" s="91">
        <f>SUMIFS(VENTAS[Cantidad],VENTAS[Código del producto Vendido],STOCK[[#This Row],[Code]])</f>
        <v>1</v>
      </c>
      <c r="L134" s="91">
        <f>STOCK[[#This Row],[Entradas]]-STOCK[[#This Row],[Salidas]]</f>
        <v>0</v>
      </c>
      <c r="M134" s="76">
        <f>STOCK[[#This Row],[Precio Final]]*10%</f>
        <v>2.5</v>
      </c>
      <c r="N134" s="76">
        <v>200</v>
      </c>
      <c r="O134" s="76">
        <v>18</v>
      </c>
      <c r="P134" s="76">
        <v>11.1111111111111</v>
      </c>
      <c r="Q134" s="91">
        <v>250</v>
      </c>
      <c r="R134" s="76">
        <v>8</v>
      </c>
      <c r="S134" s="76">
        <f>STOCK[[#This Row],[Peso (g)]]*STOCK[[#This Row],[Precio Envío Kilogramo (USD)]]/1000</f>
        <v>2</v>
      </c>
      <c r="T134" s="76">
        <f>STOCK[[#This Row],[Costo Unitario (USD)]]+STOCK[[#This Row],[Costo Envío (USD)]]+STOCK[[#This Row],[Comisión 10%]]</f>
        <v>15.6111111111111</v>
      </c>
      <c r="U134" s="76">
        <f>STOCK[[#This Row],[Costo total]]*1.5</f>
        <v>23.4166666666667</v>
      </c>
      <c r="V134" s="76">
        <v>25</v>
      </c>
      <c r="W134" s="76">
        <f>STOCK[[#This Row],[Precio Final]]-STOCK[[#This Row],[Costo total]]</f>
        <v>9.3888888888889</v>
      </c>
      <c r="X134" s="76">
        <f>STOCK[[#This Row],[Ganancia Unitaria]]*STOCK[[#This Row],[Salidas]]</f>
        <v>9.3888888888889</v>
      </c>
      <c r="Y134" s="76" t="s">
        <v>277</v>
      </c>
      <c r="AA134" s="76">
        <f>STOCK[[#This Row],[Costo total]]*STOCK[[#This Row],[Entradas]]</f>
        <v>15.6111111111111</v>
      </c>
      <c r="AB134" s="76">
        <f>STOCK[[#This Row],[Stock Actual]]*STOCK[[#This Row],[Costo total]]</f>
        <v>0</v>
      </c>
    </row>
    <row r="135" s="77" customFormat="1" ht="50" customHeight="1" spans="1:28">
      <c r="A135" s="77" t="s">
        <v>311</v>
      </c>
      <c r="B135" s="6"/>
      <c r="C135" s="77" t="s">
        <v>30</v>
      </c>
      <c r="D135" s="77" t="s">
        <v>215</v>
      </c>
      <c r="E135" s="77" t="s">
        <v>310</v>
      </c>
      <c r="F135" s="77" t="s">
        <v>186</v>
      </c>
      <c r="G135" s="77" t="s">
        <v>34</v>
      </c>
      <c r="H135" s="77">
        <f>STOCK[[#This Row],[Precio Final]]</f>
        <v>22</v>
      </c>
      <c r="I135" s="77">
        <f>STOCK[[#This Row],[Precio Venta Ideal (x1.5)]]</f>
        <v>22.9666666666666</v>
      </c>
      <c r="J135" s="92">
        <v>1</v>
      </c>
      <c r="K135" s="92">
        <f>SUMIFS(VENTAS[Cantidad],VENTAS[Código del producto Vendido],STOCK[[#This Row],[Code]])</f>
        <v>1</v>
      </c>
      <c r="L135" s="92">
        <f>STOCK[[#This Row],[Entradas]]-STOCK[[#This Row],[Salidas]]</f>
        <v>0</v>
      </c>
      <c r="M135" s="77">
        <f>STOCK[[#This Row],[Precio Final]]*10%</f>
        <v>2.2</v>
      </c>
      <c r="N135" s="77">
        <v>200</v>
      </c>
      <c r="O135" s="77">
        <v>18</v>
      </c>
      <c r="P135" s="77">
        <v>11.1111111111111</v>
      </c>
      <c r="Q135" s="92">
        <v>250</v>
      </c>
      <c r="R135" s="77">
        <v>8</v>
      </c>
      <c r="S135" s="77">
        <f>STOCK[[#This Row],[Peso (g)]]*STOCK[[#This Row],[Precio Envío Kilogramo (USD)]]/1000</f>
        <v>2</v>
      </c>
      <c r="T135" s="76">
        <f>STOCK[[#This Row],[Costo Unitario (USD)]]+STOCK[[#This Row],[Costo Envío (USD)]]+STOCK[[#This Row],[Comisión 10%]]</f>
        <v>15.3111111111111</v>
      </c>
      <c r="U135" s="77">
        <f>STOCK[[#This Row],[Costo total]]*1.5</f>
        <v>22.9666666666666</v>
      </c>
      <c r="V135" s="77">
        <v>22</v>
      </c>
      <c r="W135" s="77">
        <f>STOCK[[#This Row],[Precio Final]]-STOCK[[#This Row],[Costo total]]</f>
        <v>6.6888888888889</v>
      </c>
      <c r="X135" s="77">
        <f>STOCK[[#This Row],[Ganancia Unitaria]]*STOCK[[#This Row],[Salidas]]</f>
        <v>6.6888888888889</v>
      </c>
      <c r="Y135" s="77" t="s">
        <v>277</v>
      </c>
      <c r="AA135" s="77">
        <f>STOCK[[#This Row],[Costo total]]*STOCK[[#This Row],[Entradas]]</f>
        <v>15.3111111111111</v>
      </c>
      <c r="AB135" s="77">
        <f>STOCK[[#This Row],[Stock Actual]]*STOCK[[#This Row],[Costo total]]</f>
        <v>0</v>
      </c>
    </row>
    <row r="136" s="76" customFormat="1" ht="50" customHeight="1" spans="1:29">
      <c r="A136" s="76" t="s">
        <v>312</v>
      </c>
      <c r="B136" s="6"/>
      <c r="C136" s="76" t="s">
        <v>30</v>
      </c>
      <c r="D136" s="76" t="s">
        <v>202</v>
      </c>
      <c r="E136" s="76" t="s">
        <v>313</v>
      </c>
      <c r="F136" s="76" t="s">
        <v>44</v>
      </c>
      <c r="G136" s="76" t="s">
        <v>34</v>
      </c>
      <c r="H136" s="76">
        <f>STOCK[[#This Row],[Precio Final]]</f>
        <v>30</v>
      </c>
      <c r="I136" s="76">
        <f>STOCK[[#This Row],[Precio Venta Ideal (x1.5)]]</f>
        <v>28.9333333333333</v>
      </c>
      <c r="J136" s="91">
        <v>1</v>
      </c>
      <c r="K136" s="91">
        <f>SUMIFS(VENTAS[Cantidad],VENTAS[Código del producto Vendido],STOCK[[#This Row],[Code]])</f>
        <v>0</v>
      </c>
      <c r="L136" s="91">
        <f>STOCK[[#This Row],[Entradas]]-STOCK[[#This Row],[Salidas]]</f>
        <v>1</v>
      </c>
      <c r="M136" s="76">
        <f>STOCK[[#This Row],[Precio Final]]*10%</f>
        <v>3</v>
      </c>
      <c r="N136" s="76">
        <v>250</v>
      </c>
      <c r="O136" s="76">
        <v>18</v>
      </c>
      <c r="P136" s="76">
        <v>13.8888888888889</v>
      </c>
      <c r="Q136" s="91">
        <v>300</v>
      </c>
      <c r="R136" s="76">
        <v>8</v>
      </c>
      <c r="S136" s="76">
        <f>STOCK[[#This Row],[Peso (g)]]*STOCK[[#This Row],[Precio Envío Kilogramo (USD)]]/1000</f>
        <v>2.4</v>
      </c>
      <c r="T136" s="76">
        <f>STOCK[[#This Row],[Costo Unitario (USD)]]+STOCK[[#This Row],[Costo Envío (USD)]]+STOCK[[#This Row],[Comisión 10%]]</f>
        <v>19.2888888888889</v>
      </c>
      <c r="U136" s="76">
        <f>STOCK[[#This Row],[Costo total]]*1.5</f>
        <v>28.9333333333333</v>
      </c>
      <c r="V136" s="76">
        <v>30</v>
      </c>
      <c r="W136" s="76">
        <f>STOCK[[#This Row],[Precio Final]]-STOCK[[#This Row],[Costo total]]</f>
        <v>10.7111111111111</v>
      </c>
      <c r="X136" s="76">
        <f>STOCK[[#This Row],[Ganancia Unitaria]]*STOCK[[#This Row],[Salidas]]</f>
        <v>0</v>
      </c>
      <c r="Y136" s="76" t="s">
        <v>277</v>
      </c>
      <c r="AA136" s="76">
        <f>STOCK[[#This Row],[Costo total]]*STOCK[[#This Row],[Entradas]]</f>
        <v>19.2888888888889</v>
      </c>
      <c r="AB136" s="76">
        <f>STOCK[[#This Row],[Stock Actual]]*STOCK[[#This Row],[Costo total]]</f>
        <v>19.2888888888889</v>
      </c>
      <c r="AC136" s="76">
        <v>25</v>
      </c>
    </row>
    <row r="137" s="77" customFormat="1" ht="50" customHeight="1" spans="1:29">
      <c r="A137" s="77" t="s">
        <v>314</v>
      </c>
      <c r="B137" s="6"/>
      <c r="C137" s="77" t="s">
        <v>30</v>
      </c>
      <c r="D137" s="77" t="s">
        <v>215</v>
      </c>
      <c r="E137" s="77" t="s">
        <v>313</v>
      </c>
      <c r="F137" s="77" t="s">
        <v>47</v>
      </c>
      <c r="G137" s="77" t="s">
        <v>34</v>
      </c>
      <c r="H137" s="77">
        <f>STOCK[[#This Row],[Precio Final]]</f>
        <v>30</v>
      </c>
      <c r="I137" s="77">
        <f>STOCK[[#This Row],[Precio Venta Ideal (x1.5)]]</f>
        <v>28.9333333333333</v>
      </c>
      <c r="J137" s="92">
        <v>1</v>
      </c>
      <c r="K137" s="92">
        <f>SUMIFS(VENTAS[Cantidad],VENTAS[Código del producto Vendido],STOCK[[#This Row],[Code]])</f>
        <v>0</v>
      </c>
      <c r="L137" s="92">
        <f>STOCK[[#This Row],[Entradas]]-STOCK[[#This Row],[Salidas]]</f>
        <v>1</v>
      </c>
      <c r="M137" s="77">
        <f>STOCK[[#This Row],[Precio Final]]*10%</f>
        <v>3</v>
      </c>
      <c r="N137" s="77">
        <v>250</v>
      </c>
      <c r="O137" s="77">
        <v>18</v>
      </c>
      <c r="P137" s="77">
        <v>13.8888888888889</v>
      </c>
      <c r="Q137" s="92">
        <v>300</v>
      </c>
      <c r="R137" s="77">
        <v>8</v>
      </c>
      <c r="S137" s="77">
        <f>STOCK[[#This Row],[Peso (g)]]*STOCK[[#This Row],[Precio Envío Kilogramo (USD)]]/1000</f>
        <v>2.4</v>
      </c>
      <c r="T137" s="76">
        <f>STOCK[[#This Row],[Costo Unitario (USD)]]+STOCK[[#This Row],[Costo Envío (USD)]]+STOCK[[#This Row],[Comisión 10%]]</f>
        <v>19.2888888888889</v>
      </c>
      <c r="U137" s="77">
        <f>STOCK[[#This Row],[Costo total]]*1.5</f>
        <v>28.9333333333333</v>
      </c>
      <c r="V137" s="77">
        <v>30</v>
      </c>
      <c r="W137" s="77">
        <f>STOCK[[#This Row],[Precio Final]]-STOCK[[#This Row],[Costo total]]</f>
        <v>10.7111111111111</v>
      </c>
      <c r="X137" s="77">
        <f>STOCK[[#This Row],[Ganancia Unitaria]]*STOCK[[#This Row],[Salidas]]</f>
        <v>0</v>
      </c>
      <c r="Y137" s="77" t="s">
        <v>277</v>
      </c>
      <c r="AA137" s="77">
        <f>STOCK[[#This Row],[Costo total]]*STOCK[[#This Row],[Entradas]]</f>
        <v>19.2888888888889</v>
      </c>
      <c r="AB137" s="77">
        <f>STOCK[[#This Row],[Stock Actual]]*STOCK[[#This Row],[Costo total]]</f>
        <v>19.2888888888889</v>
      </c>
      <c r="AC137" s="77">
        <v>25</v>
      </c>
    </row>
    <row r="138" s="76" customFormat="1" ht="50" customHeight="1" spans="1:29">
      <c r="A138" s="76" t="s">
        <v>315</v>
      </c>
      <c r="B138" s="6"/>
      <c r="C138" s="76" t="s">
        <v>30</v>
      </c>
      <c r="D138" s="76" t="s">
        <v>282</v>
      </c>
      <c r="E138" s="76" t="s">
        <v>316</v>
      </c>
      <c r="F138" s="76" t="s">
        <v>38</v>
      </c>
      <c r="G138" s="76" t="s">
        <v>34</v>
      </c>
      <c r="H138" s="76">
        <f>STOCK[[#This Row],[Precio Final]]</f>
        <v>35</v>
      </c>
      <c r="I138" s="76">
        <f>STOCK[[#This Row],[Precio Venta Ideal (x1.5)]]</f>
        <v>31.4966666666667</v>
      </c>
      <c r="J138" s="91">
        <v>1</v>
      </c>
      <c r="K138" s="91">
        <f>SUMIFS(VENTAS[Cantidad],VENTAS[Código del producto Vendido],STOCK[[#This Row],[Code]])</f>
        <v>0</v>
      </c>
      <c r="L138" s="91">
        <f>STOCK[[#This Row],[Entradas]]-STOCK[[#This Row],[Salidas]]</f>
        <v>1</v>
      </c>
      <c r="M138" s="76">
        <f>STOCK[[#This Row],[Precio Final]]*10%</f>
        <v>3.5</v>
      </c>
      <c r="N138" s="76">
        <v>266</v>
      </c>
      <c r="O138" s="76">
        <v>18</v>
      </c>
      <c r="P138" s="76">
        <v>14.7777777777778</v>
      </c>
      <c r="Q138" s="91">
        <v>340</v>
      </c>
      <c r="R138" s="76">
        <v>8</v>
      </c>
      <c r="S138" s="76">
        <f>STOCK[[#This Row],[Peso (g)]]*STOCK[[#This Row],[Precio Envío Kilogramo (USD)]]/1000</f>
        <v>2.72</v>
      </c>
      <c r="T138" s="76">
        <f>STOCK[[#This Row],[Costo Unitario (USD)]]+STOCK[[#This Row],[Costo Envío (USD)]]+STOCK[[#This Row],[Comisión 10%]]</f>
        <v>20.9977777777778</v>
      </c>
      <c r="U138" s="76">
        <f>STOCK[[#This Row],[Costo total]]*1.5</f>
        <v>31.4966666666667</v>
      </c>
      <c r="V138" s="76">
        <v>35</v>
      </c>
      <c r="W138" s="76">
        <f>STOCK[[#This Row],[Precio Final]]-STOCK[[#This Row],[Costo total]]</f>
        <v>14.0022222222222</v>
      </c>
      <c r="X138" s="76">
        <f>STOCK[[#This Row],[Ganancia Unitaria]]*STOCK[[#This Row],[Salidas]]</f>
        <v>0</v>
      </c>
      <c r="Y138" s="76" t="s">
        <v>277</v>
      </c>
      <c r="AA138" s="76">
        <f>STOCK[[#This Row],[Costo total]]*STOCK[[#This Row],[Entradas]]</f>
        <v>20.9977777777778</v>
      </c>
      <c r="AB138" s="76">
        <f>STOCK[[#This Row],[Stock Actual]]*STOCK[[#This Row],[Costo total]]</f>
        <v>20.9977777777778</v>
      </c>
      <c r="AC138" s="76">
        <v>25</v>
      </c>
    </row>
    <row r="139" s="77" customFormat="1" ht="50" customHeight="1" spans="1:28">
      <c r="A139" s="77" t="s">
        <v>317</v>
      </c>
      <c r="B139" s="6"/>
      <c r="C139" s="77" t="s">
        <v>30</v>
      </c>
      <c r="D139" s="77" t="s">
        <v>287</v>
      </c>
      <c r="E139" s="77" t="s">
        <v>318</v>
      </c>
      <c r="F139" s="77" t="s">
        <v>60</v>
      </c>
      <c r="G139" s="77" t="s">
        <v>34</v>
      </c>
      <c r="H139" s="77">
        <f>STOCK[[#This Row],[Precio Final]]</f>
        <v>35</v>
      </c>
      <c r="I139" s="77">
        <f>STOCK[[#This Row],[Precio Venta Ideal (x1.5)]]</f>
        <v>32.8033333333333</v>
      </c>
      <c r="J139" s="92">
        <v>1</v>
      </c>
      <c r="K139" s="92">
        <f>SUMIFS(VENTAS[Cantidad],VENTAS[Código del producto Vendido],STOCK[[#This Row],[Code]])</f>
        <v>1</v>
      </c>
      <c r="L139" s="92">
        <f>STOCK[[#This Row],[Entradas]]-STOCK[[#This Row],[Salidas]]</f>
        <v>0</v>
      </c>
      <c r="M139" s="77">
        <f>STOCK[[#This Row],[Precio Final]]*10%</f>
        <v>3.5</v>
      </c>
      <c r="N139" s="77">
        <v>286</v>
      </c>
      <c r="O139" s="77">
        <v>18</v>
      </c>
      <c r="P139" s="77">
        <v>15.8888888888889</v>
      </c>
      <c r="Q139" s="92">
        <v>310</v>
      </c>
      <c r="R139" s="77">
        <v>8</v>
      </c>
      <c r="S139" s="77">
        <f>STOCK[[#This Row],[Peso (g)]]*STOCK[[#This Row],[Precio Envío Kilogramo (USD)]]/1000</f>
        <v>2.48</v>
      </c>
      <c r="T139" s="76">
        <f>STOCK[[#This Row],[Costo Unitario (USD)]]+STOCK[[#This Row],[Costo Envío (USD)]]+STOCK[[#This Row],[Comisión 10%]]</f>
        <v>21.8688888888889</v>
      </c>
      <c r="U139" s="77">
        <f>STOCK[[#This Row],[Costo total]]*1.5</f>
        <v>32.8033333333333</v>
      </c>
      <c r="V139" s="77">
        <v>35</v>
      </c>
      <c r="W139" s="77">
        <f>STOCK[[#This Row],[Precio Final]]-STOCK[[#This Row],[Costo total]]</f>
        <v>13.1311111111111</v>
      </c>
      <c r="X139" s="77">
        <f>STOCK[[#This Row],[Ganancia Unitaria]]*STOCK[[#This Row],[Salidas]]</f>
        <v>13.1311111111111</v>
      </c>
      <c r="Y139" s="77" t="s">
        <v>277</v>
      </c>
      <c r="AA139" s="77">
        <f>STOCK[[#This Row],[Costo total]]*STOCK[[#This Row],[Entradas]]</f>
        <v>21.8688888888889</v>
      </c>
      <c r="AB139" s="77">
        <f>STOCK[[#This Row],[Stock Actual]]*STOCK[[#This Row],[Costo total]]</f>
        <v>0</v>
      </c>
    </row>
    <row r="140" s="76" customFormat="1" ht="50" customHeight="1" spans="1:28">
      <c r="A140" s="76" t="s">
        <v>319</v>
      </c>
      <c r="B140" s="6"/>
      <c r="C140" s="76" t="s">
        <v>30</v>
      </c>
      <c r="D140" s="76" t="s">
        <v>151</v>
      </c>
      <c r="E140" s="76" t="s">
        <v>320</v>
      </c>
      <c r="F140" s="76" t="s">
        <v>38</v>
      </c>
      <c r="G140" s="76" t="s">
        <v>34</v>
      </c>
      <c r="H140" s="76">
        <f>STOCK[[#This Row],[Precio Final]]</f>
        <v>35</v>
      </c>
      <c r="I140" s="76">
        <f>STOCK[[#This Row],[Precio Venta Ideal (x1.5)]]</f>
        <v>33.75</v>
      </c>
      <c r="J140" s="91">
        <v>1</v>
      </c>
      <c r="K140" s="91">
        <f>SUMIFS(VENTAS[Cantidad],VENTAS[Código del producto Vendido],STOCK[[#This Row],[Code]])</f>
        <v>1</v>
      </c>
      <c r="L140" s="91">
        <f>STOCK[[#This Row],[Entradas]]-STOCK[[#This Row],[Salidas]]</f>
        <v>0</v>
      </c>
      <c r="M140" s="76">
        <f>STOCK[[#This Row],[Precio Final]]*10%</f>
        <v>3.5</v>
      </c>
      <c r="N140" s="76">
        <v>270</v>
      </c>
      <c r="O140" s="76">
        <v>18</v>
      </c>
      <c r="P140" s="76">
        <v>15</v>
      </c>
      <c r="Q140" s="91">
        <v>500</v>
      </c>
      <c r="R140" s="76">
        <v>8</v>
      </c>
      <c r="S140" s="76">
        <f>STOCK[[#This Row],[Peso (g)]]*STOCK[[#This Row],[Precio Envío Kilogramo (USD)]]/1000</f>
        <v>4</v>
      </c>
      <c r="T140" s="76">
        <f>STOCK[[#This Row],[Costo Unitario (USD)]]+STOCK[[#This Row],[Costo Envío (USD)]]+STOCK[[#This Row],[Comisión 10%]]</f>
        <v>22.5</v>
      </c>
      <c r="U140" s="76">
        <f>STOCK[[#This Row],[Costo total]]*1.5</f>
        <v>33.75</v>
      </c>
      <c r="V140" s="76">
        <v>35</v>
      </c>
      <c r="W140" s="76">
        <f>STOCK[[#This Row],[Precio Final]]-STOCK[[#This Row],[Costo total]]</f>
        <v>12.5</v>
      </c>
      <c r="X140" s="76">
        <f>STOCK[[#This Row],[Ganancia Unitaria]]*STOCK[[#This Row],[Salidas]]</f>
        <v>12.5</v>
      </c>
      <c r="Y140" s="76" t="s">
        <v>277</v>
      </c>
      <c r="AA140" s="76">
        <f>STOCK[[#This Row],[Costo total]]*STOCK[[#This Row],[Entradas]]</f>
        <v>22.5</v>
      </c>
      <c r="AB140" s="76">
        <f>STOCK[[#This Row],[Stock Actual]]*STOCK[[#This Row],[Costo total]]</f>
        <v>0</v>
      </c>
    </row>
    <row r="141" s="77" customFormat="1" ht="50" customHeight="1" spans="1:28">
      <c r="A141" s="77" t="s">
        <v>321</v>
      </c>
      <c r="B141" s="6"/>
      <c r="C141" s="77" t="s">
        <v>30</v>
      </c>
      <c r="D141" s="77" t="s">
        <v>282</v>
      </c>
      <c r="E141" s="77" t="s">
        <v>322</v>
      </c>
      <c r="F141" s="77" t="s">
        <v>210</v>
      </c>
      <c r="G141" s="77" t="s">
        <v>34</v>
      </c>
      <c r="H141" s="77">
        <f>STOCK[[#This Row],[Precio Final]]</f>
        <v>28</v>
      </c>
      <c r="I141" s="77">
        <f>STOCK[[#This Row],[Precio Venta Ideal (x1.5)]]</f>
        <v>31.2</v>
      </c>
      <c r="J141" s="92">
        <v>1</v>
      </c>
      <c r="K141" s="92">
        <f>SUMIFS(VENTAS[Cantidad],VENTAS[Código del producto Vendido],STOCK[[#This Row],[Code]])</f>
        <v>1</v>
      </c>
      <c r="L141" s="92">
        <f>STOCK[[#This Row],[Entradas]]-STOCK[[#This Row],[Salidas]]</f>
        <v>0</v>
      </c>
      <c r="M141" s="77">
        <f>STOCK[[#This Row],[Precio Final]]*10%</f>
        <v>2.8</v>
      </c>
      <c r="N141" s="77">
        <v>270</v>
      </c>
      <c r="O141" s="77">
        <v>18</v>
      </c>
      <c r="P141" s="77">
        <v>15</v>
      </c>
      <c r="Q141" s="92">
        <v>375</v>
      </c>
      <c r="R141" s="77">
        <v>8</v>
      </c>
      <c r="S141" s="77">
        <f>STOCK[[#This Row],[Peso (g)]]*STOCK[[#This Row],[Precio Envío Kilogramo (USD)]]/1000</f>
        <v>3</v>
      </c>
      <c r="T141" s="76">
        <f>STOCK[[#This Row],[Costo Unitario (USD)]]+STOCK[[#This Row],[Costo Envío (USD)]]+STOCK[[#This Row],[Comisión 10%]]</f>
        <v>20.8</v>
      </c>
      <c r="U141" s="77">
        <f>STOCK[[#This Row],[Costo total]]*1.5</f>
        <v>31.2</v>
      </c>
      <c r="V141" s="77">
        <v>28</v>
      </c>
      <c r="W141" s="77">
        <f>STOCK[[#This Row],[Precio Final]]-STOCK[[#This Row],[Costo total]]</f>
        <v>7.2</v>
      </c>
      <c r="X141" s="77">
        <f>STOCK[[#This Row],[Ganancia Unitaria]]*STOCK[[#This Row],[Salidas]]</f>
        <v>7.2</v>
      </c>
      <c r="Y141" s="77" t="s">
        <v>277</v>
      </c>
      <c r="AA141" s="77">
        <f>STOCK[[#This Row],[Costo total]]*STOCK[[#This Row],[Entradas]]</f>
        <v>20.8</v>
      </c>
      <c r="AB141" s="77">
        <f>STOCK[[#This Row],[Stock Actual]]*STOCK[[#This Row],[Costo total]]</f>
        <v>0</v>
      </c>
    </row>
    <row r="142" s="76" customFormat="1" ht="50" customHeight="1" spans="1:28">
      <c r="A142" s="76" t="s">
        <v>323</v>
      </c>
      <c r="B142" s="6"/>
      <c r="C142" s="76" t="s">
        <v>30</v>
      </c>
      <c r="D142" s="76" t="s">
        <v>42</v>
      </c>
      <c r="E142" s="76" t="s">
        <v>324</v>
      </c>
      <c r="F142" s="76" t="s">
        <v>44</v>
      </c>
      <c r="G142" s="76" t="s">
        <v>34</v>
      </c>
      <c r="H142" s="76">
        <f>STOCK[[#This Row],[Precio Final]]</f>
        <v>12</v>
      </c>
      <c r="I142" s="76">
        <f>STOCK[[#This Row],[Precio Venta Ideal (x1.5)]]</f>
        <v>12.6683333333333</v>
      </c>
      <c r="J142" s="91">
        <v>1</v>
      </c>
      <c r="K142" s="91">
        <f>SUMIFS(VENTAS[Cantidad],VENTAS[Código del producto Vendido],STOCK[[#This Row],[Code]])</f>
        <v>1</v>
      </c>
      <c r="L142" s="91">
        <f>STOCK[[#This Row],[Entradas]]-STOCK[[#This Row],[Salidas]]</f>
        <v>0</v>
      </c>
      <c r="M142" s="76">
        <f>STOCK[[#This Row],[Precio Final]]*10%</f>
        <v>1.2</v>
      </c>
      <c r="N142" s="76">
        <v>99.82</v>
      </c>
      <c r="O142" s="76">
        <v>18</v>
      </c>
      <c r="P142" s="76">
        <v>5.54555555555556</v>
      </c>
      <c r="Q142" s="91">
        <v>100</v>
      </c>
      <c r="R142" s="76">
        <v>17</v>
      </c>
      <c r="S142" s="76">
        <f>STOCK[[#This Row],[Peso (g)]]*STOCK[[#This Row],[Precio Envío Kilogramo (USD)]]/1000</f>
        <v>1.7</v>
      </c>
      <c r="T142" s="76">
        <f>STOCK[[#This Row],[Costo Unitario (USD)]]+STOCK[[#This Row],[Costo Envío (USD)]]+STOCK[[#This Row],[Comisión 10%]]</f>
        <v>8.44555555555556</v>
      </c>
      <c r="U142" s="76">
        <f>STOCK[[#This Row],[Costo total]]*1.5</f>
        <v>12.6683333333333</v>
      </c>
      <c r="V142" s="76">
        <v>12</v>
      </c>
      <c r="W142" s="76">
        <f>STOCK[[#This Row],[Precio Final]]-STOCK[[#This Row],[Costo total]]</f>
        <v>3.55444444444444</v>
      </c>
      <c r="X142" s="76">
        <f>STOCK[[#This Row],[Ganancia Unitaria]]*STOCK[[#This Row],[Salidas]]</f>
        <v>3.55444444444444</v>
      </c>
      <c r="AA142" s="76">
        <f>STOCK[[#This Row],[Costo total]]*STOCK[[#This Row],[Entradas]]</f>
        <v>8.44555555555556</v>
      </c>
      <c r="AB142" s="76">
        <f>STOCK[[#This Row],[Stock Actual]]*STOCK[[#This Row],[Costo total]]</f>
        <v>0</v>
      </c>
    </row>
    <row r="143" s="77" customFormat="1" ht="50" customHeight="1" spans="1:28">
      <c r="A143" s="77" t="s">
        <v>325</v>
      </c>
      <c r="B143" s="6"/>
      <c r="C143" s="77" t="s">
        <v>30</v>
      </c>
      <c r="D143" s="77" t="s">
        <v>42</v>
      </c>
      <c r="E143" s="77" t="s">
        <v>326</v>
      </c>
      <c r="F143" s="77" t="s">
        <v>86</v>
      </c>
      <c r="G143" s="77" t="s">
        <v>34</v>
      </c>
      <c r="H143" s="77">
        <f>STOCK[[#This Row],[Precio Final]]</f>
        <v>20</v>
      </c>
      <c r="I143" s="77">
        <f>STOCK[[#This Row],[Precio Venta Ideal (x1.5)]]</f>
        <v>22.525</v>
      </c>
      <c r="J143" s="92">
        <v>0</v>
      </c>
      <c r="K143" s="92">
        <f>SUMIFS(VENTAS[Cantidad],VENTAS[Código del producto Vendido],STOCK[[#This Row],[Code]])</f>
        <v>0</v>
      </c>
      <c r="L143" s="92">
        <f>STOCK[[#This Row],[Entradas]]-STOCK[[#This Row],[Salidas]]</f>
        <v>0</v>
      </c>
      <c r="M143" s="77">
        <f>STOCK[[#This Row],[Precio Final]]*10%</f>
        <v>2</v>
      </c>
      <c r="N143" s="77">
        <v>180.75</v>
      </c>
      <c r="O143" s="77">
        <v>18</v>
      </c>
      <c r="P143" s="77">
        <v>10.0416666666667</v>
      </c>
      <c r="Q143" s="92">
        <v>175</v>
      </c>
      <c r="R143" s="77">
        <v>17</v>
      </c>
      <c r="S143" s="77">
        <f>STOCK[[#This Row],[Peso (g)]]*STOCK[[#This Row],[Precio Envío Kilogramo (USD)]]/1000</f>
        <v>2.975</v>
      </c>
      <c r="T143" s="76">
        <f>STOCK[[#This Row],[Costo Unitario (USD)]]+STOCK[[#This Row],[Costo Envío (USD)]]+STOCK[[#This Row],[Comisión 10%]]</f>
        <v>15.0166666666667</v>
      </c>
      <c r="U143" s="77">
        <f>STOCK[[#This Row],[Costo total]]*1.5</f>
        <v>22.525</v>
      </c>
      <c r="V143" s="77">
        <v>20</v>
      </c>
      <c r="W143" s="77">
        <f>STOCK[[#This Row],[Precio Final]]-STOCK[[#This Row],[Costo total]]</f>
        <v>4.9833333333333</v>
      </c>
      <c r="X143" s="77">
        <f>STOCK[[#This Row],[Ganancia Unitaria]]*STOCK[[#This Row],[Salidas]]</f>
        <v>0</v>
      </c>
      <c r="AA143" s="77">
        <f>STOCK[[#This Row],[Costo total]]*STOCK[[#This Row],[Entradas]]</f>
        <v>0</v>
      </c>
      <c r="AB143" s="77">
        <f>STOCK[[#This Row],[Stock Actual]]*STOCK[[#This Row],[Costo total]]</f>
        <v>0</v>
      </c>
    </row>
    <row r="144" s="76" customFormat="1" ht="50" customHeight="1" spans="1:28">
      <c r="A144" s="76" t="s">
        <v>327</v>
      </c>
      <c r="B144" s="6"/>
      <c r="C144" s="76" t="s">
        <v>30</v>
      </c>
      <c r="D144" s="76" t="s">
        <v>42</v>
      </c>
      <c r="E144" s="76" t="s">
        <v>328</v>
      </c>
      <c r="F144" s="76" t="s">
        <v>44</v>
      </c>
      <c r="G144" s="76" t="s">
        <v>34</v>
      </c>
      <c r="H144" s="76">
        <f>STOCK[[#This Row],[Precio Final]]</f>
        <v>16</v>
      </c>
      <c r="I144" s="76">
        <f>STOCK[[#This Row],[Precio Venta Ideal (x1.5)]]</f>
        <v>20.61</v>
      </c>
      <c r="J144" s="91">
        <v>1</v>
      </c>
      <c r="K144" s="91">
        <f>SUMIFS(VENTAS[Cantidad],VENTAS[Código del producto Vendido],STOCK[[#This Row],[Code]])</f>
        <v>1</v>
      </c>
      <c r="L144" s="91">
        <f>STOCK[[#This Row],[Entradas]]-STOCK[[#This Row],[Salidas]]</f>
        <v>0</v>
      </c>
      <c r="M144" s="76">
        <f>STOCK[[#This Row],[Precio Final]]*10%</f>
        <v>1.6</v>
      </c>
      <c r="N144" s="76">
        <v>142.02</v>
      </c>
      <c r="O144" s="76">
        <v>18</v>
      </c>
      <c r="P144" s="76">
        <v>7.89</v>
      </c>
      <c r="Q144" s="91">
        <v>250</v>
      </c>
      <c r="R144" s="76">
        <v>17</v>
      </c>
      <c r="S144" s="76">
        <f>STOCK[[#This Row],[Peso (g)]]*STOCK[[#This Row],[Precio Envío Kilogramo (USD)]]/1000</f>
        <v>4.25</v>
      </c>
      <c r="T144" s="76">
        <f>STOCK[[#This Row],[Costo Unitario (USD)]]+STOCK[[#This Row],[Costo Envío (USD)]]+STOCK[[#This Row],[Comisión 10%]]</f>
        <v>13.74</v>
      </c>
      <c r="U144" s="76">
        <f>STOCK[[#This Row],[Costo total]]*1.5</f>
        <v>20.61</v>
      </c>
      <c r="V144" s="76">
        <v>16</v>
      </c>
      <c r="W144" s="76">
        <f>STOCK[[#This Row],[Precio Final]]-STOCK[[#This Row],[Costo total]]</f>
        <v>2.26</v>
      </c>
      <c r="X144" s="76">
        <f>STOCK[[#This Row],[Ganancia Unitaria]]*STOCK[[#This Row],[Salidas]]</f>
        <v>2.26</v>
      </c>
      <c r="AA144" s="76">
        <f>STOCK[[#This Row],[Costo total]]*STOCK[[#This Row],[Entradas]]</f>
        <v>13.74</v>
      </c>
      <c r="AB144" s="76">
        <f>STOCK[[#This Row],[Stock Actual]]*STOCK[[#This Row],[Costo total]]</f>
        <v>0</v>
      </c>
    </row>
    <row r="145" s="77" customFormat="1" ht="50" customHeight="1" spans="1:28">
      <c r="A145" s="77" t="s">
        <v>329</v>
      </c>
      <c r="B145" s="6"/>
      <c r="C145" s="77" t="s">
        <v>30</v>
      </c>
      <c r="D145" s="77" t="s">
        <v>42</v>
      </c>
      <c r="E145" s="77" t="s">
        <v>330</v>
      </c>
      <c r="F145" s="77" t="s">
        <v>210</v>
      </c>
      <c r="G145" s="77" t="s">
        <v>34</v>
      </c>
      <c r="H145" s="77">
        <f>STOCK[[#This Row],[Precio Final]]</f>
        <v>20</v>
      </c>
      <c r="I145" s="77">
        <f>STOCK[[#This Row],[Precio Venta Ideal (x1.5)]]</f>
        <v>21.21</v>
      </c>
      <c r="J145" s="92">
        <v>1</v>
      </c>
      <c r="K145" s="92">
        <f>SUMIFS(VENTAS[Cantidad],VENTAS[Código del producto Vendido],STOCK[[#This Row],[Code]])</f>
        <v>1</v>
      </c>
      <c r="L145" s="92">
        <f>STOCK[[#This Row],[Entradas]]-STOCK[[#This Row],[Salidas]]</f>
        <v>0</v>
      </c>
      <c r="M145" s="77">
        <f>STOCK[[#This Row],[Precio Final]]*10%</f>
        <v>2</v>
      </c>
      <c r="N145" s="77">
        <v>142.02</v>
      </c>
      <c r="O145" s="77">
        <v>18</v>
      </c>
      <c r="P145" s="77">
        <v>7.89</v>
      </c>
      <c r="Q145" s="92">
        <v>250</v>
      </c>
      <c r="R145" s="77">
        <v>17</v>
      </c>
      <c r="S145" s="77">
        <f>STOCK[[#This Row],[Peso (g)]]*STOCK[[#This Row],[Precio Envío Kilogramo (USD)]]/1000</f>
        <v>4.25</v>
      </c>
      <c r="T145" s="76">
        <f>STOCK[[#This Row],[Costo Unitario (USD)]]+STOCK[[#This Row],[Costo Envío (USD)]]+STOCK[[#This Row],[Comisión 10%]]</f>
        <v>14.14</v>
      </c>
      <c r="U145" s="77">
        <f>STOCK[[#This Row],[Costo total]]*1.5</f>
        <v>21.21</v>
      </c>
      <c r="V145" s="77">
        <v>20</v>
      </c>
      <c r="W145" s="77">
        <f>STOCK[[#This Row],[Precio Final]]-STOCK[[#This Row],[Costo total]]</f>
        <v>5.86</v>
      </c>
      <c r="X145" s="77">
        <f>STOCK[[#This Row],[Ganancia Unitaria]]*STOCK[[#This Row],[Salidas]]</f>
        <v>5.86</v>
      </c>
      <c r="AA145" s="77">
        <f>STOCK[[#This Row],[Costo total]]*STOCK[[#This Row],[Entradas]]</f>
        <v>14.14</v>
      </c>
      <c r="AB145" s="77">
        <f>STOCK[[#This Row],[Stock Actual]]*STOCK[[#This Row],[Costo total]]</f>
        <v>0</v>
      </c>
    </row>
    <row r="146" s="76" customFormat="1" ht="50" customHeight="1" spans="1:28">
      <c r="A146" s="76" t="s">
        <v>331</v>
      </c>
      <c r="B146" s="6"/>
      <c r="C146" s="76" t="s">
        <v>30</v>
      </c>
      <c r="D146" s="76" t="s">
        <v>42</v>
      </c>
      <c r="E146" s="76" t="s">
        <v>332</v>
      </c>
      <c r="F146" s="76" t="s">
        <v>280</v>
      </c>
      <c r="G146" s="76" t="s">
        <v>34</v>
      </c>
      <c r="H146" s="76">
        <f>STOCK[[#This Row],[Precio Final]]</f>
        <v>16</v>
      </c>
      <c r="I146" s="76">
        <f>STOCK[[#This Row],[Precio Venta Ideal (x1.5)]]</f>
        <v>16.7425</v>
      </c>
      <c r="J146" s="91">
        <v>1</v>
      </c>
      <c r="K146" s="91">
        <f>SUMIFS(VENTAS[Cantidad],VENTAS[Código del producto Vendido],STOCK[[#This Row],[Code]])</f>
        <v>1</v>
      </c>
      <c r="L146" s="91">
        <f>STOCK[[#This Row],[Entradas]]-STOCK[[#This Row],[Salidas]]</f>
        <v>0</v>
      </c>
      <c r="M146" s="76">
        <f>STOCK[[#This Row],[Precio Final]]*10%</f>
        <v>1.6</v>
      </c>
      <c r="N146" s="76">
        <v>110.91</v>
      </c>
      <c r="O146" s="76">
        <v>18</v>
      </c>
      <c r="P146" s="76">
        <v>6.16166666666667</v>
      </c>
      <c r="Q146" s="91">
        <v>200</v>
      </c>
      <c r="R146" s="76">
        <v>17</v>
      </c>
      <c r="S146" s="76">
        <f>STOCK[[#This Row],[Peso (g)]]*STOCK[[#This Row],[Precio Envío Kilogramo (USD)]]/1000</f>
        <v>3.4</v>
      </c>
      <c r="T146" s="76">
        <f>STOCK[[#This Row],[Costo Unitario (USD)]]+STOCK[[#This Row],[Costo Envío (USD)]]+STOCK[[#This Row],[Comisión 10%]]</f>
        <v>11.1616666666667</v>
      </c>
      <c r="U146" s="76">
        <f>STOCK[[#This Row],[Costo total]]*1.5</f>
        <v>16.7425</v>
      </c>
      <c r="V146" s="76">
        <v>16</v>
      </c>
      <c r="W146" s="76">
        <f>STOCK[[#This Row],[Precio Final]]-STOCK[[#This Row],[Costo total]]</f>
        <v>4.83833333333333</v>
      </c>
      <c r="X146" s="76">
        <f>STOCK[[#This Row],[Ganancia Unitaria]]*STOCK[[#This Row],[Salidas]]</f>
        <v>4.83833333333333</v>
      </c>
      <c r="AA146" s="76">
        <f>STOCK[[#This Row],[Costo total]]*STOCK[[#This Row],[Entradas]]</f>
        <v>11.1616666666667</v>
      </c>
      <c r="AB146" s="76">
        <f>STOCK[[#This Row],[Stock Actual]]*STOCK[[#This Row],[Costo total]]</f>
        <v>0</v>
      </c>
    </row>
    <row r="147" s="77" customFormat="1" ht="50" customHeight="1" spans="1:28">
      <c r="A147" s="77" t="s">
        <v>333</v>
      </c>
      <c r="B147" s="6"/>
      <c r="C147" s="77" t="s">
        <v>30</v>
      </c>
      <c r="D147" s="77" t="s">
        <v>42</v>
      </c>
      <c r="E147" s="77" t="s">
        <v>334</v>
      </c>
      <c r="F147" s="77" t="s">
        <v>38</v>
      </c>
      <c r="G147" s="77" t="s">
        <v>34</v>
      </c>
      <c r="H147" s="77">
        <f>STOCK[[#This Row],[Precio Final]]</f>
        <v>15</v>
      </c>
      <c r="I147" s="77">
        <f>STOCK[[#This Row],[Precio Venta Ideal (x1.5)]]</f>
        <v>21.3325</v>
      </c>
      <c r="J147" s="92">
        <v>1</v>
      </c>
      <c r="K147" s="92">
        <f>SUMIFS(VENTAS[Cantidad],VENTAS[Código del producto Vendido],STOCK[[#This Row],[Code]])</f>
        <v>1</v>
      </c>
      <c r="L147" s="92">
        <f>STOCK[[#This Row],[Entradas]]-STOCK[[#This Row],[Salidas]]</f>
        <v>0</v>
      </c>
      <c r="M147" s="77">
        <f>STOCK[[#This Row],[Precio Final]]*10%</f>
        <v>1.5</v>
      </c>
      <c r="N147" s="77">
        <v>152.49</v>
      </c>
      <c r="O147" s="77">
        <v>18</v>
      </c>
      <c r="P147" s="77">
        <v>8.47166666666667</v>
      </c>
      <c r="Q147" s="92">
        <v>250</v>
      </c>
      <c r="R147" s="77">
        <v>17</v>
      </c>
      <c r="S147" s="77">
        <f>STOCK[[#This Row],[Peso (g)]]*STOCK[[#This Row],[Precio Envío Kilogramo (USD)]]/1000</f>
        <v>4.25</v>
      </c>
      <c r="T147" s="76">
        <f>STOCK[[#This Row],[Costo Unitario (USD)]]+STOCK[[#This Row],[Costo Envío (USD)]]+STOCK[[#This Row],[Comisión 10%]]</f>
        <v>14.2216666666667</v>
      </c>
      <c r="U147" s="77">
        <f>STOCK[[#This Row],[Costo total]]*1.5</f>
        <v>21.3325</v>
      </c>
      <c r="V147" s="77">
        <v>15</v>
      </c>
      <c r="W147" s="77">
        <f>STOCK[[#This Row],[Precio Final]]-STOCK[[#This Row],[Costo total]]</f>
        <v>0.778333333333331</v>
      </c>
      <c r="X147" s="77">
        <f>STOCK[[#This Row],[Ganancia Unitaria]]*STOCK[[#This Row],[Salidas]]</f>
        <v>0.778333333333331</v>
      </c>
      <c r="AA147" s="77">
        <f>STOCK[[#This Row],[Costo total]]*STOCK[[#This Row],[Entradas]]</f>
        <v>14.2216666666667</v>
      </c>
      <c r="AB147" s="77">
        <f>STOCK[[#This Row],[Stock Actual]]*STOCK[[#This Row],[Costo total]]</f>
        <v>0</v>
      </c>
    </row>
    <row r="148" s="76" customFormat="1" ht="50" customHeight="1" spans="1:28">
      <c r="A148" s="76" t="s">
        <v>335</v>
      </c>
      <c r="B148" s="6"/>
      <c r="C148" s="76" t="s">
        <v>30</v>
      </c>
      <c r="D148" s="76" t="s">
        <v>42</v>
      </c>
      <c r="E148" s="76" t="s">
        <v>334</v>
      </c>
      <c r="F148" s="76" t="s">
        <v>60</v>
      </c>
      <c r="G148" s="76" t="s">
        <v>34</v>
      </c>
      <c r="H148" s="76">
        <f>STOCK[[#This Row],[Precio Final]]</f>
        <v>25</v>
      </c>
      <c r="I148" s="76">
        <f>STOCK[[#This Row],[Precio Venta Ideal (x1.5)]]</f>
        <v>22.8325</v>
      </c>
      <c r="J148" s="91">
        <v>1</v>
      </c>
      <c r="K148" s="91">
        <f>SUMIFS(VENTAS[Cantidad],VENTAS[Código del producto Vendido],STOCK[[#This Row],[Code]])</f>
        <v>1</v>
      </c>
      <c r="L148" s="91">
        <f>STOCK[[#This Row],[Entradas]]-STOCK[[#This Row],[Salidas]]</f>
        <v>0</v>
      </c>
      <c r="M148" s="76">
        <f>STOCK[[#This Row],[Precio Final]]*10%</f>
        <v>2.5</v>
      </c>
      <c r="N148" s="76">
        <v>152.49</v>
      </c>
      <c r="O148" s="76">
        <v>18</v>
      </c>
      <c r="P148" s="76">
        <v>8.47166666666667</v>
      </c>
      <c r="Q148" s="91">
        <v>250</v>
      </c>
      <c r="R148" s="76">
        <v>17</v>
      </c>
      <c r="S148" s="76">
        <f>STOCK[[#This Row],[Peso (g)]]*STOCK[[#This Row],[Precio Envío Kilogramo (USD)]]/1000</f>
        <v>4.25</v>
      </c>
      <c r="T148" s="76">
        <f>STOCK[[#This Row],[Costo Unitario (USD)]]+STOCK[[#This Row],[Costo Envío (USD)]]+STOCK[[#This Row],[Comisión 10%]]</f>
        <v>15.2216666666667</v>
      </c>
      <c r="U148" s="76">
        <f>STOCK[[#This Row],[Costo total]]*1.5</f>
        <v>22.8325</v>
      </c>
      <c r="V148" s="76">
        <v>25</v>
      </c>
      <c r="W148" s="76">
        <f>STOCK[[#This Row],[Precio Final]]-STOCK[[#This Row],[Costo total]]</f>
        <v>9.77833333333333</v>
      </c>
      <c r="X148" s="76">
        <f>STOCK[[#This Row],[Ganancia Unitaria]]*STOCK[[#This Row],[Salidas]]</f>
        <v>9.77833333333333</v>
      </c>
      <c r="AA148" s="76">
        <f>STOCK[[#This Row],[Costo total]]*STOCK[[#This Row],[Entradas]]</f>
        <v>15.2216666666667</v>
      </c>
      <c r="AB148" s="76">
        <f>STOCK[[#This Row],[Stock Actual]]*STOCK[[#This Row],[Costo total]]</f>
        <v>0</v>
      </c>
    </row>
    <row r="149" s="77" customFormat="1" ht="50" customHeight="1" spans="1:29">
      <c r="A149" s="77" t="s">
        <v>336</v>
      </c>
      <c r="B149" s="6"/>
      <c r="C149" s="77" t="s">
        <v>30</v>
      </c>
      <c r="D149" s="77" t="s">
        <v>215</v>
      </c>
      <c r="E149" s="77" t="s">
        <v>337</v>
      </c>
      <c r="F149" s="77" t="s">
        <v>338</v>
      </c>
      <c r="G149" s="77" t="s">
        <v>34</v>
      </c>
      <c r="H149" s="77">
        <f>STOCK[[#This Row],[Precio Final]]</f>
        <v>30</v>
      </c>
      <c r="I149" s="77">
        <f>STOCK[[#This Row],[Precio Venta Ideal (x1.5)]]</f>
        <v>26.2108333333334</v>
      </c>
      <c r="J149" s="92">
        <v>1</v>
      </c>
      <c r="K149" s="92">
        <f>SUMIFS(VENTAS[Cantidad],VENTAS[Código del producto Vendido],STOCK[[#This Row],[Code]])</f>
        <v>0</v>
      </c>
      <c r="L149" s="92">
        <f>STOCK[[#This Row],[Entradas]]-STOCK[[#This Row],[Salidas]]</f>
        <v>1</v>
      </c>
      <c r="M149" s="77">
        <f>STOCK[[#This Row],[Precio Final]]*10%</f>
        <v>3</v>
      </c>
      <c r="N149" s="77">
        <v>191.68</v>
      </c>
      <c r="O149" s="77">
        <v>18</v>
      </c>
      <c r="P149" s="77">
        <v>10.6488888888889</v>
      </c>
      <c r="Q149" s="92">
        <v>225</v>
      </c>
      <c r="R149" s="77">
        <v>17</v>
      </c>
      <c r="S149" s="77">
        <f>STOCK[[#This Row],[Peso (g)]]*STOCK[[#This Row],[Precio Envío Kilogramo (USD)]]/1000</f>
        <v>3.825</v>
      </c>
      <c r="T149" s="76">
        <f>STOCK[[#This Row],[Costo Unitario (USD)]]+STOCK[[#This Row],[Costo Envío (USD)]]+STOCK[[#This Row],[Comisión 10%]]</f>
        <v>17.4738888888889</v>
      </c>
      <c r="U149" s="77">
        <f>STOCK[[#This Row],[Costo total]]*1.5</f>
        <v>26.2108333333334</v>
      </c>
      <c r="V149" s="77">
        <v>30</v>
      </c>
      <c r="W149" s="77">
        <f>STOCK[[#This Row],[Precio Final]]-STOCK[[#This Row],[Costo total]]</f>
        <v>12.5261111111111</v>
      </c>
      <c r="X149" s="77">
        <f>STOCK[[#This Row],[Ganancia Unitaria]]*STOCK[[#This Row],[Salidas]]</f>
        <v>0</v>
      </c>
      <c r="AA149" s="77">
        <f>STOCK[[#This Row],[Costo total]]*STOCK[[#This Row],[Entradas]]</f>
        <v>17.4738888888889</v>
      </c>
      <c r="AB149" s="77">
        <f>STOCK[[#This Row],[Stock Actual]]*STOCK[[#This Row],[Costo total]]</f>
        <v>17.4738888888889</v>
      </c>
      <c r="AC149" s="77">
        <v>25</v>
      </c>
    </row>
    <row r="150" s="76" customFormat="1" ht="50" customHeight="1" spans="1:29">
      <c r="A150" s="76" t="s">
        <v>339</v>
      </c>
      <c r="B150" s="6"/>
      <c r="C150" s="76" t="s">
        <v>30</v>
      </c>
      <c r="D150" s="77" t="s">
        <v>215</v>
      </c>
      <c r="E150" s="76" t="s">
        <v>337</v>
      </c>
      <c r="F150" s="76" t="s">
        <v>60</v>
      </c>
      <c r="G150" s="76" t="s">
        <v>34</v>
      </c>
      <c r="H150" s="76">
        <f>STOCK[[#This Row],[Precio Final]]</f>
        <v>30</v>
      </c>
      <c r="I150" s="76">
        <f>STOCK[[#This Row],[Precio Venta Ideal (x1.5)]]</f>
        <v>26.2108333333334</v>
      </c>
      <c r="J150" s="91">
        <v>1</v>
      </c>
      <c r="K150" s="91">
        <f>SUMIFS(VENTAS[Cantidad],VENTAS[Código del producto Vendido],STOCK[[#This Row],[Code]])</f>
        <v>0</v>
      </c>
      <c r="L150" s="91">
        <f>STOCK[[#This Row],[Entradas]]-STOCK[[#This Row],[Salidas]]</f>
        <v>1</v>
      </c>
      <c r="M150" s="76">
        <f>STOCK[[#This Row],[Precio Final]]*10%</f>
        <v>3</v>
      </c>
      <c r="N150" s="76">
        <v>191.68</v>
      </c>
      <c r="O150" s="76">
        <v>18</v>
      </c>
      <c r="P150" s="76">
        <v>10.6488888888889</v>
      </c>
      <c r="Q150" s="91">
        <v>225</v>
      </c>
      <c r="R150" s="76">
        <v>17</v>
      </c>
      <c r="S150" s="76">
        <f>STOCK[[#This Row],[Peso (g)]]*STOCK[[#This Row],[Precio Envío Kilogramo (USD)]]/1000</f>
        <v>3.825</v>
      </c>
      <c r="T150" s="76">
        <f>STOCK[[#This Row],[Costo Unitario (USD)]]+STOCK[[#This Row],[Costo Envío (USD)]]+STOCK[[#This Row],[Comisión 10%]]</f>
        <v>17.4738888888889</v>
      </c>
      <c r="U150" s="76">
        <f>STOCK[[#This Row],[Costo total]]*1.5</f>
        <v>26.2108333333334</v>
      </c>
      <c r="V150" s="76">
        <v>30</v>
      </c>
      <c r="W150" s="76">
        <f>STOCK[[#This Row],[Precio Final]]-STOCK[[#This Row],[Costo total]]</f>
        <v>12.5261111111111</v>
      </c>
      <c r="X150" s="76">
        <f>STOCK[[#This Row],[Ganancia Unitaria]]*STOCK[[#This Row],[Salidas]]</f>
        <v>0</v>
      </c>
      <c r="AA150" s="76">
        <f>STOCK[[#This Row],[Costo total]]*STOCK[[#This Row],[Entradas]]</f>
        <v>17.4738888888889</v>
      </c>
      <c r="AB150" s="76">
        <f>STOCK[[#This Row],[Stock Actual]]*STOCK[[#This Row],[Costo total]]</f>
        <v>17.4738888888889</v>
      </c>
      <c r="AC150" s="76">
        <v>25</v>
      </c>
    </row>
    <row r="151" s="77" customFormat="1" ht="50" customHeight="1" spans="1:29">
      <c r="A151" s="77" t="s">
        <v>340</v>
      </c>
      <c r="B151" s="6"/>
      <c r="C151" s="77" t="s">
        <v>30</v>
      </c>
      <c r="D151" s="77" t="s">
        <v>215</v>
      </c>
      <c r="E151" s="77" t="s">
        <v>337</v>
      </c>
      <c r="F151" s="77" t="s">
        <v>47</v>
      </c>
      <c r="G151" s="77" t="s">
        <v>34</v>
      </c>
      <c r="H151" s="77">
        <f>STOCK[[#This Row],[Precio Final]]</f>
        <v>30</v>
      </c>
      <c r="I151" s="77">
        <f>STOCK[[#This Row],[Precio Venta Ideal (x1.5)]]</f>
        <v>26.2108333333334</v>
      </c>
      <c r="J151" s="92">
        <v>1</v>
      </c>
      <c r="K151" s="92">
        <f>SUMIFS(VENTAS[Cantidad],VENTAS[Código del producto Vendido],STOCK[[#This Row],[Code]])</f>
        <v>0</v>
      </c>
      <c r="L151" s="92">
        <f>STOCK[[#This Row],[Entradas]]-STOCK[[#This Row],[Salidas]]</f>
        <v>1</v>
      </c>
      <c r="M151" s="77">
        <f>STOCK[[#This Row],[Precio Final]]*10%</f>
        <v>3</v>
      </c>
      <c r="N151" s="77">
        <v>191.68</v>
      </c>
      <c r="O151" s="77">
        <v>18</v>
      </c>
      <c r="P151" s="77">
        <v>10.6488888888889</v>
      </c>
      <c r="Q151" s="92">
        <v>225</v>
      </c>
      <c r="R151" s="77">
        <v>17</v>
      </c>
      <c r="S151" s="77">
        <f>STOCK[[#This Row],[Peso (g)]]*STOCK[[#This Row],[Precio Envío Kilogramo (USD)]]/1000</f>
        <v>3.825</v>
      </c>
      <c r="T151" s="76">
        <f>STOCK[[#This Row],[Costo Unitario (USD)]]+STOCK[[#This Row],[Costo Envío (USD)]]+STOCK[[#This Row],[Comisión 10%]]</f>
        <v>17.4738888888889</v>
      </c>
      <c r="U151" s="77">
        <f>STOCK[[#This Row],[Costo total]]*1.5</f>
        <v>26.2108333333334</v>
      </c>
      <c r="V151" s="77">
        <v>30</v>
      </c>
      <c r="W151" s="77">
        <f>STOCK[[#This Row],[Precio Final]]-STOCK[[#This Row],[Costo total]]</f>
        <v>12.5261111111111</v>
      </c>
      <c r="X151" s="77">
        <f>STOCK[[#This Row],[Ganancia Unitaria]]*STOCK[[#This Row],[Salidas]]</f>
        <v>0</v>
      </c>
      <c r="AA151" s="77">
        <f>STOCK[[#This Row],[Costo total]]*STOCK[[#This Row],[Entradas]]</f>
        <v>17.4738888888889</v>
      </c>
      <c r="AB151" s="77">
        <f>STOCK[[#This Row],[Stock Actual]]*STOCK[[#This Row],[Costo total]]</f>
        <v>17.4738888888889</v>
      </c>
      <c r="AC151" s="77">
        <v>25</v>
      </c>
    </row>
    <row r="152" s="76" customFormat="1" ht="50" customHeight="1" spans="1:29">
      <c r="A152" s="76" t="s">
        <v>341</v>
      </c>
      <c r="B152" s="6"/>
      <c r="C152" s="76" t="s">
        <v>30</v>
      </c>
      <c r="D152" s="77" t="s">
        <v>293</v>
      </c>
      <c r="E152" s="76" t="s">
        <v>342</v>
      </c>
      <c r="F152" s="76" t="s">
        <v>38</v>
      </c>
      <c r="G152" s="76" t="s">
        <v>34</v>
      </c>
      <c r="H152" s="76">
        <f>STOCK[[#This Row],[Precio Final]]</f>
        <v>12</v>
      </c>
      <c r="I152" s="76">
        <f>STOCK[[#This Row],[Precio Venta Ideal (x1.5)]]</f>
        <v>8.95000000000001</v>
      </c>
      <c r="J152" s="91">
        <v>2</v>
      </c>
      <c r="K152" s="91">
        <f>SUMIFS(VENTAS[Cantidad],VENTAS[Código del producto Vendido],STOCK[[#This Row],[Code]])</f>
        <v>1</v>
      </c>
      <c r="L152" s="91">
        <f>STOCK[[#This Row],[Entradas]]-STOCK[[#This Row],[Salidas]]</f>
        <v>1</v>
      </c>
      <c r="M152" s="76">
        <f>STOCK[[#This Row],[Precio Final]]*10%</f>
        <v>1.2</v>
      </c>
      <c r="N152" s="76">
        <v>71.4</v>
      </c>
      <c r="O152" s="76">
        <v>18</v>
      </c>
      <c r="P152" s="76">
        <v>3.96666666666667</v>
      </c>
      <c r="Q152" s="91">
        <v>100</v>
      </c>
      <c r="R152" s="76">
        <v>8</v>
      </c>
      <c r="S152" s="76">
        <f>STOCK[[#This Row],[Peso (g)]]*STOCK[[#This Row],[Precio Envío Kilogramo (USD)]]/1000</f>
        <v>0.8</v>
      </c>
      <c r="T152" s="76">
        <f>STOCK[[#This Row],[Costo Unitario (USD)]]+STOCK[[#This Row],[Costo Envío (USD)]]+STOCK[[#This Row],[Comisión 10%]]</f>
        <v>5.96666666666667</v>
      </c>
      <c r="U152" s="76">
        <f>STOCK[[#This Row],[Costo total]]*1.5</f>
        <v>8.95000000000001</v>
      </c>
      <c r="V152" s="76">
        <v>12</v>
      </c>
      <c r="W152" s="76">
        <f>STOCK[[#This Row],[Precio Final]]-STOCK[[#This Row],[Costo total]]</f>
        <v>6.03333333333333</v>
      </c>
      <c r="X152" s="76">
        <f>STOCK[[#This Row],[Ganancia Unitaria]]*STOCK[[#This Row],[Salidas]]</f>
        <v>6.03333333333333</v>
      </c>
      <c r="AA152" s="76">
        <f>STOCK[[#This Row],[Costo total]]*STOCK[[#This Row],[Entradas]]</f>
        <v>11.9333333333333</v>
      </c>
      <c r="AB152" s="76">
        <f>STOCK[[#This Row],[Stock Actual]]*STOCK[[#This Row],[Costo total]]</f>
        <v>5.96666666666667</v>
      </c>
      <c r="AC152" s="76">
        <v>8</v>
      </c>
    </row>
    <row r="153" s="77" customFormat="1" ht="50" customHeight="1" spans="1:28">
      <c r="A153" s="77" t="s">
        <v>343</v>
      </c>
      <c r="B153" s="6"/>
      <c r="C153" s="77" t="s">
        <v>30</v>
      </c>
      <c r="D153" s="77" t="s">
        <v>42</v>
      </c>
      <c r="E153" s="77" t="s">
        <v>344</v>
      </c>
      <c r="F153" s="77" t="s">
        <v>186</v>
      </c>
      <c r="G153" s="77" t="s">
        <v>34</v>
      </c>
      <c r="H153" s="77">
        <f>STOCK[[#This Row],[Precio Final]]</f>
        <v>20</v>
      </c>
      <c r="I153" s="77">
        <f>STOCK[[#This Row],[Precio Venta Ideal (x1.5)]]</f>
        <v>23.1966666666667</v>
      </c>
      <c r="J153" s="92">
        <v>0</v>
      </c>
      <c r="K153" s="92">
        <f>SUMIFS(VENTAS[Cantidad],VENTAS[Código del producto Vendido],STOCK[[#This Row],[Code]])</f>
        <v>0</v>
      </c>
      <c r="L153" s="92">
        <f>STOCK[[#This Row],[Entradas]]-STOCK[[#This Row],[Salidas]]</f>
        <v>0</v>
      </c>
      <c r="M153" s="77">
        <f>STOCK[[#This Row],[Precio Final]]*10%</f>
        <v>2</v>
      </c>
      <c r="N153" s="77">
        <v>165.86</v>
      </c>
      <c r="O153" s="77">
        <v>18</v>
      </c>
      <c r="P153" s="77">
        <v>9.21444444444445</v>
      </c>
      <c r="Q153" s="92">
        <v>250</v>
      </c>
      <c r="R153" s="77">
        <v>17</v>
      </c>
      <c r="S153" s="77">
        <f>STOCK[[#This Row],[Peso (g)]]*STOCK[[#This Row],[Precio Envío Kilogramo (USD)]]/1000</f>
        <v>4.25</v>
      </c>
      <c r="T153" s="76">
        <f>STOCK[[#This Row],[Costo Unitario (USD)]]+STOCK[[#This Row],[Costo Envío (USD)]]+STOCK[[#This Row],[Comisión 10%]]</f>
        <v>15.4644444444444</v>
      </c>
      <c r="U153" s="77">
        <f>STOCK[[#This Row],[Costo total]]*1.5</f>
        <v>23.1966666666667</v>
      </c>
      <c r="V153" s="77">
        <v>20</v>
      </c>
      <c r="W153" s="77">
        <f>STOCK[[#This Row],[Precio Final]]-STOCK[[#This Row],[Costo total]]</f>
        <v>4.53555555555555</v>
      </c>
      <c r="X153" s="77">
        <f>STOCK[[#This Row],[Ganancia Unitaria]]*STOCK[[#This Row],[Salidas]]</f>
        <v>0</v>
      </c>
      <c r="AA153" s="77">
        <f>STOCK[[#This Row],[Costo total]]*STOCK[[#This Row],[Entradas]]</f>
        <v>0</v>
      </c>
      <c r="AB153" s="77">
        <f>STOCK[[#This Row],[Stock Actual]]*STOCK[[#This Row],[Costo total]]</f>
        <v>0</v>
      </c>
    </row>
    <row r="154" s="76" customFormat="1" ht="50" customHeight="1" spans="1:28">
      <c r="A154" s="76" t="s">
        <v>345</v>
      </c>
      <c r="B154" s="6"/>
      <c r="C154" s="76" t="s">
        <v>30</v>
      </c>
      <c r="D154" s="76" t="s">
        <v>42</v>
      </c>
      <c r="E154" s="76" t="s">
        <v>346</v>
      </c>
      <c r="F154" s="76" t="s">
        <v>38</v>
      </c>
      <c r="G154" s="76" t="s">
        <v>34</v>
      </c>
      <c r="H154" s="76">
        <f>STOCK[[#This Row],[Precio Final]]</f>
        <v>30</v>
      </c>
      <c r="I154" s="76">
        <f>STOCK[[#This Row],[Precio Venta Ideal (x1.5)]]</f>
        <v>34.0333333333333</v>
      </c>
      <c r="J154" s="91">
        <v>1</v>
      </c>
      <c r="K154" s="91">
        <f>SUMIFS(VENTAS[Cantidad],VENTAS[Código del producto Vendido],STOCK[[#This Row],[Code]])</f>
        <v>1</v>
      </c>
      <c r="L154" s="91">
        <f>STOCK[[#This Row],[Entradas]]-STOCK[[#This Row],[Salidas]]</f>
        <v>0</v>
      </c>
      <c r="M154" s="76">
        <f>STOCK[[#This Row],[Precio Final]]*10%</f>
        <v>3</v>
      </c>
      <c r="N154" s="76">
        <v>293.2</v>
      </c>
      <c r="O154" s="76">
        <v>18</v>
      </c>
      <c r="P154" s="76">
        <v>16.2888888888889</v>
      </c>
      <c r="Q154" s="91">
        <v>200</v>
      </c>
      <c r="R154" s="76">
        <v>17</v>
      </c>
      <c r="S154" s="76">
        <f>STOCK[[#This Row],[Peso (g)]]*STOCK[[#This Row],[Precio Envío Kilogramo (USD)]]/1000</f>
        <v>3.4</v>
      </c>
      <c r="T154" s="76">
        <f>STOCK[[#This Row],[Costo Unitario (USD)]]+STOCK[[#This Row],[Costo Envío (USD)]]+STOCK[[#This Row],[Comisión 10%]]</f>
        <v>22.6888888888889</v>
      </c>
      <c r="U154" s="76">
        <f>STOCK[[#This Row],[Costo total]]*1.5</f>
        <v>34.0333333333333</v>
      </c>
      <c r="V154" s="76">
        <v>30</v>
      </c>
      <c r="W154" s="76">
        <f>STOCK[[#This Row],[Precio Final]]-STOCK[[#This Row],[Costo total]]</f>
        <v>7.3111111111111</v>
      </c>
      <c r="X154" s="76">
        <f>STOCK[[#This Row],[Ganancia Unitaria]]*STOCK[[#This Row],[Salidas]]</f>
        <v>7.3111111111111</v>
      </c>
      <c r="AA154" s="76">
        <f>STOCK[[#This Row],[Costo total]]*STOCK[[#This Row],[Entradas]]</f>
        <v>22.6888888888889</v>
      </c>
      <c r="AB154" s="76">
        <f>STOCK[[#This Row],[Stock Actual]]*STOCK[[#This Row],[Costo total]]</f>
        <v>0</v>
      </c>
    </row>
    <row r="155" s="77" customFormat="1" ht="50" customHeight="1" spans="1:28">
      <c r="A155" s="77" t="s">
        <v>347</v>
      </c>
      <c r="B155" s="6"/>
      <c r="C155" s="77" t="s">
        <v>30</v>
      </c>
      <c r="D155" s="77" t="s">
        <v>42</v>
      </c>
      <c r="E155" s="77" t="s">
        <v>348</v>
      </c>
      <c r="F155" s="77" t="s">
        <v>60</v>
      </c>
      <c r="G155" s="77" t="s">
        <v>34</v>
      </c>
      <c r="H155" s="77">
        <f>STOCK[[#This Row],[Precio Final]]</f>
        <v>16</v>
      </c>
      <c r="I155" s="77">
        <f>STOCK[[#This Row],[Precio Venta Ideal (x1.5)]]</f>
        <v>18.7058333333333</v>
      </c>
      <c r="J155" s="92">
        <v>1</v>
      </c>
      <c r="K155" s="92">
        <f>SUMIFS(VENTAS[Cantidad],VENTAS[Código del producto Vendido],STOCK[[#This Row],[Code]])</f>
        <v>1</v>
      </c>
      <c r="L155" s="92">
        <f>STOCK[[#This Row],[Entradas]]-STOCK[[#This Row],[Salidas]]</f>
        <v>0</v>
      </c>
      <c r="M155" s="77">
        <f>STOCK[[#This Row],[Precio Final]]*10%</f>
        <v>1.6</v>
      </c>
      <c r="N155" s="77">
        <v>134.47</v>
      </c>
      <c r="O155" s="77">
        <v>18</v>
      </c>
      <c r="P155" s="77">
        <v>7.47055555555556</v>
      </c>
      <c r="Q155" s="92">
        <v>200</v>
      </c>
      <c r="R155" s="77">
        <v>17</v>
      </c>
      <c r="S155" s="77">
        <f>STOCK[[#This Row],[Peso (g)]]*STOCK[[#This Row],[Precio Envío Kilogramo (USD)]]/1000</f>
        <v>3.4</v>
      </c>
      <c r="T155" s="76">
        <f>STOCK[[#This Row],[Costo Unitario (USD)]]+STOCK[[#This Row],[Costo Envío (USD)]]+STOCK[[#This Row],[Comisión 10%]]</f>
        <v>12.4705555555556</v>
      </c>
      <c r="U155" s="77">
        <f>STOCK[[#This Row],[Costo total]]*1.5</f>
        <v>18.7058333333333</v>
      </c>
      <c r="V155" s="77">
        <v>16</v>
      </c>
      <c r="W155" s="77">
        <f>STOCK[[#This Row],[Precio Final]]-STOCK[[#This Row],[Costo total]]</f>
        <v>3.52944444444444</v>
      </c>
      <c r="X155" s="77">
        <f>STOCK[[#This Row],[Ganancia Unitaria]]*STOCK[[#This Row],[Salidas]]</f>
        <v>3.52944444444444</v>
      </c>
      <c r="AA155" s="77">
        <f>STOCK[[#This Row],[Costo total]]*STOCK[[#This Row],[Entradas]]</f>
        <v>12.4705555555556</v>
      </c>
      <c r="AB155" s="77">
        <f>STOCK[[#This Row],[Stock Actual]]*STOCK[[#This Row],[Costo total]]</f>
        <v>0</v>
      </c>
    </row>
    <row r="156" s="76" customFormat="1" ht="50" customHeight="1" spans="1:28">
      <c r="A156" s="76" t="s">
        <v>349</v>
      </c>
      <c r="B156" s="6"/>
      <c r="C156" s="76" t="s">
        <v>30</v>
      </c>
      <c r="D156" s="76" t="s">
        <v>350</v>
      </c>
      <c r="E156" s="76" t="s">
        <v>351</v>
      </c>
      <c r="F156" s="76" t="s">
        <v>352</v>
      </c>
      <c r="G156" s="76" t="s">
        <v>34</v>
      </c>
      <c r="H156" s="76">
        <f>STOCK[[#This Row],[Precio Final]]</f>
        <v>3</v>
      </c>
      <c r="I156" s="76">
        <f>STOCK[[#This Row],[Precio Venta Ideal (x1.5)]]</f>
        <v>2.25416666666667</v>
      </c>
      <c r="J156" s="91">
        <v>1</v>
      </c>
      <c r="K156" s="91">
        <f>SUMIFS(VENTAS[Cantidad],VENTAS[Código del producto Vendido],STOCK[[#This Row],[Code]])</f>
        <v>1</v>
      </c>
      <c r="L156" s="91">
        <f>STOCK[[#This Row],[Entradas]]-STOCK[[#This Row],[Salidas]]</f>
        <v>0</v>
      </c>
      <c r="M156" s="76">
        <f>STOCK[[#This Row],[Precio Final]]*10%</f>
        <v>0.3</v>
      </c>
      <c r="N156" s="76">
        <v>17.33</v>
      </c>
      <c r="O156" s="76">
        <v>18</v>
      </c>
      <c r="P156" s="76">
        <v>0.962777777777778</v>
      </c>
      <c r="Q156" s="91">
        <v>30</v>
      </c>
      <c r="R156" s="76">
        <v>8</v>
      </c>
      <c r="S156" s="76">
        <f>STOCK[[#This Row],[Peso (g)]]*STOCK[[#This Row],[Precio Envío Kilogramo (USD)]]/1000</f>
        <v>0.24</v>
      </c>
      <c r="T156" s="76">
        <f>STOCK[[#This Row],[Costo Unitario (USD)]]+STOCK[[#This Row],[Costo Envío (USD)]]+STOCK[[#This Row],[Comisión 10%]]</f>
        <v>1.50277777777778</v>
      </c>
      <c r="U156" s="76">
        <f>STOCK[[#This Row],[Costo total]]*1.5</f>
        <v>2.25416666666667</v>
      </c>
      <c r="V156" s="76">
        <v>3</v>
      </c>
      <c r="W156" s="76">
        <f>STOCK[[#This Row],[Precio Final]]-STOCK[[#This Row],[Costo total]]</f>
        <v>1.49722222222222</v>
      </c>
      <c r="X156" s="76">
        <f>STOCK[[#This Row],[Ganancia Unitaria]]*STOCK[[#This Row],[Salidas]]</f>
        <v>1.49722222222222</v>
      </c>
      <c r="AA156" s="76">
        <f>STOCK[[#This Row],[Costo total]]*STOCK[[#This Row],[Entradas]]</f>
        <v>1.50277777777778</v>
      </c>
      <c r="AB156" s="76">
        <f>STOCK[[#This Row],[Stock Actual]]*STOCK[[#This Row],[Costo total]]</f>
        <v>0</v>
      </c>
    </row>
    <row r="157" s="77" customFormat="1" ht="50" customHeight="1" spans="1:28">
      <c r="A157" s="77" t="s">
        <v>353</v>
      </c>
      <c r="B157" s="6"/>
      <c r="C157" s="77" t="s">
        <v>30</v>
      </c>
      <c r="D157" s="77" t="s">
        <v>42</v>
      </c>
      <c r="E157" s="77" t="s">
        <v>354</v>
      </c>
      <c r="F157" s="77" t="s">
        <v>38</v>
      </c>
      <c r="G157" s="77" t="s">
        <v>34</v>
      </c>
      <c r="H157" s="77">
        <f>STOCK[[#This Row],[Precio Final]]</f>
        <v>25</v>
      </c>
      <c r="I157" s="77">
        <f>STOCK[[#This Row],[Precio Venta Ideal (x1.5)]]</f>
        <v>25.7491666666667</v>
      </c>
      <c r="J157" s="92">
        <v>1</v>
      </c>
      <c r="K157" s="92">
        <f>SUMIFS(VENTAS[Cantidad],VENTAS[Código del producto Vendido],STOCK[[#This Row],[Code]])</f>
        <v>1</v>
      </c>
      <c r="L157" s="92">
        <f>STOCK[[#This Row],[Entradas]]-STOCK[[#This Row],[Salidas]]</f>
        <v>0</v>
      </c>
      <c r="M157" s="77">
        <f>STOCK[[#This Row],[Precio Final]]*10%</f>
        <v>2.5</v>
      </c>
      <c r="N157" s="77">
        <v>176.78</v>
      </c>
      <c r="O157" s="77">
        <v>18</v>
      </c>
      <c r="P157" s="77">
        <v>9.82111111111111</v>
      </c>
      <c r="Q157" s="92">
        <v>285</v>
      </c>
      <c r="R157" s="77">
        <v>17</v>
      </c>
      <c r="S157" s="77">
        <f>STOCK[[#This Row],[Peso (g)]]*STOCK[[#This Row],[Precio Envío Kilogramo (USD)]]/1000</f>
        <v>4.845</v>
      </c>
      <c r="T157" s="76">
        <f>STOCK[[#This Row],[Costo Unitario (USD)]]+STOCK[[#This Row],[Costo Envío (USD)]]+STOCK[[#This Row],[Comisión 10%]]</f>
        <v>17.1661111111111</v>
      </c>
      <c r="U157" s="77">
        <f>STOCK[[#This Row],[Costo total]]*1.5</f>
        <v>25.7491666666667</v>
      </c>
      <c r="V157" s="77">
        <v>25</v>
      </c>
      <c r="W157" s="77">
        <f>STOCK[[#This Row],[Precio Final]]-STOCK[[#This Row],[Costo total]]</f>
        <v>7.83388888888889</v>
      </c>
      <c r="X157" s="77">
        <f>STOCK[[#This Row],[Ganancia Unitaria]]*STOCK[[#This Row],[Salidas]]</f>
        <v>7.83388888888889</v>
      </c>
      <c r="AA157" s="77">
        <f>STOCK[[#This Row],[Costo total]]*STOCK[[#This Row],[Entradas]]</f>
        <v>17.1661111111111</v>
      </c>
      <c r="AB157" s="77">
        <f>STOCK[[#This Row],[Stock Actual]]*STOCK[[#This Row],[Costo total]]</f>
        <v>0</v>
      </c>
    </row>
    <row r="158" s="76" customFormat="1" ht="50" customHeight="1" spans="1:28">
      <c r="A158" s="76" t="s">
        <v>355</v>
      </c>
      <c r="B158" s="6"/>
      <c r="C158" s="76" t="s">
        <v>30</v>
      </c>
      <c r="D158" s="76" t="s">
        <v>42</v>
      </c>
      <c r="E158" s="76" t="s">
        <v>356</v>
      </c>
      <c r="F158" s="76" t="s">
        <v>44</v>
      </c>
      <c r="G158" s="76" t="s">
        <v>34</v>
      </c>
      <c r="H158" s="76">
        <f>STOCK[[#This Row],[Precio Final]]</f>
        <v>35</v>
      </c>
      <c r="I158" s="76">
        <f>STOCK[[#This Row],[Precio Venta Ideal (x1.5)]]</f>
        <v>34.8491666666667</v>
      </c>
      <c r="J158" s="91">
        <v>1</v>
      </c>
      <c r="K158" s="91">
        <f>SUMIFS(VENTAS[Cantidad],VENTAS[Código del producto Vendido],STOCK[[#This Row],[Code]])</f>
        <v>1</v>
      </c>
      <c r="L158" s="91">
        <f>STOCK[[#This Row],[Entradas]]-STOCK[[#This Row],[Salidas]]</f>
        <v>0</v>
      </c>
      <c r="M158" s="76">
        <f>STOCK[[#This Row],[Precio Final]]*10%</f>
        <v>3.5</v>
      </c>
      <c r="N158" s="76">
        <v>263.39</v>
      </c>
      <c r="O158" s="76">
        <v>18</v>
      </c>
      <c r="P158" s="76">
        <v>14.6327777777778</v>
      </c>
      <c r="Q158" s="91">
        <v>300</v>
      </c>
      <c r="R158" s="76">
        <v>17</v>
      </c>
      <c r="S158" s="76">
        <f>STOCK[[#This Row],[Peso (g)]]*STOCK[[#This Row],[Precio Envío Kilogramo (USD)]]/1000</f>
        <v>5.1</v>
      </c>
      <c r="T158" s="76">
        <f>STOCK[[#This Row],[Costo Unitario (USD)]]+STOCK[[#This Row],[Costo Envío (USD)]]+STOCK[[#This Row],[Comisión 10%]]</f>
        <v>23.2327777777778</v>
      </c>
      <c r="U158" s="76">
        <f>STOCK[[#This Row],[Costo total]]*1.5</f>
        <v>34.8491666666667</v>
      </c>
      <c r="V158" s="76">
        <v>35</v>
      </c>
      <c r="W158" s="76">
        <f>STOCK[[#This Row],[Precio Final]]-STOCK[[#This Row],[Costo total]]</f>
        <v>11.7672222222222</v>
      </c>
      <c r="X158" s="76">
        <f>STOCK[[#This Row],[Ganancia Unitaria]]*STOCK[[#This Row],[Salidas]]</f>
        <v>11.7672222222222</v>
      </c>
      <c r="AA158" s="76">
        <f>STOCK[[#This Row],[Costo total]]*STOCK[[#This Row],[Entradas]]</f>
        <v>23.2327777777778</v>
      </c>
      <c r="AB158" s="76">
        <f>STOCK[[#This Row],[Stock Actual]]*STOCK[[#This Row],[Costo total]]</f>
        <v>0</v>
      </c>
    </row>
    <row r="159" s="77" customFormat="1" ht="50" customHeight="1" spans="1:29">
      <c r="A159" s="77" t="s">
        <v>357</v>
      </c>
      <c r="B159" s="6"/>
      <c r="C159" s="77" t="s">
        <v>30</v>
      </c>
      <c r="D159" s="77" t="s">
        <v>215</v>
      </c>
      <c r="E159" s="77" t="s">
        <v>358</v>
      </c>
      <c r="F159" s="77" t="s">
        <v>38</v>
      </c>
      <c r="G159" s="77" t="s">
        <v>34</v>
      </c>
      <c r="H159" s="77">
        <f>STOCK[[#This Row],[Precio Final]]</f>
        <v>35</v>
      </c>
      <c r="I159" s="77">
        <f>STOCK[[#This Row],[Precio Venta Ideal (x1.5)]]</f>
        <v>26.5066666666667</v>
      </c>
      <c r="J159" s="92">
        <v>1</v>
      </c>
      <c r="K159" s="92">
        <f>SUMIFS(VENTAS[Cantidad],VENTAS[Código del producto Vendido],STOCK[[#This Row],[Code]])</f>
        <v>1</v>
      </c>
      <c r="L159" s="92">
        <f>STOCK[[#This Row],[Entradas]]-STOCK[[#This Row],[Salidas]]</f>
        <v>0</v>
      </c>
      <c r="M159" s="77">
        <f>STOCK[[#This Row],[Precio Final]]*10%</f>
        <v>3.5</v>
      </c>
      <c r="N159" s="77">
        <v>147.98</v>
      </c>
      <c r="O159" s="77">
        <v>18</v>
      </c>
      <c r="P159" s="77">
        <v>8.22111111111111</v>
      </c>
      <c r="Q159" s="92">
        <v>350</v>
      </c>
      <c r="R159" s="77">
        <v>17</v>
      </c>
      <c r="S159" s="77">
        <f>STOCK[[#This Row],[Peso (g)]]*STOCK[[#This Row],[Precio Envío Kilogramo (USD)]]/1000</f>
        <v>5.95</v>
      </c>
      <c r="T159" s="76">
        <f>STOCK[[#This Row],[Costo Unitario (USD)]]+STOCK[[#This Row],[Costo Envío (USD)]]+STOCK[[#This Row],[Comisión 10%]]</f>
        <v>17.6711111111111</v>
      </c>
      <c r="U159" s="77">
        <f>STOCK[[#This Row],[Costo total]]*1.5</f>
        <v>26.5066666666667</v>
      </c>
      <c r="V159" s="77">
        <v>35</v>
      </c>
      <c r="W159" s="77">
        <f>STOCK[[#This Row],[Precio Final]]-STOCK[[#This Row],[Costo total]]</f>
        <v>17.3288888888889</v>
      </c>
      <c r="X159" s="77">
        <f>STOCK[[#This Row],[Ganancia Unitaria]]*STOCK[[#This Row],[Salidas]]</f>
        <v>17.3288888888889</v>
      </c>
      <c r="AA159" s="77">
        <f>STOCK[[#This Row],[Costo total]]*STOCK[[#This Row],[Entradas]]</f>
        <v>17.6711111111111</v>
      </c>
      <c r="AB159" s="77">
        <f>STOCK[[#This Row],[Stock Actual]]*STOCK[[#This Row],[Costo total]]</f>
        <v>0</v>
      </c>
      <c r="AC159" s="77">
        <v>25</v>
      </c>
    </row>
    <row r="160" s="76" customFormat="1" ht="50" customHeight="1" spans="1:28">
      <c r="A160" s="76" t="s">
        <v>359</v>
      </c>
      <c r="B160" s="6"/>
      <c r="C160" s="76" t="s">
        <v>30</v>
      </c>
      <c r="D160" s="76" t="s">
        <v>151</v>
      </c>
      <c r="E160" s="76" t="s">
        <v>360</v>
      </c>
      <c r="F160" s="76" t="s">
        <v>38</v>
      </c>
      <c r="G160" s="76" t="s">
        <v>34</v>
      </c>
      <c r="H160" s="76">
        <f>STOCK[[#This Row],[Precio Final]]</f>
        <v>20</v>
      </c>
      <c r="I160" s="76">
        <f>STOCK[[#This Row],[Precio Venta Ideal (x1.5)]]</f>
        <v>22.325</v>
      </c>
      <c r="J160" s="91">
        <v>1</v>
      </c>
      <c r="K160" s="91">
        <f>SUMIFS(VENTAS[Cantidad],VENTAS[Código del producto Vendido],STOCK[[#This Row],[Code]])</f>
        <v>1</v>
      </c>
      <c r="L160" s="91">
        <f>STOCK[[#This Row],[Entradas]]-STOCK[[#This Row],[Salidas]]</f>
        <v>0</v>
      </c>
      <c r="M160" s="76">
        <f>STOCK[[#This Row],[Precio Final]]*10%</f>
        <v>2</v>
      </c>
      <c r="N160" s="76">
        <v>188.7</v>
      </c>
      <c r="O160" s="76">
        <v>18</v>
      </c>
      <c r="P160" s="76">
        <v>10.4833333333333</v>
      </c>
      <c r="Q160" s="91">
        <v>300</v>
      </c>
      <c r="R160" s="76">
        <v>8</v>
      </c>
      <c r="S160" s="76">
        <f>STOCK[[#This Row],[Peso (g)]]*STOCK[[#This Row],[Precio Envío Kilogramo (USD)]]/1000</f>
        <v>2.4</v>
      </c>
      <c r="T160" s="76">
        <f>STOCK[[#This Row],[Costo Unitario (USD)]]+STOCK[[#This Row],[Costo Envío (USD)]]+STOCK[[#This Row],[Comisión 10%]]</f>
        <v>14.8833333333333</v>
      </c>
      <c r="U160" s="76">
        <f>STOCK[[#This Row],[Costo total]]*1.5</f>
        <v>22.325</v>
      </c>
      <c r="V160" s="76">
        <v>20</v>
      </c>
      <c r="W160" s="76">
        <f>STOCK[[#This Row],[Precio Final]]-STOCK[[#This Row],[Costo total]]</f>
        <v>5.1166666666667</v>
      </c>
      <c r="X160" s="76">
        <f>STOCK[[#This Row],[Ganancia Unitaria]]*STOCK[[#This Row],[Salidas]]</f>
        <v>5.1166666666667</v>
      </c>
      <c r="AA160" s="76">
        <f>STOCK[[#This Row],[Costo total]]*STOCK[[#This Row],[Entradas]]</f>
        <v>14.8833333333333</v>
      </c>
      <c r="AB160" s="76">
        <f>STOCK[[#This Row],[Stock Actual]]*STOCK[[#This Row],[Costo total]]</f>
        <v>0</v>
      </c>
    </row>
    <row r="161" s="77" customFormat="1" ht="50" customHeight="1" spans="1:28">
      <c r="A161" s="77" t="s">
        <v>361</v>
      </c>
      <c r="B161" s="6"/>
      <c r="C161" s="77" t="s">
        <v>30</v>
      </c>
      <c r="D161" s="77" t="s">
        <v>151</v>
      </c>
      <c r="E161" s="77" t="s">
        <v>362</v>
      </c>
      <c r="F161" s="77" t="s">
        <v>47</v>
      </c>
      <c r="G161" s="77" t="s">
        <v>34</v>
      </c>
      <c r="H161" s="77">
        <f>STOCK[[#This Row],[Precio Final]]</f>
        <v>20</v>
      </c>
      <c r="I161" s="77">
        <f>STOCK[[#This Row],[Precio Venta Ideal (x1.5)]]</f>
        <v>22.325</v>
      </c>
      <c r="J161" s="92">
        <v>1</v>
      </c>
      <c r="K161" s="92">
        <f>SUMIFS(VENTAS[Cantidad],VENTAS[Código del producto Vendido],STOCK[[#This Row],[Code]])</f>
        <v>1</v>
      </c>
      <c r="L161" s="92">
        <f>STOCK[[#This Row],[Entradas]]-STOCK[[#This Row],[Salidas]]</f>
        <v>0</v>
      </c>
      <c r="M161" s="77">
        <f>STOCK[[#This Row],[Precio Final]]*10%</f>
        <v>2</v>
      </c>
      <c r="N161" s="77">
        <v>188.7</v>
      </c>
      <c r="O161" s="77">
        <v>18</v>
      </c>
      <c r="P161" s="77">
        <v>10.4833333333333</v>
      </c>
      <c r="Q161" s="92">
        <v>300</v>
      </c>
      <c r="R161" s="77">
        <v>8</v>
      </c>
      <c r="S161" s="77">
        <f>STOCK[[#This Row],[Peso (g)]]*STOCK[[#This Row],[Precio Envío Kilogramo (USD)]]/1000</f>
        <v>2.4</v>
      </c>
      <c r="T161" s="76">
        <f>STOCK[[#This Row],[Costo Unitario (USD)]]+STOCK[[#This Row],[Costo Envío (USD)]]+STOCK[[#This Row],[Comisión 10%]]</f>
        <v>14.8833333333333</v>
      </c>
      <c r="U161" s="77">
        <f>STOCK[[#This Row],[Costo total]]*1.5</f>
        <v>22.325</v>
      </c>
      <c r="V161" s="77">
        <v>20</v>
      </c>
      <c r="W161" s="77">
        <f>STOCK[[#This Row],[Precio Final]]-STOCK[[#This Row],[Costo total]]</f>
        <v>5.1166666666667</v>
      </c>
      <c r="X161" s="77">
        <f>STOCK[[#This Row],[Ganancia Unitaria]]*STOCK[[#This Row],[Salidas]]</f>
        <v>5.1166666666667</v>
      </c>
      <c r="AA161" s="77">
        <f>STOCK[[#This Row],[Costo total]]*STOCK[[#This Row],[Entradas]]</f>
        <v>14.8833333333333</v>
      </c>
      <c r="AB161" s="77">
        <f>STOCK[[#This Row],[Stock Actual]]*STOCK[[#This Row],[Costo total]]</f>
        <v>0</v>
      </c>
    </row>
    <row r="162" s="76" customFormat="1" ht="50" customHeight="1" spans="1:29">
      <c r="A162" s="76" t="s">
        <v>363</v>
      </c>
      <c r="B162" s="6"/>
      <c r="C162" s="76" t="s">
        <v>30</v>
      </c>
      <c r="D162" s="76" t="s">
        <v>215</v>
      </c>
      <c r="E162" s="76" t="s">
        <v>364</v>
      </c>
      <c r="F162" s="76" t="s">
        <v>338</v>
      </c>
      <c r="G162" s="76" t="s">
        <v>34</v>
      </c>
      <c r="H162" s="76">
        <f>STOCK[[#This Row],[Precio Final]]</f>
        <v>30</v>
      </c>
      <c r="I162" s="76">
        <f>STOCK[[#This Row],[Precio Venta Ideal (x1.5)]]</f>
        <v>22.8425</v>
      </c>
      <c r="J162" s="91">
        <v>1</v>
      </c>
      <c r="K162" s="91">
        <f>SUMIFS(VENTAS[Cantidad],VENTAS[Código del producto Vendido],STOCK[[#This Row],[Code]])</f>
        <v>0</v>
      </c>
      <c r="L162" s="91">
        <f>STOCK[[#This Row],[Entradas]]-STOCK[[#This Row],[Salidas]]</f>
        <v>1</v>
      </c>
      <c r="M162" s="76">
        <f>STOCK[[#This Row],[Precio Final]]*10%</f>
        <v>3</v>
      </c>
      <c r="N162" s="76">
        <v>158.91</v>
      </c>
      <c r="O162" s="76">
        <v>18</v>
      </c>
      <c r="P162" s="76">
        <v>8.82833333333333</v>
      </c>
      <c r="Q162" s="91">
        <v>200</v>
      </c>
      <c r="R162" s="76">
        <v>17</v>
      </c>
      <c r="S162" s="76">
        <f>STOCK[[#This Row],[Peso (g)]]*STOCK[[#This Row],[Precio Envío Kilogramo (USD)]]/1000</f>
        <v>3.4</v>
      </c>
      <c r="T162" s="76">
        <f>STOCK[[#This Row],[Costo Unitario (USD)]]+STOCK[[#This Row],[Costo Envío (USD)]]+STOCK[[#This Row],[Comisión 10%]]</f>
        <v>15.2283333333333</v>
      </c>
      <c r="U162" s="76">
        <f>STOCK[[#This Row],[Costo total]]*1.5</f>
        <v>22.8425</v>
      </c>
      <c r="V162" s="76">
        <v>30</v>
      </c>
      <c r="W162" s="76">
        <f>STOCK[[#This Row],[Precio Final]]-STOCK[[#This Row],[Costo total]]</f>
        <v>14.7716666666667</v>
      </c>
      <c r="X162" s="76">
        <f>STOCK[[#This Row],[Ganancia Unitaria]]*STOCK[[#This Row],[Salidas]]</f>
        <v>0</v>
      </c>
      <c r="AA162" s="76">
        <f>STOCK[[#This Row],[Costo total]]*STOCK[[#This Row],[Entradas]]</f>
        <v>15.2283333333333</v>
      </c>
      <c r="AB162" s="76">
        <f>STOCK[[#This Row],[Stock Actual]]*STOCK[[#This Row],[Costo total]]</f>
        <v>15.2283333333333</v>
      </c>
      <c r="AC162" s="76">
        <v>18</v>
      </c>
    </row>
    <row r="163" s="77" customFormat="1" ht="50" customHeight="1" spans="1:28">
      <c r="A163" s="77" t="s">
        <v>365</v>
      </c>
      <c r="B163" s="6"/>
      <c r="C163" s="77" t="s">
        <v>30</v>
      </c>
      <c r="D163" s="77" t="s">
        <v>42</v>
      </c>
      <c r="E163" s="77" t="s">
        <v>366</v>
      </c>
      <c r="F163" s="77" t="s">
        <v>38</v>
      </c>
      <c r="G163" s="77" t="s">
        <v>34</v>
      </c>
      <c r="H163" s="77">
        <f>STOCK[[#This Row],[Precio Final]]</f>
        <v>16</v>
      </c>
      <c r="I163" s="77">
        <f>STOCK[[#This Row],[Precio Venta Ideal (x1.5)]]</f>
        <v>21.1558333333333</v>
      </c>
      <c r="J163" s="92">
        <v>1</v>
      </c>
      <c r="K163" s="92">
        <f>SUMIFS(VENTAS[Cantidad],VENTAS[Código del producto Vendido],STOCK[[#This Row],[Code]])</f>
        <v>1</v>
      </c>
      <c r="L163" s="92">
        <f>STOCK[[#This Row],[Entradas]]-STOCK[[#This Row],[Salidas]]</f>
        <v>0</v>
      </c>
      <c r="M163" s="77">
        <f>STOCK[[#This Row],[Precio Final]]*10%</f>
        <v>1.6</v>
      </c>
      <c r="N163" s="77">
        <v>163.87</v>
      </c>
      <c r="O163" s="77">
        <v>18</v>
      </c>
      <c r="P163" s="77">
        <v>9.10388888888889</v>
      </c>
      <c r="Q163" s="92">
        <v>200</v>
      </c>
      <c r="R163" s="77">
        <v>17</v>
      </c>
      <c r="S163" s="77">
        <f>STOCK[[#This Row],[Peso (g)]]*STOCK[[#This Row],[Precio Envío Kilogramo (USD)]]/1000</f>
        <v>3.4</v>
      </c>
      <c r="T163" s="76">
        <f>STOCK[[#This Row],[Costo Unitario (USD)]]+STOCK[[#This Row],[Costo Envío (USD)]]+STOCK[[#This Row],[Comisión 10%]]</f>
        <v>14.1038888888889</v>
      </c>
      <c r="U163" s="77">
        <f>STOCK[[#This Row],[Costo total]]*1.5</f>
        <v>21.1558333333333</v>
      </c>
      <c r="V163" s="77">
        <v>16</v>
      </c>
      <c r="W163" s="77">
        <f>STOCK[[#This Row],[Precio Final]]-STOCK[[#This Row],[Costo total]]</f>
        <v>1.89611111111111</v>
      </c>
      <c r="X163" s="77">
        <f>STOCK[[#This Row],[Ganancia Unitaria]]*STOCK[[#This Row],[Salidas]]</f>
        <v>1.89611111111111</v>
      </c>
      <c r="AA163" s="77">
        <f>STOCK[[#This Row],[Costo total]]*STOCK[[#This Row],[Entradas]]</f>
        <v>14.1038888888889</v>
      </c>
      <c r="AB163" s="77">
        <f>STOCK[[#This Row],[Stock Actual]]*STOCK[[#This Row],[Costo total]]</f>
        <v>0</v>
      </c>
    </row>
    <row r="164" s="76" customFormat="1" ht="50" customHeight="1" spans="1:28">
      <c r="A164" s="76" t="s">
        <v>367</v>
      </c>
      <c r="B164" s="6"/>
      <c r="C164" s="76" t="s">
        <v>30</v>
      </c>
      <c r="D164" s="76" t="s">
        <v>42</v>
      </c>
      <c r="E164" s="76" t="s">
        <v>368</v>
      </c>
      <c r="F164" s="76" t="s">
        <v>38</v>
      </c>
      <c r="G164" s="76" t="s">
        <v>34</v>
      </c>
      <c r="H164" s="76">
        <f>STOCK[[#This Row],[Precio Final]]</f>
        <v>16</v>
      </c>
      <c r="I164" s="76">
        <f>STOCK[[#This Row],[Precio Venta Ideal (x1.5)]]</f>
        <v>21.6525</v>
      </c>
      <c r="J164" s="91">
        <v>1</v>
      </c>
      <c r="K164" s="91">
        <f>SUMIFS(VENTAS[Cantidad],VENTAS[Código del producto Vendido],STOCK[[#This Row],[Code]])</f>
        <v>1</v>
      </c>
      <c r="L164" s="91">
        <f>STOCK[[#This Row],[Entradas]]-STOCK[[#This Row],[Salidas]]</f>
        <v>0</v>
      </c>
      <c r="M164" s="76">
        <f>STOCK[[#This Row],[Precio Final]]*10%</f>
        <v>1.6</v>
      </c>
      <c r="N164" s="76">
        <v>169.83</v>
      </c>
      <c r="O164" s="76">
        <v>18</v>
      </c>
      <c r="P164" s="76">
        <v>9.435</v>
      </c>
      <c r="Q164" s="91">
        <v>200</v>
      </c>
      <c r="R164" s="76">
        <v>17</v>
      </c>
      <c r="S164" s="76">
        <f>STOCK[[#This Row],[Peso (g)]]*STOCK[[#This Row],[Precio Envío Kilogramo (USD)]]/1000</f>
        <v>3.4</v>
      </c>
      <c r="T164" s="76">
        <f>STOCK[[#This Row],[Costo Unitario (USD)]]+STOCK[[#This Row],[Costo Envío (USD)]]+STOCK[[#This Row],[Comisión 10%]]</f>
        <v>14.435</v>
      </c>
      <c r="U164" s="76">
        <f>STOCK[[#This Row],[Costo total]]*1.5</f>
        <v>21.6525</v>
      </c>
      <c r="V164" s="76">
        <v>16</v>
      </c>
      <c r="W164" s="76">
        <f>STOCK[[#This Row],[Precio Final]]-STOCK[[#This Row],[Costo total]]</f>
        <v>1.565</v>
      </c>
      <c r="X164" s="76">
        <f>STOCK[[#This Row],[Ganancia Unitaria]]*STOCK[[#This Row],[Salidas]]</f>
        <v>1.565</v>
      </c>
      <c r="AA164" s="76">
        <f>STOCK[[#This Row],[Costo total]]*STOCK[[#This Row],[Entradas]]</f>
        <v>14.435</v>
      </c>
      <c r="AB164" s="76">
        <f>STOCK[[#This Row],[Stock Actual]]*STOCK[[#This Row],[Costo total]]</f>
        <v>0</v>
      </c>
    </row>
    <row r="165" s="77" customFormat="1" ht="50" customHeight="1" spans="1:28">
      <c r="A165" s="77" t="s">
        <v>369</v>
      </c>
      <c r="B165" s="6"/>
      <c r="C165" s="77" t="s">
        <v>30</v>
      </c>
      <c r="D165" s="77" t="s">
        <v>370</v>
      </c>
      <c r="E165" s="77" t="s">
        <v>371</v>
      </c>
      <c r="F165" s="77" t="s">
        <v>44</v>
      </c>
      <c r="G165" s="77" t="s">
        <v>34</v>
      </c>
      <c r="H165" s="77">
        <f>STOCK[[#This Row],[Precio Final]]</f>
        <v>30</v>
      </c>
      <c r="I165" s="77">
        <f>STOCK[[#This Row],[Precio Venta Ideal (x1.5)]]</f>
        <v>23.1833333333334</v>
      </c>
      <c r="J165" s="92">
        <v>1</v>
      </c>
      <c r="K165" s="92">
        <f>SUMIFS(VENTAS[Cantidad],VENTAS[Código del producto Vendido],STOCK[[#This Row],[Code]])</f>
        <v>1</v>
      </c>
      <c r="L165" s="92">
        <f>STOCK[[#This Row],[Entradas]]-STOCK[[#This Row],[Salidas]]</f>
        <v>0</v>
      </c>
      <c r="M165" s="77">
        <f>STOCK[[#This Row],[Precio Final]]*10%</f>
        <v>3</v>
      </c>
      <c r="N165" s="77">
        <v>202.6</v>
      </c>
      <c r="O165" s="77">
        <v>18</v>
      </c>
      <c r="P165" s="77">
        <v>11.2555555555556</v>
      </c>
      <c r="Q165" s="92">
        <v>150</v>
      </c>
      <c r="R165" s="77">
        <v>8</v>
      </c>
      <c r="S165" s="77">
        <f>STOCK[[#This Row],[Peso (g)]]*STOCK[[#This Row],[Precio Envío Kilogramo (USD)]]/1000</f>
        <v>1.2</v>
      </c>
      <c r="T165" s="76">
        <f>STOCK[[#This Row],[Costo Unitario (USD)]]+STOCK[[#This Row],[Costo Envío (USD)]]+STOCK[[#This Row],[Comisión 10%]]</f>
        <v>15.4555555555556</v>
      </c>
      <c r="U165" s="77">
        <f>STOCK[[#This Row],[Costo total]]*1.5</f>
        <v>23.1833333333334</v>
      </c>
      <c r="V165" s="77">
        <v>30</v>
      </c>
      <c r="W165" s="77">
        <f>STOCK[[#This Row],[Precio Final]]-STOCK[[#This Row],[Costo total]]</f>
        <v>14.5444444444444</v>
      </c>
      <c r="X165" s="77">
        <f>STOCK[[#This Row],[Ganancia Unitaria]]*STOCK[[#This Row],[Salidas]]</f>
        <v>14.5444444444444</v>
      </c>
      <c r="AA165" s="77">
        <f>STOCK[[#This Row],[Costo total]]*STOCK[[#This Row],[Entradas]]</f>
        <v>15.4555555555556</v>
      </c>
      <c r="AB165" s="77">
        <f>STOCK[[#This Row],[Stock Actual]]*STOCK[[#This Row],[Costo total]]</f>
        <v>0</v>
      </c>
    </row>
    <row r="166" s="76" customFormat="1" ht="50" customHeight="1" spans="1:28">
      <c r="A166" s="76" t="s">
        <v>372</v>
      </c>
      <c r="B166" s="6"/>
      <c r="C166" s="76" t="s">
        <v>30</v>
      </c>
      <c r="D166" s="76" t="s">
        <v>42</v>
      </c>
      <c r="E166" s="76" t="s">
        <v>373</v>
      </c>
      <c r="F166" s="76" t="s">
        <v>44</v>
      </c>
      <c r="G166" s="76" t="s">
        <v>34</v>
      </c>
      <c r="H166" s="76">
        <f>STOCK[[#This Row],[Precio Final]]</f>
        <v>12</v>
      </c>
      <c r="I166" s="76">
        <f>STOCK[[#This Row],[Precio Venta Ideal (x1.5)]]</f>
        <v>14.3616666666667</v>
      </c>
      <c r="J166" s="91">
        <v>1</v>
      </c>
      <c r="K166" s="91">
        <f>SUMIFS(VENTAS[Cantidad],VENTAS[Código del producto Vendido],STOCK[[#This Row],[Code]])</f>
        <v>1</v>
      </c>
      <c r="L166" s="91">
        <f>STOCK[[#This Row],[Entradas]]-STOCK[[#This Row],[Salidas]]</f>
        <v>0</v>
      </c>
      <c r="M166" s="76">
        <f>STOCK[[#This Row],[Precio Final]]*10%</f>
        <v>1.2</v>
      </c>
      <c r="N166" s="76">
        <v>95.66</v>
      </c>
      <c r="O166" s="76">
        <v>18</v>
      </c>
      <c r="P166" s="76">
        <v>5.31444444444444</v>
      </c>
      <c r="Q166" s="91">
        <v>180</v>
      </c>
      <c r="R166" s="76">
        <v>17</v>
      </c>
      <c r="S166" s="76">
        <f>STOCK[[#This Row],[Peso (g)]]*STOCK[[#This Row],[Precio Envío Kilogramo (USD)]]/1000</f>
        <v>3.06</v>
      </c>
      <c r="T166" s="76">
        <f>STOCK[[#This Row],[Costo Unitario (USD)]]+STOCK[[#This Row],[Costo Envío (USD)]]+STOCK[[#This Row],[Comisión 10%]]</f>
        <v>9.57444444444444</v>
      </c>
      <c r="U166" s="76">
        <f>STOCK[[#This Row],[Costo total]]*1.5</f>
        <v>14.3616666666667</v>
      </c>
      <c r="V166" s="76">
        <v>12</v>
      </c>
      <c r="W166" s="76">
        <f>STOCK[[#This Row],[Precio Final]]-STOCK[[#This Row],[Costo total]]</f>
        <v>2.42555555555556</v>
      </c>
      <c r="X166" s="76">
        <f>STOCK[[#This Row],[Ganancia Unitaria]]*STOCK[[#This Row],[Salidas]]</f>
        <v>2.42555555555556</v>
      </c>
      <c r="AA166" s="76">
        <f>STOCK[[#This Row],[Costo total]]*STOCK[[#This Row],[Entradas]]</f>
        <v>9.57444444444444</v>
      </c>
      <c r="AB166" s="76">
        <f>STOCK[[#This Row],[Stock Actual]]*STOCK[[#This Row],[Costo total]]</f>
        <v>0</v>
      </c>
    </row>
    <row r="167" s="77" customFormat="1" ht="50" customHeight="1" spans="1:28">
      <c r="A167" s="77" t="s">
        <v>374</v>
      </c>
      <c r="B167" s="6"/>
      <c r="C167" s="77" t="s">
        <v>30</v>
      </c>
      <c r="D167" s="77" t="s">
        <v>42</v>
      </c>
      <c r="E167" s="77" t="s">
        <v>375</v>
      </c>
      <c r="F167" s="77" t="s">
        <v>44</v>
      </c>
      <c r="G167" s="77" t="s">
        <v>34</v>
      </c>
      <c r="H167" s="77">
        <f>STOCK[[#This Row],[Precio Final]]</f>
        <v>30</v>
      </c>
      <c r="I167" s="77">
        <f>STOCK[[#This Row],[Precio Venta Ideal (x1.5)]]</f>
        <v>33.6866666666667</v>
      </c>
      <c r="J167" s="92">
        <v>1</v>
      </c>
      <c r="K167" s="92">
        <f>SUMIFS(VENTAS[Cantidad],VENTAS[Código del producto Vendido],STOCK[[#This Row],[Code]])</f>
        <v>1</v>
      </c>
      <c r="L167" s="92">
        <f>STOCK[[#This Row],[Entradas]]-STOCK[[#This Row],[Salidas]]</f>
        <v>0</v>
      </c>
      <c r="M167" s="77">
        <f>STOCK[[#This Row],[Precio Final]]*10%</f>
        <v>3</v>
      </c>
      <c r="N167" s="77">
        <v>289.04</v>
      </c>
      <c r="O167" s="77">
        <v>18</v>
      </c>
      <c r="P167" s="77">
        <v>16.0577777777778</v>
      </c>
      <c r="Q167" s="92">
        <v>200</v>
      </c>
      <c r="R167" s="77">
        <v>17</v>
      </c>
      <c r="S167" s="77">
        <f>STOCK[[#This Row],[Peso (g)]]*STOCK[[#This Row],[Precio Envío Kilogramo (USD)]]/1000</f>
        <v>3.4</v>
      </c>
      <c r="T167" s="76">
        <f>STOCK[[#This Row],[Costo Unitario (USD)]]+STOCK[[#This Row],[Costo Envío (USD)]]+STOCK[[#This Row],[Comisión 10%]]</f>
        <v>22.4577777777778</v>
      </c>
      <c r="U167" s="77">
        <f>STOCK[[#This Row],[Costo total]]*1.5</f>
        <v>33.6866666666667</v>
      </c>
      <c r="V167" s="77">
        <v>30</v>
      </c>
      <c r="W167" s="77">
        <f>STOCK[[#This Row],[Precio Final]]-STOCK[[#This Row],[Costo total]]</f>
        <v>7.5422222222222</v>
      </c>
      <c r="X167" s="77">
        <f>STOCK[[#This Row],[Ganancia Unitaria]]*STOCK[[#This Row],[Salidas]]</f>
        <v>7.5422222222222</v>
      </c>
      <c r="AA167" s="77">
        <f>STOCK[[#This Row],[Costo total]]*STOCK[[#This Row],[Entradas]]</f>
        <v>22.4577777777778</v>
      </c>
      <c r="AB167" s="77">
        <f>STOCK[[#This Row],[Stock Actual]]*STOCK[[#This Row],[Costo total]]</f>
        <v>0</v>
      </c>
    </row>
    <row r="168" s="76" customFormat="1" ht="50" customHeight="1" spans="1:28">
      <c r="A168" s="76" t="s">
        <v>376</v>
      </c>
      <c r="B168" s="6"/>
      <c r="C168" s="76" t="s">
        <v>30</v>
      </c>
      <c r="D168" s="76" t="s">
        <v>42</v>
      </c>
      <c r="E168" s="76" t="s">
        <v>377</v>
      </c>
      <c r="F168" s="76" t="s">
        <v>44</v>
      </c>
      <c r="G168" s="76" t="s">
        <v>34</v>
      </c>
      <c r="H168" s="76">
        <f>STOCK[[#This Row],[Precio Final]]</f>
        <v>12</v>
      </c>
      <c r="I168" s="76">
        <f>STOCK[[#This Row],[Precio Venta Ideal (x1.5)]]</f>
        <v>12.6725</v>
      </c>
      <c r="J168" s="91">
        <v>1</v>
      </c>
      <c r="K168" s="91">
        <f>SUMIFS(VENTAS[Cantidad],VENTAS[Código del producto Vendido],STOCK[[#This Row],[Code]])</f>
        <v>1</v>
      </c>
      <c r="L168" s="91">
        <f>STOCK[[#This Row],[Entradas]]-STOCK[[#This Row],[Salidas]]</f>
        <v>0</v>
      </c>
      <c r="M168" s="76">
        <f>STOCK[[#This Row],[Precio Final]]*10%</f>
        <v>1.2</v>
      </c>
      <c r="N168" s="76">
        <v>84.57</v>
      </c>
      <c r="O168" s="76">
        <v>18</v>
      </c>
      <c r="P168" s="76">
        <v>4.69833333333333</v>
      </c>
      <c r="Q168" s="91">
        <v>150</v>
      </c>
      <c r="R168" s="76">
        <v>17</v>
      </c>
      <c r="S168" s="76">
        <f>STOCK[[#This Row],[Peso (g)]]*STOCK[[#This Row],[Precio Envío Kilogramo (USD)]]/1000</f>
        <v>2.55</v>
      </c>
      <c r="T168" s="76">
        <f>STOCK[[#This Row],[Costo Unitario (USD)]]+STOCK[[#This Row],[Costo Envío (USD)]]+STOCK[[#This Row],[Comisión 10%]]</f>
        <v>8.44833333333333</v>
      </c>
      <c r="U168" s="76">
        <f>STOCK[[#This Row],[Costo total]]*1.5</f>
        <v>12.6725</v>
      </c>
      <c r="V168" s="76">
        <v>12</v>
      </c>
      <c r="W168" s="76">
        <f>STOCK[[#This Row],[Precio Final]]-STOCK[[#This Row],[Costo total]]</f>
        <v>3.55166666666667</v>
      </c>
      <c r="X168" s="76">
        <f>STOCK[[#This Row],[Ganancia Unitaria]]*STOCK[[#This Row],[Salidas]]</f>
        <v>3.55166666666667</v>
      </c>
      <c r="AA168" s="76">
        <f>STOCK[[#This Row],[Costo total]]*STOCK[[#This Row],[Entradas]]</f>
        <v>8.44833333333333</v>
      </c>
      <c r="AB168" s="76">
        <f>STOCK[[#This Row],[Stock Actual]]*STOCK[[#This Row],[Costo total]]</f>
        <v>0</v>
      </c>
    </row>
    <row r="169" s="77" customFormat="1" ht="50" customHeight="1" spans="1:28">
      <c r="A169" s="77" t="s">
        <v>378</v>
      </c>
      <c r="B169" s="6"/>
      <c r="C169" s="77" t="s">
        <v>30</v>
      </c>
      <c r="D169" s="77" t="s">
        <v>42</v>
      </c>
      <c r="E169" s="77" t="s">
        <v>379</v>
      </c>
      <c r="F169" s="77" t="s">
        <v>38</v>
      </c>
      <c r="G169" s="77" t="s">
        <v>34</v>
      </c>
      <c r="H169" s="77">
        <f>STOCK[[#This Row],[Precio Final]]</f>
        <v>12</v>
      </c>
      <c r="I169" s="77">
        <f>STOCK[[#This Row],[Precio Venta Ideal (x1.5)]]</f>
        <v>12.6725</v>
      </c>
      <c r="J169" s="92">
        <v>1</v>
      </c>
      <c r="K169" s="92">
        <f>SUMIFS(VENTAS[Cantidad],VENTAS[Código del producto Vendido],STOCK[[#This Row],[Code]])</f>
        <v>1</v>
      </c>
      <c r="L169" s="92">
        <f>STOCK[[#This Row],[Entradas]]-STOCK[[#This Row],[Salidas]]</f>
        <v>0</v>
      </c>
      <c r="M169" s="77">
        <f>STOCK[[#This Row],[Precio Final]]*10%</f>
        <v>1.2</v>
      </c>
      <c r="N169" s="77">
        <v>84.57</v>
      </c>
      <c r="O169" s="77">
        <v>18</v>
      </c>
      <c r="P169" s="77">
        <v>4.69833333333333</v>
      </c>
      <c r="Q169" s="92">
        <v>150</v>
      </c>
      <c r="R169" s="77">
        <v>17</v>
      </c>
      <c r="S169" s="77">
        <f>STOCK[[#This Row],[Peso (g)]]*STOCK[[#This Row],[Precio Envío Kilogramo (USD)]]/1000</f>
        <v>2.55</v>
      </c>
      <c r="T169" s="76">
        <f>STOCK[[#This Row],[Costo Unitario (USD)]]+STOCK[[#This Row],[Costo Envío (USD)]]+STOCK[[#This Row],[Comisión 10%]]</f>
        <v>8.44833333333333</v>
      </c>
      <c r="U169" s="77">
        <f>STOCK[[#This Row],[Costo total]]*1.5</f>
        <v>12.6725</v>
      </c>
      <c r="V169" s="77">
        <v>12</v>
      </c>
      <c r="W169" s="77">
        <f>STOCK[[#This Row],[Precio Final]]-STOCK[[#This Row],[Costo total]]</f>
        <v>3.55166666666667</v>
      </c>
      <c r="X169" s="77">
        <f>STOCK[[#This Row],[Ganancia Unitaria]]*STOCK[[#This Row],[Salidas]]</f>
        <v>3.55166666666667</v>
      </c>
      <c r="AA169" s="77">
        <f>STOCK[[#This Row],[Costo total]]*STOCK[[#This Row],[Entradas]]</f>
        <v>8.44833333333333</v>
      </c>
      <c r="AB169" s="77">
        <f>STOCK[[#This Row],[Stock Actual]]*STOCK[[#This Row],[Costo total]]</f>
        <v>0</v>
      </c>
    </row>
    <row r="170" s="76" customFormat="1" ht="50" customHeight="1" spans="1:28">
      <c r="A170" s="76" t="s">
        <v>380</v>
      </c>
      <c r="B170" s="6"/>
      <c r="C170" s="76" t="s">
        <v>30</v>
      </c>
      <c r="D170" s="76" t="s">
        <v>215</v>
      </c>
      <c r="E170" s="76" t="s">
        <v>381</v>
      </c>
      <c r="F170" s="76" t="s">
        <v>60</v>
      </c>
      <c r="G170" s="76" t="s">
        <v>34</v>
      </c>
      <c r="H170" s="76">
        <f>STOCK[[#This Row],[Precio Final]]</f>
        <v>18</v>
      </c>
      <c r="I170" s="76">
        <f>STOCK[[#This Row],[Precio Venta Ideal (x1.5)]]</f>
        <v>14.9008333333333</v>
      </c>
      <c r="J170" s="91">
        <v>1</v>
      </c>
      <c r="K170" s="91">
        <f>SUMIFS(VENTAS[Cantidad],VENTAS[Código del producto Vendido],STOCK[[#This Row],[Code]])</f>
        <v>0</v>
      </c>
      <c r="L170" s="91">
        <f>STOCK[[#This Row],[Entradas]]-STOCK[[#This Row],[Salidas]]</f>
        <v>1</v>
      </c>
      <c r="M170" s="76">
        <f>STOCK[[#This Row],[Precio Final]]*10%</f>
        <v>1.8</v>
      </c>
      <c r="N170" s="76">
        <v>100.51</v>
      </c>
      <c r="O170" s="76">
        <v>18</v>
      </c>
      <c r="P170" s="76">
        <v>5.58388888888889</v>
      </c>
      <c r="Q170" s="91">
        <v>150</v>
      </c>
      <c r="R170" s="76">
        <v>17</v>
      </c>
      <c r="S170" s="76">
        <f>STOCK[[#This Row],[Peso (g)]]*STOCK[[#This Row],[Precio Envío Kilogramo (USD)]]/1000</f>
        <v>2.55</v>
      </c>
      <c r="T170" s="76">
        <f>STOCK[[#This Row],[Costo Unitario (USD)]]+STOCK[[#This Row],[Costo Envío (USD)]]+STOCK[[#This Row],[Comisión 10%]]</f>
        <v>9.93388888888889</v>
      </c>
      <c r="U170" s="76">
        <f>STOCK[[#This Row],[Costo total]]*1.5</f>
        <v>14.9008333333333</v>
      </c>
      <c r="V170" s="76">
        <v>18</v>
      </c>
      <c r="W170" s="76">
        <f>STOCK[[#This Row],[Precio Final]]-STOCK[[#This Row],[Costo total]]</f>
        <v>8.06611111111111</v>
      </c>
      <c r="X170" s="76">
        <f>STOCK[[#This Row],[Ganancia Unitaria]]*STOCK[[#This Row],[Salidas]]</f>
        <v>0</v>
      </c>
      <c r="AA170" s="76">
        <f>STOCK[[#This Row],[Costo total]]*STOCK[[#This Row],[Entradas]]</f>
        <v>9.93388888888889</v>
      </c>
      <c r="AB170" s="76">
        <f>STOCK[[#This Row],[Stock Actual]]*STOCK[[#This Row],[Costo total]]</f>
        <v>9.93388888888889</v>
      </c>
    </row>
    <row r="171" s="77" customFormat="1" ht="50" customHeight="1" spans="1:28">
      <c r="A171" s="77" t="s">
        <v>382</v>
      </c>
      <c r="B171" s="6"/>
      <c r="C171" s="77" t="s">
        <v>30</v>
      </c>
      <c r="D171" s="77" t="s">
        <v>350</v>
      </c>
      <c r="E171" s="77" t="s">
        <v>383</v>
      </c>
      <c r="F171" s="77" t="s">
        <v>384</v>
      </c>
      <c r="G171" s="77" t="s">
        <v>34</v>
      </c>
      <c r="H171" s="77">
        <f>STOCK[[#This Row],[Precio Final]]</f>
        <v>10</v>
      </c>
      <c r="I171" s="77">
        <f>STOCK[[#This Row],[Precio Venta Ideal (x1.5)]]</f>
        <v>10.0941666666667</v>
      </c>
      <c r="J171" s="92">
        <v>1</v>
      </c>
      <c r="K171" s="92">
        <f>SUMIFS(VENTAS[Cantidad],VENTAS[Código del producto Vendido],STOCK[[#This Row],[Code]])</f>
        <v>1</v>
      </c>
      <c r="L171" s="92">
        <f>STOCK[[#This Row],[Entradas]]-STOCK[[#This Row],[Salidas]]</f>
        <v>0</v>
      </c>
      <c r="M171" s="77">
        <f>STOCK[[#This Row],[Precio Final]]*10%</f>
        <v>1</v>
      </c>
      <c r="N171" s="77">
        <v>88.73</v>
      </c>
      <c r="O171" s="77">
        <v>18</v>
      </c>
      <c r="P171" s="77">
        <v>4.92944444444444</v>
      </c>
      <c r="Q171" s="92">
        <v>100</v>
      </c>
      <c r="R171" s="77">
        <v>8</v>
      </c>
      <c r="S171" s="77">
        <f>STOCK[[#This Row],[Peso (g)]]*STOCK[[#This Row],[Precio Envío Kilogramo (USD)]]/1000</f>
        <v>0.8</v>
      </c>
      <c r="T171" s="76">
        <f>STOCK[[#This Row],[Costo Unitario (USD)]]+STOCK[[#This Row],[Costo Envío (USD)]]+STOCK[[#This Row],[Comisión 10%]]</f>
        <v>6.72944444444444</v>
      </c>
      <c r="U171" s="77">
        <f>STOCK[[#This Row],[Costo total]]*1.5</f>
        <v>10.0941666666667</v>
      </c>
      <c r="V171" s="77">
        <v>10</v>
      </c>
      <c r="W171" s="77">
        <f>STOCK[[#This Row],[Precio Final]]-STOCK[[#This Row],[Costo total]]</f>
        <v>3.27055555555556</v>
      </c>
      <c r="X171" s="77">
        <f>STOCK[[#This Row],[Ganancia Unitaria]]*STOCK[[#This Row],[Salidas]]</f>
        <v>3.27055555555556</v>
      </c>
      <c r="AA171" s="77">
        <f>STOCK[[#This Row],[Costo total]]*STOCK[[#This Row],[Entradas]]</f>
        <v>6.72944444444444</v>
      </c>
      <c r="AB171" s="77">
        <f>STOCK[[#This Row],[Stock Actual]]*STOCK[[#This Row],[Costo total]]</f>
        <v>0</v>
      </c>
    </row>
    <row r="172" s="76" customFormat="1" ht="50" customHeight="1" spans="1:28">
      <c r="A172" s="76" t="s">
        <v>385</v>
      </c>
      <c r="B172" s="6"/>
      <c r="C172" s="76" t="s">
        <v>30</v>
      </c>
      <c r="D172" s="76" t="s">
        <v>350</v>
      </c>
      <c r="E172" s="76" t="s">
        <v>386</v>
      </c>
      <c r="F172" s="76" t="s">
        <v>387</v>
      </c>
      <c r="G172" s="76" t="s">
        <v>34</v>
      </c>
      <c r="H172" s="76">
        <f>STOCK[[#This Row],[Precio Final]]</f>
        <v>15</v>
      </c>
      <c r="I172" s="76">
        <f>STOCK[[#This Row],[Precio Venta Ideal (x1.5)]]</f>
        <v>13.95</v>
      </c>
      <c r="J172" s="91">
        <v>2</v>
      </c>
      <c r="K172" s="91">
        <f>SUMIFS(VENTAS[Cantidad],VENTAS[Código del producto Vendido],STOCK[[#This Row],[Code]])</f>
        <v>2</v>
      </c>
      <c r="L172" s="91">
        <f>STOCK[[#This Row],[Entradas]]-STOCK[[#This Row],[Salidas]]</f>
        <v>0</v>
      </c>
      <c r="M172" s="76">
        <f>STOCK[[#This Row],[Precio Final]]*10%</f>
        <v>1.5</v>
      </c>
      <c r="N172" s="76">
        <v>111.6</v>
      </c>
      <c r="O172" s="76">
        <v>18</v>
      </c>
      <c r="P172" s="76">
        <v>6.2</v>
      </c>
      <c r="Q172" s="91">
        <v>200</v>
      </c>
      <c r="R172" s="76">
        <v>8</v>
      </c>
      <c r="S172" s="76">
        <f>STOCK[[#This Row],[Peso (g)]]*STOCK[[#This Row],[Precio Envío Kilogramo (USD)]]/1000</f>
        <v>1.6</v>
      </c>
      <c r="T172" s="76">
        <f>STOCK[[#This Row],[Costo Unitario (USD)]]+STOCK[[#This Row],[Costo Envío (USD)]]+STOCK[[#This Row],[Comisión 10%]]</f>
        <v>9.3</v>
      </c>
      <c r="U172" s="76">
        <f>STOCK[[#This Row],[Costo total]]*1.5</f>
        <v>13.95</v>
      </c>
      <c r="V172" s="76">
        <v>15</v>
      </c>
      <c r="W172" s="76">
        <f>STOCK[[#This Row],[Precio Final]]-STOCK[[#This Row],[Costo total]]</f>
        <v>5.7</v>
      </c>
      <c r="X172" s="76">
        <f>STOCK[[#This Row],[Ganancia Unitaria]]*STOCK[[#This Row],[Salidas]]</f>
        <v>11.4</v>
      </c>
      <c r="AA172" s="76">
        <f>STOCK[[#This Row],[Costo total]]*STOCK[[#This Row],[Entradas]]</f>
        <v>18.6</v>
      </c>
      <c r="AB172" s="76">
        <f>STOCK[[#This Row],[Stock Actual]]*STOCK[[#This Row],[Costo total]]</f>
        <v>0</v>
      </c>
    </row>
    <row r="173" s="77" customFormat="1" ht="50" customHeight="1" spans="1:28">
      <c r="A173" s="77" t="s">
        <v>388</v>
      </c>
      <c r="B173" s="6"/>
      <c r="C173" s="77" t="s">
        <v>30</v>
      </c>
      <c r="D173" s="77" t="s">
        <v>350</v>
      </c>
      <c r="E173" s="77" t="s">
        <v>389</v>
      </c>
      <c r="F173" s="77" t="s">
        <v>387</v>
      </c>
      <c r="G173" s="77" t="s">
        <v>34</v>
      </c>
      <c r="H173" s="77">
        <f>STOCK[[#This Row],[Precio Final]]</f>
        <v>15</v>
      </c>
      <c r="I173" s="77">
        <f>STOCK[[#This Row],[Precio Venta Ideal (x1.5)]]</f>
        <v>14.2966666666667</v>
      </c>
      <c r="J173" s="92">
        <v>2</v>
      </c>
      <c r="K173" s="92">
        <f>SUMIFS(VENTAS[Cantidad],VENTAS[Código del producto Vendido],STOCK[[#This Row],[Code]])</f>
        <v>2</v>
      </c>
      <c r="L173" s="92">
        <f>STOCK[[#This Row],[Entradas]]-STOCK[[#This Row],[Salidas]]</f>
        <v>0</v>
      </c>
      <c r="M173" s="77">
        <f>STOCK[[#This Row],[Precio Final]]*10%</f>
        <v>1.5</v>
      </c>
      <c r="N173" s="77">
        <v>115.76</v>
      </c>
      <c r="O173" s="77">
        <v>18</v>
      </c>
      <c r="P173" s="77">
        <v>6.43111111111111</v>
      </c>
      <c r="Q173" s="92">
        <v>200</v>
      </c>
      <c r="R173" s="77">
        <v>8</v>
      </c>
      <c r="S173" s="77">
        <f>STOCK[[#This Row],[Peso (g)]]*STOCK[[#This Row],[Precio Envío Kilogramo (USD)]]/1000</f>
        <v>1.6</v>
      </c>
      <c r="T173" s="76">
        <f>STOCK[[#This Row],[Costo Unitario (USD)]]+STOCK[[#This Row],[Costo Envío (USD)]]+STOCK[[#This Row],[Comisión 10%]]</f>
        <v>9.53111111111111</v>
      </c>
      <c r="U173" s="77">
        <f>STOCK[[#This Row],[Costo total]]*1.5</f>
        <v>14.2966666666667</v>
      </c>
      <c r="V173" s="77">
        <v>15</v>
      </c>
      <c r="W173" s="77">
        <f>STOCK[[#This Row],[Precio Final]]-STOCK[[#This Row],[Costo total]]</f>
        <v>5.46888888888889</v>
      </c>
      <c r="X173" s="77">
        <f>STOCK[[#This Row],[Ganancia Unitaria]]*STOCK[[#This Row],[Salidas]]</f>
        <v>10.9377777777778</v>
      </c>
      <c r="AA173" s="77">
        <f>STOCK[[#This Row],[Costo total]]*STOCK[[#This Row],[Entradas]]</f>
        <v>19.0622222222222</v>
      </c>
      <c r="AB173" s="77">
        <f>STOCK[[#This Row],[Stock Actual]]*STOCK[[#This Row],[Costo total]]</f>
        <v>0</v>
      </c>
    </row>
    <row r="174" s="76" customFormat="1" ht="50" customHeight="1" spans="1:28">
      <c r="A174" s="76" t="s">
        <v>390</v>
      </c>
      <c r="B174" s="6"/>
      <c r="C174" s="76" t="s">
        <v>30</v>
      </c>
      <c r="D174" s="76" t="s">
        <v>391</v>
      </c>
      <c r="E174" s="76" t="s">
        <v>392</v>
      </c>
      <c r="F174" s="76" t="s">
        <v>393</v>
      </c>
      <c r="G174" s="76" t="s">
        <v>34</v>
      </c>
      <c r="H174" s="76">
        <f>STOCK[[#This Row],[Precio Final]]</f>
        <v>0</v>
      </c>
      <c r="I174" s="76">
        <f>STOCK[[#This Row],[Precio Venta Ideal (x1.5)]]</f>
        <v>2.86000000000001</v>
      </c>
      <c r="J174" s="91">
        <v>0</v>
      </c>
      <c r="K174" s="91">
        <f>SUMIFS(VENTAS[Cantidad],VENTAS[Código del producto Vendido],STOCK[[#This Row],[Code]])</f>
        <v>0</v>
      </c>
      <c r="L174" s="91">
        <f>STOCK[[#This Row],[Entradas]]-STOCK[[#This Row],[Salidas]]</f>
        <v>0</v>
      </c>
      <c r="M174" s="76">
        <f>STOCK[[#This Row],[Precio Final]]*10%</f>
        <v>0</v>
      </c>
      <c r="N174" s="76">
        <v>30</v>
      </c>
      <c r="O174" s="76">
        <v>18</v>
      </c>
      <c r="P174" s="76">
        <v>1.66666666666667</v>
      </c>
      <c r="Q174" s="91">
        <v>30</v>
      </c>
      <c r="R174" s="76">
        <v>8</v>
      </c>
      <c r="S174" s="76">
        <f>STOCK[[#This Row],[Peso (g)]]*STOCK[[#This Row],[Precio Envío Kilogramo (USD)]]/1000</f>
        <v>0.24</v>
      </c>
      <c r="T174" s="76">
        <f>STOCK[[#This Row],[Costo Unitario (USD)]]+STOCK[[#This Row],[Costo Envío (USD)]]+STOCK[[#This Row],[Comisión 10%]]</f>
        <v>1.90666666666667</v>
      </c>
      <c r="U174" s="76">
        <f>STOCK[[#This Row],[Costo total]]*1.5</f>
        <v>2.86000000000001</v>
      </c>
      <c r="V174" s="76">
        <v>0</v>
      </c>
      <c r="W174" s="76">
        <f>STOCK[[#This Row],[Precio Final]]-STOCK[[#This Row],[Costo total]]</f>
        <v>-1.90666666666667</v>
      </c>
      <c r="X174" s="76">
        <f>STOCK[[#This Row],[Ganancia Unitaria]]*STOCK[[#This Row],[Salidas]]</f>
        <v>0</v>
      </c>
      <c r="AA174" s="76">
        <f>STOCK[[#This Row],[Costo total]]*STOCK[[#This Row],[Entradas]]</f>
        <v>0</v>
      </c>
      <c r="AB174" s="76">
        <f>STOCK[[#This Row],[Stock Actual]]*STOCK[[#This Row],[Costo total]]</f>
        <v>0</v>
      </c>
    </row>
    <row r="175" s="77" customFormat="1" ht="50" customHeight="1" spans="1:28">
      <c r="A175" s="77" t="s">
        <v>394</v>
      </c>
      <c r="B175" s="6"/>
      <c r="C175" s="77" t="s">
        <v>30</v>
      </c>
      <c r="D175" s="77" t="s">
        <v>350</v>
      </c>
      <c r="E175" s="77" t="s">
        <v>395</v>
      </c>
      <c r="F175" s="77" t="s">
        <v>387</v>
      </c>
      <c r="G175" s="77" t="s">
        <v>34</v>
      </c>
      <c r="H175" s="77">
        <f>STOCK[[#This Row],[Precio Final]]</f>
        <v>15</v>
      </c>
      <c r="I175" s="77">
        <f>STOCK[[#This Row],[Precio Venta Ideal (x1.5)]]</f>
        <v>16.3183333333333</v>
      </c>
      <c r="J175" s="92">
        <v>2</v>
      </c>
      <c r="K175" s="92">
        <f>SUMIFS(VENTAS[Cantidad],VENTAS[Código del producto Vendido],STOCK[[#This Row],[Code]])</f>
        <v>2</v>
      </c>
      <c r="L175" s="92">
        <f>STOCK[[#This Row],[Entradas]]-STOCK[[#This Row],[Salidas]]</f>
        <v>0</v>
      </c>
      <c r="M175" s="77">
        <f>STOCK[[#This Row],[Precio Final]]*10%</f>
        <v>1.5</v>
      </c>
      <c r="N175" s="77">
        <v>140.02</v>
      </c>
      <c r="O175" s="77">
        <v>18</v>
      </c>
      <c r="P175" s="77">
        <v>7.77888888888889</v>
      </c>
      <c r="Q175" s="92">
        <v>200</v>
      </c>
      <c r="R175" s="77">
        <v>8</v>
      </c>
      <c r="S175" s="77">
        <f>STOCK[[#This Row],[Peso (g)]]*STOCK[[#This Row],[Precio Envío Kilogramo (USD)]]/1000</f>
        <v>1.6</v>
      </c>
      <c r="T175" s="76">
        <f>STOCK[[#This Row],[Costo Unitario (USD)]]+STOCK[[#This Row],[Costo Envío (USD)]]+STOCK[[#This Row],[Comisión 10%]]</f>
        <v>10.8788888888889</v>
      </c>
      <c r="U175" s="77">
        <f>STOCK[[#This Row],[Costo total]]*1.5</f>
        <v>16.3183333333333</v>
      </c>
      <c r="V175" s="77">
        <v>15</v>
      </c>
      <c r="W175" s="77">
        <f>STOCK[[#This Row],[Precio Final]]-STOCK[[#This Row],[Costo total]]</f>
        <v>4.12111111111111</v>
      </c>
      <c r="X175" s="77">
        <f>STOCK[[#This Row],[Ganancia Unitaria]]*STOCK[[#This Row],[Salidas]]</f>
        <v>8.24222222222222</v>
      </c>
      <c r="AA175" s="77">
        <f>STOCK[[#This Row],[Costo total]]*STOCK[[#This Row],[Entradas]]</f>
        <v>21.7577777777778</v>
      </c>
      <c r="AB175" s="77">
        <f>STOCK[[#This Row],[Stock Actual]]*STOCK[[#This Row],[Costo total]]</f>
        <v>0</v>
      </c>
    </row>
    <row r="176" s="76" customFormat="1" ht="50" customHeight="1" spans="1:28">
      <c r="A176" s="76" t="s">
        <v>396</v>
      </c>
      <c r="B176" s="6"/>
      <c r="C176" s="76" t="s">
        <v>30</v>
      </c>
      <c r="D176" s="76" t="s">
        <v>350</v>
      </c>
      <c r="E176" s="76" t="s">
        <v>397</v>
      </c>
      <c r="F176" s="76" t="s">
        <v>393</v>
      </c>
      <c r="G176" s="76" t="s">
        <v>34</v>
      </c>
      <c r="H176" s="76">
        <f>STOCK[[#This Row],[Precio Final]]</f>
        <v>10</v>
      </c>
      <c r="I176" s="76">
        <f>STOCK[[#This Row],[Precio Venta Ideal (x1.5)]]</f>
        <v>8.07250000000001</v>
      </c>
      <c r="J176" s="91">
        <v>1</v>
      </c>
      <c r="K176" s="91">
        <f>SUMIFS(VENTAS[Cantidad],VENTAS[Código del producto Vendido],STOCK[[#This Row],[Code]])</f>
        <v>1</v>
      </c>
      <c r="L176" s="91">
        <f>STOCK[[#This Row],[Entradas]]-STOCK[[#This Row],[Salidas]]</f>
        <v>0</v>
      </c>
      <c r="M176" s="76">
        <f>STOCK[[#This Row],[Precio Final]]*10%</f>
        <v>1</v>
      </c>
      <c r="N176" s="76">
        <v>64.47</v>
      </c>
      <c r="O176" s="76">
        <v>18</v>
      </c>
      <c r="P176" s="76">
        <v>3.58166666666667</v>
      </c>
      <c r="Q176" s="91">
        <v>100</v>
      </c>
      <c r="R176" s="76">
        <v>8</v>
      </c>
      <c r="S176" s="76">
        <f>STOCK[[#This Row],[Peso (g)]]*STOCK[[#This Row],[Precio Envío Kilogramo (USD)]]/1000</f>
        <v>0.8</v>
      </c>
      <c r="T176" s="76">
        <f>STOCK[[#This Row],[Costo Unitario (USD)]]+STOCK[[#This Row],[Costo Envío (USD)]]+STOCK[[#This Row],[Comisión 10%]]</f>
        <v>5.38166666666667</v>
      </c>
      <c r="U176" s="76">
        <f>STOCK[[#This Row],[Costo total]]*1.5</f>
        <v>8.07250000000001</v>
      </c>
      <c r="V176" s="76">
        <v>10</v>
      </c>
      <c r="W176" s="76">
        <f>STOCK[[#This Row],[Precio Final]]-STOCK[[#This Row],[Costo total]]</f>
        <v>4.61833333333333</v>
      </c>
      <c r="X176" s="76">
        <f>STOCK[[#This Row],[Ganancia Unitaria]]*STOCK[[#This Row],[Salidas]]</f>
        <v>4.61833333333333</v>
      </c>
      <c r="AA176" s="76">
        <f>STOCK[[#This Row],[Costo total]]*STOCK[[#This Row],[Entradas]]</f>
        <v>5.38166666666667</v>
      </c>
      <c r="AB176" s="76">
        <f>STOCK[[#This Row],[Stock Actual]]*STOCK[[#This Row],[Costo total]]</f>
        <v>0</v>
      </c>
    </row>
    <row r="177" s="77" customFormat="1" ht="50" customHeight="1" spans="1:28">
      <c r="A177" s="77" t="s">
        <v>398</v>
      </c>
      <c r="B177" s="6"/>
      <c r="C177" s="77" t="s">
        <v>30</v>
      </c>
      <c r="D177" s="77" t="s">
        <v>42</v>
      </c>
      <c r="E177" s="77" t="s">
        <v>399</v>
      </c>
      <c r="F177" s="77" t="s">
        <v>44</v>
      </c>
      <c r="G177" s="77" t="s">
        <v>34</v>
      </c>
      <c r="H177" s="77">
        <f>STOCK[[#This Row],[Precio Final]]</f>
        <v>30</v>
      </c>
      <c r="I177" s="77">
        <f>STOCK[[#This Row],[Precio Venta Ideal (x1.5)]]</f>
        <v>33.315</v>
      </c>
      <c r="J177" s="92">
        <v>1</v>
      </c>
      <c r="K177" s="92">
        <f>SUMIFS(VENTAS[Cantidad],VENTAS[Código del producto Vendido],STOCK[[#This Row],[Code]])</f>
        <v>1</v>
      </c>
      <c r="L177" s="92">
        <f>STOCK[[#This Row],[Entradas]]-STOCK[[#This Row],[Salidas]]</f>
        <v>0</v>
      </c>
      <c r="M177" s="77">
        <f>STOCK[[#This Row],[Precio Final]]*10%</f>
        <v>3</v>
      </c>
      <c r="N177" s="77">
        <v>250.92</v>
      </c>
      <c r="O177" s="77">
        <v>18</v>
      </c>
      <c r="P177" s="77">
        <v>13.94</v>
      </c>
      <c r="Q177" s="92">
        <v>310</v>
      </c>
      <c r="R177" s="77">
        <v>17</v>
      </c>
      <c r="S177" s="77">
        <f>STOCK[[#This Row],[Peso (g)]]*STOCK[[#This Row],[Precio Envío Kilogramo (USD)]]/1000</f>
        <v>5.27</v>
      </c>
      <c r="T177" s="76">
        <f>STOCK[[#This Row],[Costo Unitario (USD)]]+STOCK[[#This Row],[Costo Envío (USD)]]+STOCK[[#This Row],[Comisión 10%]]</f>
        <v>22.21</v>
      </c>
      <c r="U177" s="77">
        <f>STOCK[[#This Row],[Costo total]]*1.5</f>
        <v>33.315</v>
      </c>
      <c r="V177" s="77">
        <v>30</v>
      </c>
      <c r="W177" s="77">
        <f>STOCK[[#This Row],[Precio Final]]-STOCK[[#This Row],[Costo total]]</f>
        <v>7.79</v>
      </c>
      <c r="X177" s="77">
        <f>STOCK[[#This Row],[Ganancia Unitaria]]*STOCK[[#This Row],[Salidas]]</f>
        <v>7.79</v>
      </c>
      <c r="AA177" s="77">
        <f>STOCK[[#This Row],[Costo total]]*STOCK[[#This Row],[Entradas]]</f>
        <v>22.21</v>
      </c>
      <c r="AB177" s="77">
        <f>STOCK[[#This Row],[Stock Actual]]*STOCK[[#This Row],[Costo total]]</f>
        <v>0</v>
      </c>
    </row>
    <row r="178" s="76" customFormat="1" ht="50" customHeight="1" spans="1:28">
      <c r="A178" s="76" t="s">
        <v>400</v>
      </c>
      <c r="B178" s="6"/>
      <c r="C178" s="76" t="s">
        <v>30</v>
      </c>
      <c r="D178" s="76" t="s">
        <v>42</v>
      </c>
      <c r="E178" s="76" t="s">
        <v>401</v>
      </c>
      <c r="F178" s="76" t="s">
        <v>60</v>
      </c>
      <c r="G178" s="76" t="s">
        <v>34</v>
      </c>
      <c r="H178" s="76">
        <f>STOCK[[#This Row],[Precio Final]]</f>
        <v>30</v>
      </c>
      <c r="I178" s="76">
        <f>STOCK[[#This Row],[Precio Venta Ideal (x1.5)]]</f>
        <v>33.315</v>
      </c>
      <c r="J178" s="91">
        <v>2</v>
      </c>
      <c r="K178" s="91">
        <f>SUMIFS(VENTAS[Cantidad],VENTAS[Código del producto Vendido],STOCK[[#This Row],[Code]])</f>
        <v>2</v>
      </c>
      <c r="L178" s="91">
        <f>STOCK[[#This Row],[Entradas]]-STOCK[[#This Row],[Salidas]]</f>
        <v>0</v>
      </c>
      <c r="M178" s="76">
        <f>STOCK[[#This Row],[Precio Final]]*10%</f>
        <v>3</v>
      </c>
      <c r="N178" s="76">
        <v>250.92</v>
      </c>
      <c r="O178" s="76">
        <v>18</v>
      </c>
      <c r="P178" s="76">
        <v>13.94</v>
      </c>
      <c r="Q178" s="91">
        <v>310</v>
      </c>
      <c r="R178" s="76">
        <v>17</v>
      </c>
      <c r="S178" s="76">
        <f>STOCK[[#This Row],[Peso (g)]]*STOCK[[#This Row],[Precio Envío Kilogramo (USD)]]/1000</f>
        <v>5.27</v>
      </c>
      <c r="T178" s="76">
        <f>STOCK[[#This Row],[Costo Unitario (USD)]]+STOCK[[#This Row],[Costo Envío (USD)]]+STOCK[[#This Row],[Comisión 10%]]</f>
        <v>22.21</v>
      </c>
      <c r="U178" s="76">
        <f>STOCK[[#This Row],[Costo total]]*1.5</f>
        <v>33.315</v>
      </c>
      <c r="V178" s="76">
        <v>30</v>
      </c>
      <c r="W178" s="76">
        <f>STOCK[[#This Row],[Precio Final]]-STOCK[[#This Row],[Costo total]]</f>
        <v>7.79</v>
      </c>
      <c r="X178" s="76">
        <f>STOCK[[#This Row],[Ganancia Unitaria]]*STOCK[[#This Row],[Salidas]]</f>
        <v>15.58</v>
      </c>
      <c r="AA178" s="76">
        <f>STOCK[[#This Row],[Costo total]]*STOCK[[#This Row],[Entradas]]</f>
        <v>44.42</v>
      </c>
      <c r="AB178" s="76">
        <f>STOCK[[#This Row],[Stock Actual]]*STOCK[[#This Row],[Costo total]]</f>
        <v>0</v>
      </c>
    </row>
    <row r="179" s="77" customFormat="1" ht="50" customHeight="1" spans="1:28">
      <c r="A179" s="77" t="s">
        <v>402</v>
      </c>
      <c r="B179" s="6"/>
      <c r="C179" s="77" t="s">
        <v>30</v>
      </c>
      <c r="D179" s="77" t="s">
        <v>42</v>
      </c>
      <c r="E179" s="77" t="s">
        <v>403</v>
      </c>
      <c r="F179" s="77" t="s">
        <v>38</v>
      </c>
      <c r="G179" s="77" t="s">
        <v>34</v>
      </c>
      <c r="H179" s="77">
        <f>STOCK[[#This Row],[Precio Final]]</f>
        <v>55</v>
      </c>
      <c r="I179" s="77">
        <f>STOCK[[#This Row],[Precio Venta Ideal (x1.5)]]</f>
        <v>58.6875</v>
      </c>
      <c r="J179" s="92">
        <v>1</v>
      </c>
      <c r="K179" s="92">
        <f>SUMIFS(VENTAS[Cantidad],VENTAS[Código del producto Vendido],STOCK[[#This Row],[Code]])</f>
        <v>0</v>
      </c>
      <c r="L179" s="92">
        <f>STOCK[[#This Row],[Entradas]]-STOCK[[#This Row],[Salidas]]</f>
        <v>1</v>
      </c>
      <c r="M179" s="77">
        <f>STOCK[[#This Row],[Precio Final]]*10%</f>
        <v>5.5</v>
      </c>
      <c r="N179" s="77">
        <v>452.25</v>
      </c>
      <c r="O179" s="77">
        <v>18</v>
      </c>
      <c r="P179" s="77">
        <v>25.125</v>
      </c>
      <c r="Q179" s="92">
        <v>500</v>
      </c>
      <c r="R179" s="77">
        <v>17</v>
      </c>
      <c r="S179" s="77">
        <f>STOCK[[#This Row],[Peso (g)]]*STOCK[[#This Row],[Precio Envío Kilogramo (USD)]]/1000</f>
        <v>8.5</v>
      </c>
      <c r="T179" s="76">
        <f>STOCK[[#This Row],[Costo Unitario (USD)]]+STOCK[[#This Row],[Costo Envío (USD)]]+STOCK[[#This Row],[Comisión 10%]]</f>
        <v>39.125</v>
      </c>
      <c r="U179" s="77">
        <f>STOCK[[#This Row],[Costo total]]*1.5</f>
        <v>58.6875</v>
      </c>
      <c r="V179" s="77">
        <v>55</v>
      </c>
      <c r="W179" s="77">
        <f>STOCK[[#This Row],[Precio Final]]-STOCK[[#This Row],[Costo total]]</f>
        <v>15.875</v>
      </c>
      <c r="X179" s="77">
        <f>STOCK[[#This Row],[Ganancia Unitaria]]*STOCK[[#This Row],[Salidas]]</f>
        <v>0</v>
      </c>
      <c r="AA179" s="77">
        <f>STOCK[[#This Row],[Costo total]]*STOCK[[#This Row],[Entradas]]</f>
        <v>39.125</v>
      </c>
      <c r="AB179" s="77">
        <f>STOCK[[#This Row],[Stock Actual]]*STOCK[[#This Row],[Costo total]]</f>
        <v>39.125</v>
      </c>
    </row>
    <row r="180" s="76" customFormat="1" ht="50" customHeight="1" spans="1:28">
      <c r="A180" s="76" t="s">
        <v>404</v>
      </c>
      <c r="B180" s="6"/>
      <c r="C180" s="76" t="s">
        <v>30</v>
      </c>
      <c r="D180" s="76" t="s">
        <v>212</v>
      </c>
      <c r="E180" s="76" t="s">
        <v>405</v>
      </c>
      <c r="F180" s="76" t="s">
        <v>280</v>
      </c>
      <c r="G180" s="76" t="s">
        <v>34</v>
      </c>
      <c r="H180" s="76">
        <f>STOCK[[#This Row],[Precio Final]]</f>
        <v>20</v>
      </c>
      <c r="I180" s="76">
        <f>STOCK[[#This Row],[Precio Venta Ideal (x1.5)]]</f>
        <v>21.8558333333333</v>
      </c>
      <c r="J180" s="91">
        <v>2</v>
      </c>
      <c r="K180" s="91">
        <f>SUMIFS(VENTAS[Cantidad],VENTAS[Código del producto Vendido],STOCK[[#This Row],[Code]])</f>
        <v>2</v>
      </c>
      <c r="L180" s="91">
        <f>STOCK[[#This Row],[Entradas]]-STOCK[[#This Row],[Salidas]]</f>
        <v>0</v>
      </c>
      <c r="M180" s="76">
        <f>STOCK[[#This Row],[Precio Final]]*10%</f>
        <v>2</v>
      </c>
      <c r="N180" s="76">
        <v>134.47</v>
      </c>
      <c r="O180" s="76">
        <v>18</v>
      </c>
      <c r="P180" s="76">
        <v>7.47055555555556</v>
      </c>
      <c r="Q180" s="91">
        <v>300</v>
      </c>
      <c r="R180" s="76">
        <v>17</v>
      </c>
      <c r="S180" s="76">
        <f>STOCK[[#This Row],[Peso (g)]]*STOCK[[#This Row],[Precio Envío Kilogramo (USD)]]/1000</f>
        <v>5.1</v>
      </c>
      <c r="T180" s="76">
        <f>STOCK[[#This Row],[Costo Unitario (USD)]]+STOCK[[#This Row],[Costo Envío (USD)]]+STOCK[[#This Row],[Comisión 10%]]</f>
        <v>14.5705555555556</v>
      </c>
      <c r="U180" s="76">
        <f>STOCK[[#This Row],[Costo total]]*1.5</f>
        <v>21.8558333333333</v>
      </c>
      <c r="V180" s="76">
        <v>20</v>
      </c>
      <c r="W180" s="76">
        <f>STOCK[[#This Row],[Precio Final]]-STOCK[[#This Row],[Costo total]]</f>
        <v>5.42944444444444</v>
      </c>
      <c r="X180" s="76">
        <f>STOCK[[#This Row],[Ganancia Unitaria]]*STOCK[[#This Row],[Salidas]]</f>
        <v>10.8588888888889</v>
      </c>
      <c r="AA180" s="76">
        <f>STOCK[[#This Row],[Costo total]]*STOCK[[#This Row],[Entradas]]</f>
        <v>29.1411111111111</v>
      </c>
      <c r="AB180" s="76">
        <f>STOCK[[#This Row],[Stock Actual]]*STOCK[[#This Row],[Costo total]]</f>
        <v>0</v>
      </c>
    </row>
    <row r="181" s="77" customFormat="1" ht="50" customHeight="1" spans="1:28">
      <c r="A181" s="77" t="s">
        <v>406</v>
      </c>
      <c r="B181" s="6"/>
      <c r="C181" s="77" t="s">
        <v>30</v>
      </c>
      <c r="D181" s="77" t="s">
        <v>36</v>
      </c>
      <c r="E181" s="77" t="s">
        <v>407</v>
      </c>
      <c r="F181" s="77" t="s">
        <v>60</v>
      </c>
      <c r="G181" s="77" t="s">
        <v>34</v>
      </c>
      <c r="H181" s="77">
        <f>STOCK[[#This Row],[Precio Final]]</f>
        <v>18</v>
      </c>
      <c r="I181" s="77">
        <f>STOCK[[#This Row],[Precio Venta Ideal (x1.5)]]</f>
        <v>17.2</v>
      </c>
      <c r="J181" s="92">
        <v>2</v>
      </c>
      <c r="K181" s="92">
        <f>SUMIFS(VENTAS[Cantidad],VENTAS[Código del producto Vendido],STOCK[[#This Row],[Code]])</f>
        <v>2</v>
      </c>
      <c r="L181" s="92">
        <f>STOCK[[#This Row],[Entradas]]-STOCK[[#This Row],[Salidas]]</f>
        <v>0</v>
      </c>
      <c r="M181" s="77">
        <f>STOCK[[#This Row],[Precio Final]]*10%</f>
        <v>1.8</v>
      </c>
      <c r="N181" s="77">
        <v>138</v>
      </c>
      <c r="O181" s="77">
        <v>18</v>
      </c>
      <c r="P181" s="77">
        <v>7.66666666666667</v>
      </c>
      <c r="Q181" s="92">
        <v>250</v>
      </c>
      <c r="R181" s="77">
        <v>8</v>
      </c>
      <c r="S181" s="77">
        <f>STOCK[[#This Row],[Peso (g)]]*STOCK[[#This Row],[Precio Envío Kilogramo (USD)]]/1000</f>
        <v>2</v>
      </c>
      <c r="T181" s="76">
        <f>STOCK[[#This Row],[Costo Unitario (USD)]]+STOCK[[#This Row],[Costo Envío (USD)]]+STOCK[[#This Row],[Comisión 10%]]</f>
        <v>11.4666666666667</v>
      </c>
      <c r="U181" s="77">
        <f>STOCK[[#This Row],[Costo total]]*1.5</f>
        <v>17.2</v>
      </c>
      <c r="V181" s="77">
        <v>18</v>
      </c>
      <c r="W181" s="77">
        <f>STOCK[[#This Row],[Precio Final]]-STOCK[[#This Row],[Costo total]]</f>
        <v>6.53333333333333</v>
      </c>
      <c r="X181" s="77">
        <f>STOCK[[#This Row],[Ganancia Unitaria]]*STOCK[[#This Row],[Salidas]]</f>
        <v>13.0666666666667</v>
      </c>
      <c r="AA181" s="77">
        <f>STOCK[[#This Row],[Costo total]]*STOCK[[#This Row],[Entradas]]</f>
        <v>22.9333333333333</v>
      </c>
      <c r="AB181" s="77">
        <f>STOCK[[#This Row],[Stock Actual]]*STOCK[[#This Row],[Costo total]]</f>
        <v>0</v>
      </c>
    </row>
    <row r="182" s="76" customFormat="1" ht="50" customHeight="1" spans="1:28">
      <c r="A182" s="76" t="s">
        <v>408</v>
      </c>
      <c r="B182" s="6"/>
      <c r="C182" s="76" t="s">
        <v>30</v>
      </c>
      <c r="D182" s="76" t="s">
        <v>36</v>
      </c>
      <c r="E182" s="76" t="s">
        <v>407</v>
      </c>
      <c r="F182" s="76" t="s">
        <v>44</v>
      </c>
      <c r="G182" s="76" t="s">
        <v>34</v>
      </c>
      <c r="H182" s="76">
        <f>STOCK[[#This Row],[Precio Final]]</f>
        <v>18</v>
      </c>
      <c r="I182" s="76">
        <f>STOCK[[#This Row],[Precio Venta Ideal (x1.5)]]</f>
        <v>17.2</v>
      </c>
      <c r="J182" s="91">
        <v>3</v>
      </c>
      <c r="K182" s="91">
        <f>SUMIFS(VENTAS[Cantidad],VENTAS[Código del producto Vendido],STOCK[[#This Row],[Code]])</f>
        <v>3</v>
      </c>
      <c r="L182" s="91">
        <f>STOCK[[#This Row],[Entradas]]-STOCK[[#This Row],[Salidas]]</f>
        <v>0</v>
      </c>
      <c r="M182" s="76">
        <f>STOCK[[#This Row],[Precio Final]]*10%</f>
        <v>1.8</v>
      </c>
      <c r="N182" s="76">
        <v>138</v>
      </c>
      <c r="O182" s="76">
        <v>18</v>
      </c>
      <c r="P182" s="76">
        <v>7.66666666666667</v>
      </c>
      <c r="Q182" s="91">
        <v>250</v>
      </c>
      <c r="R182" s="76">
        <v>8</v>
      </c>
      <c r="S182" s="76">
        <f>STOCK[[#This Row],[Peso (g)]]*STOCK[[#This Row],[Precio Envío Kilogramo (USD)]]/1000</f>
        <v>2</v>
      </c>
      <c r="T182" s="76">
        <f>STOCK[[#This Row],[Costo Unitario (USD)]]+STOCK[[#This Row],[Costo Envío (USD)]]+STOCK[[#This Row],[Comisión 10%]]</f>
        <v>11.4666666666667</v>
      </c>
      <c r="U182" s="76">
        <f>STOCK[[#This Row],[Costo total]]*1.5</f>
        <v>17.2</v>
      </c>
      <c r="V182" s="76">
        <v>18</v>
      </c>
      <c r="W182" s="76">
        <f>STOCK[[#This Row],[Precio Final]]-STOCK[[#This Row],[Costo total]]</f>
        <v>6.53333333333333</v>
      </c>
      <c r="X182" s="76">
        <f>STOCK[[#This Row],[Ganancia Unitaria]]*STOCK[[#This Row],[Salidas]]</f>
        <v>19.6</v>
      </c>
      <c r="AA182" s="76">
        <f>STOCK[[#This Row],[Costo total]]*STOCK[[#This Row],[Entradas]]</f>
        <v>34.4</v>
      </c>
      <c r="AB182" s="76">
        <f>STOCK[[#This Row],[Stock Actual]]*STOCK[[#This Row],[Costo total]]</f>
        <v>0</v>
      </c>
    </row>
    <row r="183" s="77" customFormat="1" ht="50" customHeight="1" spans="1:28">
      <c r="A183" s="77" t="s">
        <v>409</v>
      </c>
      <c r="B183" s="6"/>
      <c r="C183" s="77" t="s">
        <v>30</v>
      </c>
      <c r="D183" s="77" t="s">
        <v>36</v>
      </c>
      <c r="E183" s="77" t="s">
        <v>407</v>
      </c>
      <c r="F183" s="77" t="s">
        <v>47</v>
      </c>
      <c r="G183" s="77" t="s">
        <v>34</v>
      </c>
      <c r="H183" s="77">
        <f>STOCK[[#This Row],[Precio Final]]</f>
        <v>18</v>
      </c>
      <c r="I183" s="77">
        <f>STOCK[[#This Row],[Precio Venta Ideal (x1.5)]]</f>
        <v>17.2</v>
      </c>
      <c r="J183" s="92">
        <v>2</v>
      </c>
      <c r="K183" s="92">
        <f>SUMIFS(VENTAS[Cantidad],VENTAS[Código del producto Vendido],STOCK[[#This Row],[Code]])</f>
        <v>2</v>
      </c>
      <c r="L183" s="92">
        <f>STOCK[[#This Row],[Entradas]]-STOCK[[#This Row],[Salidas]]</f>
        <v>0</v>
      </c>
      <c r="M183" s="77">
        <f>STOCK[[#This Row],[Precio Final]]*10%</f>
        <v>1.8</v>
      </c>
      <c r="N183" s="77">
        <v>138</v>
      </c>
      <c r="O183" s="77">
        <v>18</v>
      </c>
      <c r="P183" s="77">
        <v>7.66666666666667</v>
      </c>
      <c r="Q183" s="92">
        <v>250</v>
      </c>
      <c r="R183" s="77">
        <v>8</v>
      </c>
      <c r="S183" s="77">
        <f>STOCK[[#This Row],[Peso (g)]]*STOCK[[#This Row],[Precio Envío Kilogramo (USD)]]/1000</f>
        <v>2</v>
      </c>
      <c r="T183" s="76">
        <f>STOCK[[#This Row],[Costo Unitario (USD)]]+STOCK[[#This Row],[Costo Envío (USD)]]+STOCK[[#This Row],[Comisión 10%]]</f>
        <v>11.4666666666667</v>
      </c>
      <c r="U183" s="77">
        <f>STOCK[[#This Row],[Costo total]]*1.5</f>
        <v>17.2</v>
      </c>
      <c r="V183" s="77">
        <v>18</v>
      </c>
      <c r="W183" s="77">
        <f>STOCK[[#This Row],[Precio Final]]-STOCK[[#This Row],[Costo total]]</f>
        <v>6.53333333333333</v>
      </c>
      <c r="X183" s="77">
        <f>STOCK[[#This Row],[Ganancia Unitaria]]*STOCK[[#This Row],[Salidas]]</f>
        <v>13.0666666666667</v>
      </c>
      <c r="AA183" s="77">
        <f>STOCK[[#This Row],[Costo total]]*STOCK[[#This Row],[Entradas]]</f>
        <v>22.9333333333333</v>
      </c>
      <c r="AB183" s="77">
        <f>STOCK[[#This Row],[Stock Actual]]*STOCK[[#This Row],[Costo total]]</f>
        <v>0</v>
      </c>
    </row>
    <row r="184" s="76" customFormat="1" ht="50" customHeight="1" spans="1:28">
      <c r="A184" s="76" t="s">
        <v>410</v>
      </c>
      <c r="B184" s="6"/>
      <c r="C184" s="76" t="s">
        <v>30</v>
      </c>
      <c r="D184" s="77" t="s">
        <v>36</v>
      </c>
      <c r="E184" s="76" t="s">
        <v>37</v>
      </c>
      <c r="F184" s="76" t="s">
        <v>86</v>
      </c>
      <c r="G184" s="76" t="s">
        <v>34</v>
      </c>
      <c r="H184" s="76">
        <f>STOCK[[#This Row],[Precio Final]]</f>
        <v>25</v>
      </c>
      <c r="I184" s="76">
        <f>STOCK[[#This Row],[Precio Venta Ideal (x1.5)]]</f>
        <v>24.6666666666666</v>
      </c>
      <c r="J184" s="91">
        <v>1</v>
      </c>
      <c r="K184" s="91">
        <f>SUMIFS(VENTAS[Cantidad],VENTAS[Código del producto Vendido],STOCK[[#This Row],[Code]])</f>
        <v>1</v>
      </c>
      <c r="L184" s="91">
        <f>STOCK[[#This Row],[Entradas]]-STOCK[[#This Row],[Salidas]]</f>
        <v>0</v>
      </c>
      <c r="M184" s="76">
        <f>STOCK[[#This Row],[Precio Final]]*10%</f>
        <v>2.5</v>
      </c>
      <c r="N184" s="76">
        <v>215</v>
      </c>
      <c r="O184" s="76">
        <v>18</v>
      </c>
      <c r="P184" s="76">
        <v>11.9444444444444</v>
      </c>
      <c r="Q184" s="91">
        <v>250</v>
      </c>
      <c r="R184" s="76">
        <v>8</v>
      </c>
      <c r="S184" s="76">
        <f>STOCK[[#This Row],[Peso (g)]]*STOCK[[#This Row],[Precio Envío Kilogramo (USD)]]/1000</f>
        <v>2</v>
      </c>
      <c r="T184" s="76">
        <f>STOCK[[#This Row],[Costo Unitario (USD)]]+STOCK[[#This Row],[Costo Envío (USD)]]+STOCK[[#This Row],[Comisión 10%]]</f>
        <v>16.4444444444444</v>
      </c>
      <c r="U184" s="76">
        <f>STOCK[[#This Row],[Costo total]]*1.5</f>
        <v>24.6666666666666</v>
      </c>
      <c r="V184" s="76">
        <v>25</v>
      </c>
      <c r="W184" s="76">
        <f>STOCK[[#This Row],[Precio Final]]-STOCK[[#This Row],[Costo total]]</f>
        <v>8.5555555555556</v>
      </c>
      <c r="X184" s="76">
        <f>STOCK[[#This Row],[Ganancia Unitaria]]*STOCK[[#This Row],[Salidas]]</f>
        <v>8.5555555555556</v>
      </c>
      <c r="AA184" s="76">
        <f>STOCK[[#This Row],[Costo total]]*STOCK[[#This Row],[Entradas]]</f>
        <v>16.4444444444444</v>
      </c>
      <c r="AB184" s="76">
        <f>STOCK[[#This Row],[Stock Actual]]*STOCK[[#This Row],[Costo total]]</f>
        <v>0</v>
      </c>
    </row>
    <row r="185" s="77" customFormat="1" ht="50" customHeight="1" spans="1:28">
      <c r="A185" s="77" t="s">
        <v>411</v>
      </c>
      <c r="B185" s="6"/>
      <c r="C185" s="77" t="s">
        <v>30</v>
      </c>
      <c r="D185" s="77" t="s">
        <v>36</v>
      </c>
      <c r="E185" s="77" t="s">
        <v>37</v>
      </c>
      <c r="F185" s="77" t="s">
        <v>47</v>
      </c>
      <c r="G185" s="77" t="s">
        <v>34</v>
      </c>
      <c r="H185" s="77">
        <f>STOCK[[#This Row],[Precio Final]]</f>
        <v>22</v>
      </c>
      <c r="I185" s="77">
        <f>STOCK[[#This Row],[Precio Venta Ideal (x1.5)]]</f>
        <v>24.2166666666666</v>
      </c>
      <c r="J185" s="92">
        <v>2</v>
      </c>
      <c r="K185" s="92">
        <f>SUMIFS(VENTAS[Cantidad],VENTAS[Código del producto Vendido],STOCK[[#This Row],[Code]])</f>
        <v>2</v>
      </c>
      <c r="L185" s="92">
        <f>STOCK[[#This Row],[Entradas]]-STOCK[[#This Row],[Salidas]]</f>
        <v>0</v>
      </c>
      <c r="M185" s="77">
        <f>STOCK[[#This Row],[Precio Final]]*10%</f>
        <v>2.2</v>
      </c>
      <c r="N185" s="77">
        <v>215</v>
      </c>
      <c r="O185" s="77">
        <v>18</v>
      </c>
      <c r="P185" s="77">
        <v>11.9444444444444</v>
      </c>
      <c r="Q185" s="92">
        <v>250</v>
      </c>
      <c r="R185" s="77">
        <v>8</v>
      </c>
      <c r="S185" s="77">
        <f>STOCK[[#This Row],[Peso (g)]]*STOCK[[#This Row],[Precio Envío Kilogramo (USD)]]/1000</f>
        <v>2</v>
      </c>
      <c r="T185" s="76">
        <f>STOCK[[#This Row],[Costo Unitario (USD)]]+STOCK[[#This Row],[Costo Envío (USD)]]+STOCK[[#This Row],[Comisión 10%]]</f>
        <v>16.1444444444444</v>
      </c>
      <c r="U185" s="77">
        <f>STOCK[[#This Row],[Costo total]]*1.5</f>
        <v>24.2166666666666</v>
      </c>
      <c r="V185" s="77">
        <v>22</v>
      </c>
      <c r="W185" s="77">
        <f>STOCK[[#This Row],[Precio Final]]-STOCK[[#This Row],[Costo total]]</f>
        <v>5.8555555555556</v>
      </c>
      <c r="X185" s="77">
        <f>STOCK[[#This Row],[Ganancia Unitaria]]*STOCK[[#This Row],[Salidas]]</f>
        <v>11.7111111111112</v>
      </c>
      <c r="AA185" s="77">
        <f>STOCK[[#This Row],[Costo total]]*STOCK[[#This Row],[Entradas]]</f>
        <v>32.2888888888888</v>
      </c>
      <c r="AB185" s="77">
        <f>STOCK[[#This Row],[Stock Actual]]*STOCK[[#This Row],[Costo total]]</f>
        <v>0</v>
      </c>
    </row>
    <row r="186" s="76" customFormat="1" ht="50" customHeight="1" spans="1:28">
      <c r="A186" s="76" t="s">
        <v>412</v>
      </c>
      <c r="B186" s="6"/>
      <c r="C186" s="76" t="s">
        <v>30</v>
      </c>
      <c r="D186" s="76" t="s">
        <v>36</v>
      </c>
      <c r="E186" s="76" t="s">
        <v>37</v>
      </c>
      <c r="F186" s="76" t="s">
        <v>44</v>
      </c>
      <c r="G186" s="76" t="s">
        <v>34</v>
      </c>
      <c r="H186" s="76">
        <f>STOCK[[#This Row],[Precio Final]]</f>
        <v>25</v>
      </c>
      <c r="I186" s="76">
        <f>STOCK[[#This Row],[Precio Venta Ideal (x1.5)]]</f>
        <v>24.6666666666666</v>
      </c>
      <c r="J186" s="91">
        <v>2</v>
      </c>
      <c r="K186" s="91">
        <f>SUMIFS(VENTAS[Cantidad],VENTAS[Código del producto Vendido],STOCK[[#This Row],[Code]])</f>
        <v>2</v>
      </c>
      <c r="L186" s="91">
        <f>STOCK[[#This Row],[Entradas]]-STOCK[[#This Row],[Salidas]]</f>
        <v>0</v>
      </c>
      <c r="M186" s="76">
        <f>STOCK[[#This Row],[Precio Final]]*10%</f>
        <v>2.5</v>
      </c>
      <c r="N186" s="76">
        <v>215</v>
      </c>
      <c r="O186" s="76">
        <v>18</v>
      </c>
      <c r="P186" s="76">
        <v>11.9444444444444</v>
      </c>
      <c r="Q186" s="91">
        <v>250</v>
      </c>
      <c r="R186" s="76">
        <v>8</v>
      </c>
      <c r="S186" s="76">
        <f>STOCK[[#This Row],[Peso (g)]]*STOCK[[#This Row],[Precio Envío Kilogramo (USD)]]/1000</f>
        <v>2</v>
      </c>
      <c r="T186" s="76">
        <f>STOCK[[#This Row],[Costo Unitario (USD)]]+STOCK[[#This Row],[Costo Envío (USD)]]+STOCK[[#This Row],[Comisión 10%]]</f>
        <v>16.4444444444444</v>
      </c>
      <c r="U186" s="76">
        <f>STOCK[[#This Row],[Costo total]]*1.5</f>
        <v>24.6666666666666</v>
      </c>
      <c r="V186" s="76">
        <v>25</v>
      </c>
      <c r="W186" s="76">
        <f>STOCK[[#This Row],[Precio Final]]-STOCK[[#This Row],[Costo total]]</f>
        <v>8.5555555555556</v>
      </c>
      <c r="X186" s="76">
        <f>STOCK[[#This Row],[Ganancia Unitaria]]*STOCK[[#This Row],[Salidas]]</f>
        <v>17.1111111111112</v>
      </c>
      <c r="AA186" s="76">
        <f>STOCK[[#This Row],[Costo total]]*STOCK[[#This Row],[Entradas]]</f>
        <v>32.8888888888888</v>
      </c>
      <c r="AB186" s="76">
        <f>STOCK[[#This Row],[Stock Actual]]*STOCK[[#This Row],[Costo total]]</f>
        <v>0</v>
      </c>
    </row>
    <row r="187" s="77" customFormat="1" ht="50" customHeight="1" spans="1:28">
      <c r="A187" s="77" t="s">
        <v>413</v>
      </c>
      <c r="B187" s="6"/>
      <c r="C187" s="77" t="s">
        <v>30</v>
      </c>
      <c r="D187" s="77" t="s">
        <v>36</v>
      </c>
      <c r="E187" s="77" t="s">
        <v>414</v>
      </c>
      <c r="F187" s="77" t="s">
        <v>44</v>
      </c>
      <c r="G187" s="77" t="s">
        <v>34</v>
      </c>
      <c r="H187" s="77">
        <f>STOCK[[#This Row],[Precio Final]]</f>
        <v>22</v>
      </c>
      <c r="I187" s="77">
        <f>STOCK[[#This Row],[Precio Venta Ideal (x1.5)]]</f>
        <v>23.3833333333333</v>
      </c>
      <c r="J187" s="92">
        <v>2</v>
      </c>
      <c r="K187" s="92">
        <f>SUMIFS(VENTAS[Cantidad],VENTAS[Código del producto Vendido],STOCK[[#This Row],[Code]])</f>
        <v>2</v>
      </c>
      <c r="L187" s="92">
        <f>STOCK[[#This Row],[Entradas]]-STOCK[[#This Row],[Salidas]]</f>
        <v>0</v>
      </c>
      <c r="M187" s="77">
        <f>STOCK[[#This Row],[Precio Final]]*10%</f>
        <v>2.2</v>
      </c>
      <c r="N187" s="77">
        <v>205</v>
      </c>
      <c r="O187" s="77">
        <v>18</v>
      </c>
      <c r="P187" s="77">
        <v>11.3888888888889</v>
      </c>
      <c r="Q187" s="92">
        <v>250</v>
      </c>
      <c r="R187" s="77">
        <v>8</v>
      </c>
      <c r="S187" s="77">
        <f>STOCK[[#This Row],[Peso (g)]]*STOCK[[#This Row],[Precio Envío Kilogramo (USD)]]/1000</f>
        <v>2</v>
      </c>
      <c r="T187" s="76">
        <f>STOCK[[#This Row],[Costo Unitario (USD)]]+STOCK[[#This Row],[Costo Envío (USD)]]+STOCK[[#This Row],[Comisión 10%]]</f>
        <v>15.5888888888889</v>
      </c>
      <c r="U187" s="77">
        <f>STOCK[[#This Row],[Costo total]]*1.5</f>
        <v>23.3833333333333</v>
      </c>
      <c r="V187" s="77">
        <v>22</v>
      </c>
      <c r="W187" s="77">
        <f>STOCK[[#This Row],[Precio Final]]-STOCK[[#This Row],[Costo total]]</f>
        <v>6.4111111111111</v>
      </c>
      <c r="X187" s="77">
        <f>STOCK[[#This Row],[Ganancia Unitaria]]*STOCK[[#This Row],[Salidas]]</f>
        <v>12.8222222222222</v>
      </c>
      <c r="AA187" s="77">
        <f>STOCK[[#This Row],[Costo total]]*STOCK[[#This Row],[Entradas]]</f>
        <v>31.1777777777778</v>
      </c>
      <c r="AB187" s="77">
        <f>STOCK[[#This Row],[Stock Actual]]*STOCK[[#This Row],[Costo total]]</f>
        <v>0</v>
      </c>
    </row>
    <row r="188" s="76" customFormat="1" ht="50" customHeight="1" spans="1:28">
      <c r="A188" s="76" t="s">
        <v>415</v>
      </c>
      <c r="B188" s="6"/>
      <c r="C188" s="76" t="s">
        <v>30</v>
      </c>
      <c r="D188" s="76" t="s">
        <v>36</v>
      </c>
      <c r="E188" s="76" t="s">
        <v>416</v>
      </c>
      <c r="F188" s="76" t="s">
        <v>44</v>
      </c>
      <c r="G188" s="76" t="s">
        <v>34</v>
      </c>
      <c r="H188" s="76">
        <f>STOCK[[#This Row],[Precio Final]]</f>
        <v>22</v>
      </c>
      <c r="I188" s="76">
        <f>STOCK[[#This Row],[Precio Venta Ideal (x1.5)]]</f>
        <v>23.3833333333333</v>
      </c>
      <c r="J188" s="91">
        <v>2</v>
      </c>
      <c r="K188" s="91">
        <f>SUMIFS(VENTAS[Cantidad],VENTAS[Código del producto Vendido],STOCK[[#This Row],[Code]])</f>
        <v>2</v>
      </c>
      <c r="L188" s="91">
        <f>STOCK[[#This Row],[Entradas]]-STOCK[[#This Row],[Salidas]]</f>
        <v>0</v>
      </c>
      <c r="M188" s="76">
        <f>STOCK[[#This Row],[Precio Final]]*10%</f>
        <v>2.2</v>
      </c>
      <c r="N188" s="76">
        <v>205</v>
      </c>
      <c r="O188" s="76">
        <v>18</v>
      </c>
      <c r="P188" s="76">
        <v>11.3888888888889</v>
      </c>
      <c r="Q188" s="91">
        <v>250</v>
      </c>
      <c r="R188" s="76">
        <v>8</v>
      </c>
      <c r="S188" s="76">
        <f>STOCK[[#This Row],[Peso (g)]]*STOCK[[#This Row],[Precio Envío Kilogramo (USD)]]/1000</f>
        <v>2</v>
      </c>
      <c r="T188" s="76">
        <f>STOCK[[#This Row],[Costo Unitario (USD)]]+STOCK[[#This Row],[Costo Envío (USD)]]+STOCK[[#This Row],[Comisión 10%]]</f>
        <v>15.5888888888889</v>
      </c>
      <c r="U188" s="76">
        <f>STOCK[[#This Row],[Costo total]]*1.5</f>
        <v>23.3833333333333</v>
      </c>
      <c r="V188" s="76">
        <v>22</v>
      </c>
      <c r="W188" s="76">
        <f>STOCK[[#This Row],[Precio Final]]-STOCK[[#This Row],[Costo total]]</f>
        <v>6.4111111111111</v>
      </c>
      <c r="X188" s="76">
        <f>STOCK[[#This Row],[Ganancia Unitaria]]*STOCK[[#This Row],[Salidas]]</f>
        <v>12.8222222222222</v>
      </c>
      <c r="AA188" s="76">
        <f>STOCK[[#This Row],[Costo total]]*STOCK[[#This Row],[Entradas]]</f>
        <v>31.1777777777778</v>
      </c>
      <c r="AB188" s="76">
        <f>STOCK[[#This Row],[Stock Actual]]*STOCK[[#This Row],[Costo total]]</f>
        <v>0</v>
      </c>
    </row>
    <row r="189" s="77" customFormat="1" ht="50" customHeight="1" spans="1:28">
      <c r="A189" s="77" t="s">
        <v>417</v>
      </c>
      <c r="B189" s="6"/>
      <c r="C189" s="77" t="s">
        <v>30</v>
      </c>
      <c r="D189" s="77" t="s">
        <v>36</v>
      </c>
      <c r="E189" s="77" t="s">
        <v>418</v>
      </c>
      <c r="F189" s="77" t="s">
        <v>60</v>
      </c>
      <c r="G189" s="77" t="s">
        <v>34</v>
      </c>
      <c r="H189" s="77">
        <f>STOCK[[#This Row],[Precio Final]]</f>
        <v>22</v>
      </c>
      <c r="I189" s="77">
        <f>STOCK[[#This Row],[Precio Venta Ideal (x1.5)]]</f>
        <v>23.3833333333333</v>
      </c>
      <c r="J189" s="92">
        <v>2</v>
      </c>
      <c r="K189" s="92">
        <f>SUMIFS(VENTAS[Cantidad],VENTAS[Código del producto Vendido],STOCK[[#This Row],[Code]])</f>
        <v>2</v>
      </c>
      <c r="L189" s="92">
        <f>STOCK[[#This Row],[Entradas]]-STOCK[[#This Row],[Salidas]]</f>
        <v>0</v>
      </c>
      <c r="M189" s="77">
        <f>STOCK[[#This Row],[Precio Final]]*10%</f>
        <v>2.2</v>
      </c>
      <c r="N189" s="77">
        <v>205</v>
      </c>
      <c r="O189" s="77">
        <v>18</v>
      </c>
      <c r="P189" s="77">
        <v>11.3888888888889</v>
      </c>
      <c r="Q189" s="92">
        <v>250</v>
      </c>
      <c r="R189" s="77">
        <v>8</v>
      </c>
      <c r="S189" s="77">
        <f>STOCK[[#This Row],[Peso (g)]]*STOCK[[#This Row],[Precio Envío Kilogramo (USD)]]/1000</f>
        <v>2</v>
      </c>
      <c r="T189" s="76">
        <f>STOCK[[#This Row],[Costo Unitario (USD)]]+STOCK[[#This Row],[Costo Envío (USD)]]+STOCK[[#This Row],[Comisión 10%]]</f>
        <v>15.5888888888889</v>
      </c>
      <c r="U189" s="77">
        <f>STOCK[[#This Row],[Costo total]]*1.5</f>
        <v>23.3833333333333</v>
      </c>
      <c r="V189" s="77">
        <v>22</v>
      </c>
      <c r="W189" s="77">
        <f>STOCK[[#This Row],[Precio Final]]-STOCK[[#This Row],[Costo total]]</f>
        <v>6.4111111111111</v>
      </c>
      <c r="X189" s="77">
        <f>STOCK[[#This Row],[Ganancia Unitaria]]*STOCK[[#This Row],[Salidas]]</f>
        <v>12.8222222222222</v>
      </c>
      <c r="AA189" s="77">
        <f>STOCK[[#This Row],[Costo total]]*STOCK[[#This Row],[Entradas]]</f>
        <v>31.1777777777778</v>
      </c>
      <c r="AB189" s="77">
        <f>STOCK[[#This Row],[Stock Actual]]*STOCK[[#This Row],[Costo total]]</f>
        <v>0</v>
      </c>
    </row>
    <row r="190" s="76" customFormat="1" ht="50" customHeight="1" spans="1:28">
      <c r="A190" s="76" t="s">
        <v>419</v>
      </c>
      <c r="B190" s="6"/>
      <c r="C190" s="76" t="s">
        <v>30</v>
      </c>
      <c r="D190" s="76" t="s">
        <v>36</v>
      </c>
      <c r="E190" s="76" t="s">
        <v>420</v>
      </c>
      <c r="F190" s="76" t="s">
        <v>44</v>
      </c>
      <c r="G190" s="76" t="s">
        <v>34</v>
      </c>
      <c r="H190" s="76">
        <f>STOCK[[#This Row],[Precio Final]]</f>
        <v>25</v>
      </c>
      <c r="I190" s="76">
        <f>STOCK[[#This Row],[Precio Venta Ideal (x1.5)]]</f>
        <v>24.5</v>
      </c>
      <c r="J190" s="91">
        <v>2</v>
      </c>
      <c r="K190" s="91">
        <f>SUMIFS(VENTAS[Cantidad],VENTAS[Código del producto Vendido],STOCK[[#This Row],[Code]])</f>
        <v>2</v>
      </c>
      <c r="L190" s="91">
        <f>STOCK[[#This Row],[Entradas]]-STOCK[[#This Row],[Salidas]]</f>
        <v>0</v>
      </c>
      <c r="M190" s="76">
        <f>STOCK[[#This Row],[Precio Final]]*10%</f>
        <v>2.5</v>
      </c>
      <c r="N190" s="76">
        <v>213</v>
      </c>
      <c r="O190" s="76">
        <v>18</v>
      </c>
      <c r="P190" s="76">
        <v>11.8333333333333</v>
      </c>
      <c r="Q190" s="91">
        <v>250</v>
      </c>
      <c r="R190" s="76">
        <v>8</v>
      </c>
      <c r="S190" s="76">
        <f>STOCK[[#This Row],[Peso (g)]]*STOCK[[#This Row],[Precio Envío Kilogramo (USD)]]/1000</f>
        <v>2</v>
      </c>
      <c r="T190" s="76">
        <f>STOCK[[#This Row],[Costo Unitario (USD)]]+STOCK[[#This Row],[Costo Envío (USD)]]+STOCK[[#This Row],[Comisión 10%]]</f>
        <v>16.3333333333333</v>
      </c>
      <c r="U190" s="76">
        <f>STOCK[[#This Row],[Costo total]]*1.5</f>
        <v>24.5</v>
      </c>
      <c r="V190" s="76">
        <v>25</v>
      </c>
      <c r="W190" s="76">
        <f>STOCK[[#This Row],[Precio Final]]-STOCK[[#This Row],[Costo total]]</f>
        <v>8.6666666666667</v>
      </c>
      <c r="X190" s="76">
        <f>STOCK[[#This Row],[Ganancia Unitaria]]*STOCK[[#This Row],[Salidas]]</f>
        <v>17.3333333333334</v>
      </c>
      <c r="AA190" s="76">
        <f>STOCK[[#This Row],[Costo total]]*STOCK[[#This Row],[Entradas]]</f>
        <v>32.6666666666666</v>
      </c>
      <c r="AB190" s="76">
        <f>STOCK[[#This Row],[Stock Actual]]*STOCK[[#This Row],[Costo total]]</f>
        <v>0</v>
      </c>
    </row>
    <row r="191" s="77" customFormat="1" ht="50" customHeight="1" spans="1:28">
      <c r="A191" s="77" t="s">
        <v>421</v>
      </c>
      <c r="B191" s="6"/>
      <c r="C191" s="77" t="s">
        <v>30</v>
      </c>
      <c r="D191" s="77" t="s">
        <v>36</v>
      </c>
      <c r="E191" s="77" t="s">
        <v>422</v>
      </c>
      <c r="F191" s="77" t="s">
        <v>44</v>
      </c>
      <c r="G191" s="77" t="s">
        <v>34</v>
      </c>
      <c r="H191" s="77">
        <f>STOCK[[#This Row],[Precio Final]]</f>
        <v>25</v>
      </c>
      <c r="I191" s="77">
        <f>STOCK[[#This Row],[Precio Venta Ideal (x1.5)]]</f>
        <v>24.5</v>
      </c>
      <c r="J191" s="92">
        <v>3</v>
      </c>
      <c r="K191" s="92">
        <f>SUMIFS(VENTAS[Cantidad],VENTAS[Código del producto Vendido],STOCK[[#This Row],[Code]])</f>
        <v>3</v>
      </c>
      <c r="L191" s="92">
        <f>STOCK[[#This Row],[Entradas]]-STOCK[[#This Row],[Salidas]]</f>
        <v>0</v>
      </c>
      <c r="M191" s="77">
        <f>STOCK[[#This Row],[Precio Final]]*10%</f>
        <v>2.5</v>
      </c>
      <c r="N191" s="77">
        <v>213</v>
      </c>
      <c r="O191" s="77">
        <v>18</v>
      </c>
      <c r="P191" s="77">
        <v>11.8333333333333</v>
      </c>
      <c r="Q191" s="92">
        <v>250</v>
      </c>
      <c r="R191" s="77">
        <v>8</v>
      </c>
      <c r="S191" s="77">
        <f>STOCK[[#This Row],[Peso (g)]]*STOCK[[#This Row],[Precio Envío Kilogramo (USD)]]/1000</f>
        <v>2</v>
      </c>
      <c r="T191" s="76">
        <f>STOCK[[#This Row],[Costo Unitario (USD)]]+STOCK[[#This Row],[Costo Envío (USD)]]+STOCK[[#This Row],[Comisión 10%]]</f>
        <v>16.3333333333333</v>
      </c>
      <c r="U191" s="77">
        <f>STOCK[[#This Row],[Costo total]]*1.5</f>
        <v>24.5</v>
      </c>
      <c r="V191" s="77">
        <v>25</v>
      </c>
      <c r="W191" s="77">
        <f>STOCK[[#This Row],[Precio Final]]-STOCK[[#This Row],[Costo total]]</f>
        <v>8.6666666666667</v>
      </c>
      <c r="X191" s="77">
        <f>STOCK[[#This Row],[Ganancia Unitaria]]*STOCK[[#This Row],[Salidas]]</f>
        <v>26.0000000000001</v>
      </c>
      <c r="AA191" s="77">
        <f>STOCK[[#This Row],[Costo total]]*STOCK[[#This Row],[Entradas]]</f>
        <v>48.9999999999999</v>
      </c>
      <c r="AB191" s="77">
        <f>STOCK[[#This Row],[Stock Actual]]*STOCK[[#This Row],[Costo total]]</f>
        <v>0</v>
      </c>
    </row>
    <row r="192" s="76" customFormat="1" ht="50" customHeight="1" spans="1:28">
      <c r="A192" s="76" t="s">
        <v>423</v>
      </c>
      <c r="B192" s="6"/>
      <c r="C192" s="76" t="s">
        <v>30</v>
      </c>
      <c r="D192" s="76" t="s">
        <v>36</v>
      </c>
      <c r="E192" s="76" t="s">
        <v>424</v>
      </c>
      <c r="F192" s="76" t="s">
        <v>44</v>
      </c>
      <c r="G192" s="76" t="s">
        <v>34</v>
      </c>
      <c r="H192" s="76">
        <f>STOCK[[#This Row],[Precio Final]]</f>
        <v>25</v>
      </c>
      <c r="I192" s="76">
        <f>STOCK[[#This Row],[Precio Venta Ideal (x1.5)]]</f>
        <v>24.5</v>
      </c>
      <c r="J192" s="91">
        <v>3</v>
      </c>
      <c r="K192" s="91">
        <f>SUMIFS(VENTAS[Cantidad],VENTAS[Código del producto Vendido],STOCK[[#This Row],[Code]])</f>
        <v>3</v>
      </c>
      <c r="L192" s="91">
        <f>STOCK[[#This Row],[Entradas]]-STOCK[[#This Row],[Salidas]]</f>
        <v>0</v>
      </c>
      <c r="M192" s="76">
        <f>STOCK[[#This Row],[Precio Final]]*10%</f>
        <v>2.5</v>
      </c>
      <c r="N192" s="76">
        <v>213</v>
      </c>
      <c r="O192" s="76">
        <v>18</v>
      </c>
      <c r="P192" s="76">
        <v>11.8333333333333</v>
      </c>
      <c r="Q192" s="91">
        <v>250</v>
      </c>
      <c r="R192" s="76">
        <v>8</v>
      </c>
      <c r="S192" s="76">
        <f>STOCK[[#This Row],[Peso (g)]]*STOCK[[#This Row],[Precio Envío Kilogramo (USD)]]/1000</f>
        <v>2</v>
      </c>
      <c r="T192" s="76">
        <f>STOCK[[#This Row],[Costo Unitario (USD)]]+STOCK[[#This Row],[Costo Envío (USD)]]+STOCK[[#This Row],[Comisión 10%]]</f>
        <v>16.3333333333333</v>
      </c>
      <c r="U192" s="76">
        <f>STOCK[[#This Row],[Costo total]]*1.5</f>
        <v>24.5</v>
      </c>
      <c r="V192" s="76">
        <v>25</v>
      </c>
      <c r="W192" s="76">
        <f>STOCK[[#This Row],[Precio Final]]-STOCK[[#This Row],[Costo total]]</f>
        <v>8.6666666666667</v>
      </c>
      <c r="X192" s="76">
        <f>STOCK[[#This Row],[Ganancia Unitaria]]*STOCK[[#This Row],[Salidas]]</f>
        <v>26.0000000000001</v>
      </c>
      <c r="AA192" s="76">
        <f>STOCK[[#This Row],[Costo total]]*STOCK[[#This Row],[Entradas]]</f>
        <v>48.9999999999999</v>
      </c>
      <c r="AB192" s="76">
        <f>STOCK[[#This Row],[Stock Actual]]*STOCK[[#This Row],[Costo total]]</f>
        <v>0</v>
      </c>
    </row>
    <row r="193" s="77" customFormat="1" ht="50" customHeight="1" spans="1:28">
      <c r="A193" s="77" t="s">
        <v>425</v>
      </c>
      <c r="B193" s="6"/>
      <c r="C193" s="77" t="s">
        <v>30</v>
      </c>
      <c r="D193" s="77" t="s">
        <v>301</v>
      </c>
      <c r="E193" s="77" t="s">
        <v>426</v>
      </c>
      <c r="F193" s="77" t="s">
        <v>86</v>
      </c>
      <c r="G193" s="77" t="s">
        <v>34</v>
      </c>
      <c r="H193" s="77">
        <f>STOCK[[#This Row],[Precio Final]]</f>
        <v>23</v>
      </c>
      <c r="I193" s="77">
        <f>STOCK[[#This Row],[Precio Venta Ideal (x1.5)]]</f>
        <v>25.5033333333333</v>
      </c>
      <c r="J193" s="92">
        <v>1</v>
      </c>
      <c r="K193" s="92">
        <f>SUMIFS(VENTAS[Cantidad],VENTAS[Código del producto Vendido],STOCK[[#This Row],[Code]])</f>
        <v>1</v>
      </c>
      <c r="L193" s="92">
        <f>STOCK[[#This Row],[Entradas]]-STOCK[[#This Row],[Salidas]]</f>
        <v>0</v>
      </c>
      <c r="M193" s="77">
        <f>STOCK[[#This Row],[Precio Final]]*10%</f>
        <v>2.3</v>
      </c>
      <c r="N193" s="77">
        <v>238</v>
      </c>
      <c r="O193" s="77">
        <v>18</v>
      </c>
      <c r="P193" s="77">
        <v>13.2222222222222</v>
      </c>
      <c r="Q193" s="92">
        <v>185</v>
      </c>
      <c r="R193" s="77">
        <v>8</v>
      </c>
      <c r="S193" s="77">
        <f>STOCK[[#This Row],[Peso (g)]]*STOCK[[#This Row],[Precio Envío Kilogramo (USD)]]/1000</f>
        <v>1.48</v>
      </c>
      <c r="T193" s="76">
        <f>STOCK[[#This Row],[Costo Unitario (USD)]]+STOCK[[#This Row],[Costo Envío (USD)]]+STOCK[[#This Row],[Comisión 10%]]</f>
        <v>17.0022222222222</v>
      </c>
      <c r="U193" s="77">
        <f>STOCK[[#This Row],[Costo total]]*1.5</f>
        <v>25.5033333333333</v>
      </c>
      <c r="V193" s="77">
        <v>23</v>
      </c>
      <c r="W193" s="77">
        <f>STOCK[[#This Row],[Precio Final]]-STOCK[[#This Row],[Costo total]]</f>
        <v>5.9977777777778</v>
      </c>
      <c r="X193" s="77">
        <f>STOCK[[#This Row],[Ganancia Unitaria]]*STOCK[[#This Row],[Salidas]]</f>
        <v>5.9977777777778</v>
      </c>
      <c r="AA193" s="77">
        <f>STOCK[[#This Row],[Costo total]]*STOCK[[#This Row],[Entradas]]</f>
        <v>17.0022222222222</v>
      </c>
      <c r="AB193" s="77">
        <f>STOCK[[#This Row],[Stock Actual]]*STOCK[[#This Row],[Costo total]]</f>
        <v>0</v>
      </c>
    </row>
    <row r="194" s="76" customFormat="1" ht="50" customHeight="1" spans="1:28">
      <c r="A194" s="76" t="s">
        <v>427</v>
      </c>
      <c r="B194" s="6"/>
      <c r="C194" s="76" t="s">
        <v>30</v>
      </c>
      <c r="D194" s="76" t="s">
        <v>301</v>
      </c>
      <c r="E194" s="76" t="s">
        <v>428</v>
      </c>
      <c r="F194" s="76" t="s">
        <v>47</v>
      </c>
      <c r="G194" s="76" t="s">
        <v>34</v>
      </c>
      <c r="H194" s="76">
        <f>STOCK[[#This Row],[Precio Final]]</f>
        <v>23</v>
      </c>
      <c r="I194" s="76">
        <f>STOCK[[#This Row],[Precio Venta Ideal (x1.5)]]</f>
        <v>25.5033333333333</v>
      </c>
      <c r="J194" s="91">
        <v>2</v>
      </c>
      <c r="K194" s="91">
        <f>SUMIFS(VENTAS[Cantidad],VENTAS[Código del producto Vendido],STOCK[[#This Row],[Code]])</f>
        <v>2</v>
      </c>
      <c r="L194" s="91">
        <f>STOCK[[#This Row],[Entradas]]-STOCK[[#This Row],[Salidas]]</f>
        <v>0</v>
      </c>
      <c r="M194" s="76">
        <f>STOCK[[#This Row],[Precio Final]]*10%</f>
        <v>2.3</v>
      </c>
      <c r="N194" s="76">
        <v>238</v>
      </c>
      <c r="O194" s="76">
        <v>18</v>
      </c>
      <c r="P194" s="76">
        <v>13.2222222222222</v>
      </c>
      <c r="Q194" s="91">
        <v>185</v>
      </c>
      <c r="R194" s="76">
        <v>8</v>
      </c>
      <c r="S194" s="76">
        <f>STOCK[[#This Row],[Peso (g)]]*STOCK[[#This Row],[Precio Envío Kilogramo (USD)]]/1000</f>
        <v>1.48</v>
      </c>
      <c r="T194" s="76">
        <f>STOCK[[#This Row],[Costo Unitario (USD)]]+STOCK[[#This Row],[Costo Envío (USD)]]+STOCK[[#This Row],[Comisión 10%]]</f>
        <v>17.0022222222222</v>
      </c>
      <c r="U194" s="76">
        <f>STOCK[[#This Row],[Costo total]]*1.5</f>
        <v>25.5033333333333</v>
      </c>
      <c r="V194" s="76">
        <v>23</v>
      </c>
      <c r="W194" s="76">
        <f>STOCK[[#This Row],[Precio Final]]-STOCK[[#This Row],[Costo total]]</f>
        <v>5.9977777777778</v>
      </c>
      <c r="X194" s="76">
        <f>STOCK[[#This Row],[Ganancia Unitaria]]*STOCK[[#This Row],[Salidas]]</f>
        <v>11.9955555555556</v>
      </c>
      <c r="AA194" s="76">
        <f>STOCK[[#This Row],[Costo total]]*STOCK[[#This Row],[Entradas]]</f>
        <v>34.0044444444444</v>
      </c>
      <c r="AB194" s="76">
        <f>STOCK[[#This Row],[Stock Actual]]*STOCK[[#This Row],[Costo total]]</f>
        <v>0</v>
      </c>
    </row>
    <row r="195" s="77" customFormat="1" ht="50" customHeight="1" spans="1:28">
      <c r="A195" s="77" t="s">
        <v>429</v>
      </c>
      <c r="B195" s="6"/>
      <c r="C195" s="77" t="s">
        <v>30</v>
      </c>
      <c r="D195" s="77" t="s">
        <v>42</v>
      </c>
      <c r="E195" s="77" t="s">
        <v>430</v>
      </c>
      <c r="F195" s="77" t="s">
        <v>47</v>
      </c>
      <c r="G195" s="77" t="s">
        <v>34</v>
      </c>
      <c r="H195" s="77">
        <f>STOCK[[#This Row],[Precio Final]]</f>
        <v>28</v>
      </c>
      <c r="I195" s="77">
        <f>STOCK[[#This Row],[Precio Venta Ideal (x1.5)]]</f>
        <v>28.0616666666667</v>
      </c>
      <c r="J195" s="92">
        <v>1</v>
      </c>
      <c r="K195" s="92">
        <f>SUMIFS(VENTAS[Cantidad],VENTAS[Código del producto Vendido],STOCK[[#This Row],[Code]])</f>
        <v>1</v>
      </c>
      <c r="L195" s="92">
        <f>STOCK[[#This Row],[Entradas]]-STOCK[[#This Row],[Salidas]]</f>
        <v>0</v>
      </c>
      <c r="M195" s="77">
        <f>STOCK[[#This Row],[Precio Final]]*10%</f>
        <v>2.8</v>
      </c>
      <c r="N195" s="77">
        <v>259.7</v>
      </c>
      <c r="O195" s="77">
        <v>18</v>
      </c>
      <c r="P195" s="77">
        <v>14.4277777777778</v>
      </c>
      <c r="Q195" s="92">
        <v>185</v>
      </c>
      <c r="R195" s="77">
        <v>8</v>
      </c>
      <c r="S195" s="77">
        <f>STOCK[[#This Row],[Peso (g)]]*STOCK[[#This Row],[Precio Envío Kilogramo (USD)]]/1000</f>
        <v>1.48</v>
      </c>
      <c r="T195" s="76">
        <f>STOCK[[#This Row],[Costo Unitario (USD)]]+STOCK[[#This Row],[Costo Envío (USD)]]+STOCK[[#This Row],[Comisión 10%]]</f>
        <v>18.7077777777778</v>
      </c>
      <c r="U195" s="77">
        <f>STOCK[[#This Row],[Costo total]]*1.5</f>
        <v>28.0616666666667</v>
      </c>
      <c r="V195" s="77">
        <v>28</v>
      </c>
      <c r="W195" s="77">
        <f>STOCK[[#This Row],[Precio Final]]-STOCK[[#This Row],[Costo total]]</f>
        <v>9.2922222222222</v>
      </c>
      <c r="X195" s="77">
        <f>STOCK[[#This Row],[Ganancia Unitaria]]*STOCK[[#This Row],[Salidas]]</f>
        <v>9.2922222222222</v>
      </c>
      <c r="AA195" s="77">
        <f>STOCK[[#This Row],[Costo total]]*STOCK[[#This Row],[Entradas]]</f>
        <v>18.7077777777778</v>
      </c>
      <c r="AB195" s="77">
        <f>STOCK[[#This Row],[Stock Actual]]*STOCK[[#This Row],[Costo total]]</f>
        <v>0</v>
      </c>
    </row>
    <row r="196" s="76" customFormat="1" ht="50" customHeight="1" spans="1:28">
      <c r="A196" s="76" t="s">
        <v>431</v>
      </c>
      <c r="B196" s="6"/>
      <c r="C196" s="76" t="s">
        <v>30</v>
      </c>
      <c r="D196" s="76" t="s">
        <v>42</v>
      </c>
      <c r="E196" s="76" t="s">
        <v>430</v>
      </c>
      <c r="F196" s="76" t="s">
        <v>60</v>
      </c>
      <c r="G196" s="76" t="s">
        <v>34</v>
      </c>
      <c r="H196" s="76">
        <f>STOCK[[#This Row],[Precio Final]]</f>
        <v>28</v>
      </c>
      <c r="I196" s="76">
        <f>STOCK[[#This Row],[Precio Venta Ideal (x1.5)]]</f>
        <v>28.0616666666667</v>
      </c>
      <c r="J196" s="91">
        <v>1</v>
      </c>
      <c r="K196" s="91">
        <f>SUMIFS(VENTAS[Cantidad],VENTAS[Código del producto Vendido],STOCK[[#This Row],[Code]])</f>
        <v>1</v>
      </c>
      <c r="L196" s="91">
        <f>STOCK[[#This Row],[Entradas]]-STOCK[[#This Row],[Salidas]]</f>
        <v>0</v>
      </c>
      <c r="M196" s="76">
        <f>STOCK[[#This Row],[Precio Final]]*10%</f>
        <v>2.8</v>
      </c>
      <c r="N196" s="76">
        <v>259.7</v>
      </c>
      <c r="O196" s="76">
        <v>18</v>
      </c>
      <c r="P196" s="76">
        <v>14.4277777777778</v>
      </c>
      <c r="Q196" s="91">
        <v>185</v>
      </c>
      <c r="R196" s="76">
        <v>8</v>
      </c>
      <c r="S196" s="76">
        <f>STOCK[[#This Row],[Peso (g)]]*STOCK[[#This Row],[Precio Envío Kilogramo (USD)]]/1000</f>
        <v>1.48</v>
      </c>
      <c r="T196" s="76">
        <f>STOCK[[#This Row],[Costo Unitario (USD)]]+STOCK[[#This Row],[Costo Envío (USD)]]+STOCK[[#This Row],[Comisión 10%]]</f>
        <v>18.7077777777778</v>
      </c>
      <c r="U196" s="76">
        <f>STOCK[[#This Row],[Costo total]]*1.5</f>
        <v>28.0616666666667</v>
      </c>
      <c r="V196" s="76">
        <v>28</v>
      </c>
      <c r="W196" s="76">
        <f>STOCK[[#This Row],[Precio Final]]-STOCK[[#This Row],[Costo total]]</f>
        <v>9.2922222222222</v>
      </c>
      <c r="X196" s="76">
        <f>STOCK[[#This Row],[Ganancia Unitaria]]*STOCK[[#This Row],[Salidas]]</f>
        <v>9.2922222222222</v>
      </c>
      <c r="AA196" s="76">
        <f>STOCK[[#This Row],[Costo total]]*STOCK[[#This Row],[Entradas]]</f>
        <v>18.7077777777778</v>
      </c>
      <c r="AB196" s="76">
        <f>STOCK[[#This Row],[Stock Actual]]*STOCK[[#This Row],[Costo total]]</f>
        <v>0</v>
      </c>
    </row>
    <row r="197" s="77" customFormat="1" ht="50" customHeight="1" spans="1:28">
      <c r="A197" s="77" t="s">
        <v>432</v>
      </c>
      <c r="B197" s="6"/>
      <c r="C197" s="77" t="s">
        <v>30</v>
      </c>
      <c r="D197" s="77" t="s">
        <v>42</v>
      </c>
      <c r="E197" s="77" t="s">
        <v>433</v>
      </c>
      <c r="F197" s="77" t="s">
        <v>38</v>
      </c>
      <c r="G197" s="77" t="s">
        <v>34</v>
      </c>
      <c r="H197" s="77">
        <f>STOCK[[#This Row],[Precio Final]]</f>
        <v>28</v>
      </c>
      <c r="I197" s="77">
        <f>STOCK[[#This Row],[Precio Venta Ideal (x1.5)]]</f>
        <v>28.0616666666667</v>
      </c>
      <c r="J197" s="92">
        <v>1</v>
      </c>
      <c r="K197" s="92">
        <f>SUMIFS(VENTAS[Cantidad],VENTAS[Código del producto Vendido],STOCK[[#This Row],[Code]])</f>
        <v>1</v>
      </c>
      <c r="L197" s="92">
        <f>STOCK[[#This Row],[Entradas]]-STOCK[[#This Row],[Salidas]]</f>
        <v>0</v>
      </c>
      <c r="M197" s="77">
        <f>STOCK[[#This Row],[Precio Final]]*10%</f>
        <v>2.8</v>
      </c>
      <c r="N197" s="77">
        <v>259.7</v>
      </c>
      <c r="O197" s="77">
        <v>18</v>
      </c>
      <c r="P197" s="77">
        <v>14.4277777777778</v>
      </c>
      <c r="Q197" s="92">
        <v>185</v>
      </c>
      <c r="R197" s="77">
        <v>8</v>
      </c>
      <c r="S197" s="77">
        <f>STOCK[[#This Row],[Peso (g)]]*STOCK[[#This Row],[Precio Envío Kilogramo (USD)]]/1000</f>
        <v>1.48</v>
      </c>
      <c r="T197" s="76">
        <f>STOCK[[#This Row],[Costo Unitario (USD)]]+STOCK[[#This Row],[Costo Envío (USD)]]+STOCK[[#This Row],[Comisión 10%]]</f>
        <v>18.7077777777778</v>
      </c>
      <c r="U197" s="77">
        <f>STOCK[[#This Row],[Costo total]]*1.5</f>
        <v>28.0616666666667</v>
      </c>
      <c r="V197" s="77">
        <v>28</v>
      </c>
      <c r="W197" s="77">
        <f>STOCK[[#This Row],[Precio Final]]-STOCK[[#This Row],[Costo total]]</f>
        <v>9.2922222222222</v>
      </c>
      <c r="X197" s="77">
        <f>STOCK[[#This Row],[Ganancia Unitaria]]*STOCK[[#This Row],[Salidas]]</f>
        <v>9.2922222222222</v>
      </c>
      <c r="AA197" s="77">
        <f>STOCK[[#This Row],[Costo total]]*STOCK[[#This Row],[Entradas]]</f>
        <v>18.7077777777778</v>
      </c>
      <c r="AB197" s="77">
        <f>STOCK[[#This Row],[Stock Actual]]*STOCK[[#This Row],[Costo total]]</f>
        <v>0</v>
      </c>
    </row>
    <row r="198" s="76" customFormat="1" ht="50" customHeight="1" spans="1:28">
      <c r="A198" s="76" t="s">
        <v>434</v>
      </c>
      <c r="B198" s="6"/>
      <c r="C198" s="76" t="s">
        <v>30</v>
      </c>
      <c r="D198" s="76" t="s">
        <v>173</v>
      </c>
      <c r="E198" s="76" t="s">
        <v>435</v>
      </c>
      <c r="F198" s="76" t="s">
        <v>186</v>
      </c>
      <c r="G198" s="76" t="s">
        <v>34</v>
      </c>
      <c r="H198" s="76">
        <f>STOCK[[#This Row],[Precio Final]]</f>
        <v>25</v>
      </c>
      <c r="I198" s="76">
        <f>STOCK[[#This Row],[Precio Venta Ideal (x1.5)]]</f>
        <v>28.135</v>
      </c>
      <c r="J198" s="91">
        <v>1</v>
      </c>
      <c r="K198" s="91">
        <f>SUMIFS(VENTAS[Cantidad],VENTAS[Código del producto Vendido],STOCK[[#This Row],[Code]])</f>
        <v>1</v>
      </c>
      <c r="L198" s="91">
        <f>STOCK[[#This Row],[Entradas]]-STOCK[[#This Row],[Salidas]]</f>
        <v>0</v>
      </c>
      <c r="M198" s="76">
        <f>STOCK[[#This Row],[Precio Final]]*10%</f>
        <v>2.5</v>
      </c>
      <c r="N198" s="76">
        <v>266.7</v>
      </c>
      <c r="O198" s="76">
        <v>18</v>
      </c>
      <c r="P198" s="76">
        <v>14.8166666666667</v>
      </c>
      <c r="Q198" s="91">
        <v>180</v>
      </c>
      <c r="R198" s="76">
        <v>8</v>
      </c>
      <c r="S198" s="76">
        <f>STOCK[[#This Row],[Peso (g)]]*STOCK[[#This Row],[Precio Envío Kilogramo (USD)]]/1000</f>
        <v>1.44</v>
      </c>
      <c r="T198" s="76">
        <f>STOCK[[#This Row],[Costo Unitario (USD)]]+STOCK[[#This Row],[Costo Envío (USD)]]+STOCK[[#This Row],[Comisión 10%]]</f>
        <v>18.7566666666667</v>
      </c>
      <c r="U198" s="76">
        <f>STOCK[[#This Row],[Costo total]]*1.5</f>
        <v>28.135</v>
      </c>
      <c r="V198" s="76">
        <v>25</v>
      </c>
      <c r="W198" s="76">
        <f>STOCK[[#This Row],[Precio Final]]-STOCK[[#This Row],[Costo total]]</f>
        <v>6.2433333333333</v>
      </c>
      <c r="X198" s="76">
        <f>STOCK[[#This Row],[Ganancia Unitaria]]*STOCK[[#This Row],[Salidas]]</f>
        <v>6.2433333333333</v>
      </c>
      <c r="AA198" s="76">
        <f>STOCK[[#This Row],[Costo total]]*STOCK[[#This Row],[Entradas]]</f>
        <v>18.7566666666667</v>
      </c>
      <c r="AB198" s="76">
        <f>STOCK[[#This Row],[Stock Actual]]*STOCK[[#This Row],[Costo total]]</f>
        <v>0</v>
      </c>
    </row>
    <row r="199" s="77" customFormat="1" ht="50" customHeight="1" spans="1:28">
      <c r="A199" s="77" t="s">
        <v>436</v>
      </c>
      <c r="B199" s="6"/>
      <c r="C199" s="77" t="s">
        <v>30</v>
      </c>
      <c r="D199" s="77" t="s">
        <v>36</v>
      </c>
      <c r="E199" s="77" t="s">
        <v>437</v>
      </c>
      <c r="F199" s="77" t="s">
        <v>40</v>
      </c>
      <c r="G199" s="77" t="s">
        <v>34</v>
      </c>
      <c r="H199" s="77">
        <f>STOCK[[#This Row],[Precio Final]]</f>
        <v>25</v>
      </c>
      <c r="I199" s="77">
        <f>STOCK[[#This Row],[Precio Venta Ideal (x1.5)]]</f>
        <v>28.6566666666666</v>
      </c>
      <c r="J199" s="92">
        <v>2</v>
      </c>
      <c r="K199" s="92">
        <f>SUMIFS(VENTAS[Cantidad],VENTAS[Código del producto Vendido],STOCK[[#This Row],[Code]])</f>
        <v>2</v>
      </c>
      <c r="L199" s="92">
        <f>STOCK[[#This Row],[Entradas]]-STOCK[[#This Row],[Salidas]]</f>
        <v>0</v>
      </c>
      <c r="M199" s="77">
        <f>STOCK[[#This Row],[Precio Final]]*10%</f>
        <v>2.5</v>
      </c>
      <c r="N199" s="77">
        <v>249.2</v>
      </c>
      <c r="O199" s="77">
        <v>18</v>
      </c>
      <c r="P199" s="77">
        <v>13.8444444444444</v>
      </c>
      <c r="Q199" s="92">
        <v>345</v>
      </c>
      <c r="R199" s="77">
        <v>8</v>
      </c>
      <c r="S199" s="77">
        <f>STOCK[[#This Row],[Peso (g)]]*STOCK[[#This Row],[Precio Envío Kilogramo (USD)]]/1000</f>
        <v>2.76</v>
      </c>
      <c r="T199" s="76">
        <f>STOCK[[#This Row],[Costo Unitario (USD)]]+STOCK[[#This Row],[Costo Envío (USD)]]+STOCK[[#This Row],[Comisión 10%]]</f>
        <v>19.1044444444444</v>
      </c>
      <c r="U199" s="77">
        <f>STOCK[[#This Row],[Costo total]]*1.5</f>
        <v>28.6566666666666</v>
      </c>
      <c r="V199" s="77">
        <v>25</v>
      </c>
      <c r="W199" s="77">
        <f>STOCK[[#This Row],[Precio Final]]-STOCK[[#This Row],[Costo total]]</f>
        <v>5.8955555555556</v>
      </c>
      <c r="X199" s="77">
        <f>STOCK[[#This Row],[Ganancia Unitaria]]*STOCK[[#This Row],[Salidas]]</f>
        <v>11.7911111111112</v>
      </c>
      <c r="AA199" s="77">
        <f>STOCK[[#This Row],[Costo total]]*STOCK[[#This Row],[Entradas]]</f>
        <v>38.2088888888888</v>
      </c>
      <c r="AB199" s="77">
        <f>STOCK[[#This Row],[Stock Actual]]*STOCK[[#This Row],[Costo total]]</f>
        <v>0</v>
      </c>
    </row>
    <row r="200" s="76" customFormat="1" ht="50" customHeight="1" spans="1:28">
      <c r="A200" s="76" t="s">
        <v>438</v>
      </c>
      <c r="B200" s="6"/>
      <c r="C200" s="76" t="s">
        <v>30</v>
      </c>
      <c r="D200" s="76" t="s">
        <v>36</v>
      </c>
      <c r="E200" s="76" t="s">
        <v>98</v>
      </c>
      <c r="F200" s="76" t="s">
        <v>40</v>
      </c>
      <c r="G200" s="76" t="s">
        <v>34</v>
      </c>
      <c r="H200" s="76">
        <f>STOCK[[#This Row],[Precio Final]]</f>
        <v>28</v>
      </c>
      <c r="I200" s="76">
        <f>STOCK[[#This Row],[Precio Venta Ideal (x1.5)]]</f>
        <v>27.925</v>
      </c>
      <c r="J200" s="91">
        <v>0</v>
      </c>
      <c r="K200" s="91">
        <f>SUMIFS(VENTAS[Cantidad],VENTAS[Código del producto Vendido],STOCK[[#This Row],[Code]])</f>
        <v>0</v>
      </c>
      <c r="L200" s="91">
        <f>STOCK[[#This Row],[Entradas]]-STOCK[[#This Row],[Salidas]]</f>
        <v>0</v>
      </c>
      <c r="M200" s="76">
        <f>STOCK[[#This Row],[Precio Final]]*10%</f>
        <v>2.8</v>
      </c>
      <c r="N200" s="76">
        <v>241.5</v>
      </c>
      <c r="O200" s="76">
        <v>18</v>
      </c>
      <c r="P200" s="76">
        <v>13.4166666666667</v>
      </c>
      <c r="Q200" s="91">
        <v>300</v>
      </c>
      <c r="R200" s="76">
        <v>8</v>
      </c>
      <c r="S200" s="76">
        <f>STOCK[[#This Row],[Peso (g)]]*STOCK[[#This Row],[Precio Envío Kilogramo (USD)]]/1000</f>
        <v>2.4</v>
      </c>
      <c r="T200" s="76">
        <f>STOCK[[#This Row],[Costo Unitario (USD)]]+STOCK[[#This Row],[Costo Envío (USD)]]+STOCK[[#This Row],[Comisión 10%]]</f>
        <v>18.6166666666667</v>
      </c>
      <c r="U200" s="76">
        <f>STOCK[[#This Row],[Costo total]]*1.5</f>
        <v>27.925</v>
      </c>
      <c r="V200" s="76">
        <v>28</v>
      </c>
      <c r="W200" s="76">
        <f>STOCK[[#This Row],[Precio Final]]-STOCK[[#This Row],[Costo total]]</f>
        <v>9.3833333333333</v>
      </c>
      <c r="X200" s="76">
        <f>STOCK[[#This Row],[Ganancia Unitaria]]*STOCK[[#This Row],[Salidas]]</f>
        <v>0</v>
      </c>
      <c r="AA200" s="76">
        <f>STOCK[[#This Row],[Costo total]]*STOCK[[#This Row],[Entradas]]</f>
        <v>0</v>
      </c>
      <c r="AB200" s="76">
        <f>STOCK[[#This Row],[Stock Actual]]*STOCK[[#This Row],[Costo total]]</f>
        <v>0</v>
      </c>
    </row>
    <row r="201" s="77" customFormat="1" ht="50" customHeight="1" spans="1:29">
      <c r="A201" s="77" t="s">
        <v>439</v>
      </c>
      <c r="B201" s="6"/>
      <c r="C201" s="77" t="s">
        <v>30</v>
      </c>
      <c r="D201" s="77" t="s">
        <v>293</v>
      </c>
      <c r="E201" s="77" t="s">
        <v>440</v>
      </c>
      <c r="F201" s="77" t="s">
        <v>60</v>
      </c>
      <c r="G201" s="77" t="s">
        <v>34</v>
      </c>
      <c r="H201" s="77">
        <f>STOCK[[#This Row],[Precio Final]]</f>
        <v>12</v>
      </c>
      <c r="I201" s="77">
        <f>STOCK[[#This Row],[Precio Venta Ideal (x1.5)]]</f>
        <v>11.785</v>
      </c>
      <c r="J201" s="92">
        <v>1</v>
      </c>
      <c r="K201" s="92">
        <f>SUMIFS(VENTAS[Cantidad],VENTAS[Código del producto Vendido],STOCK[[#This Row],[Code]])</f>
        <v>0</v>
      </c>
      <c r="L201" s="92">
        <f>STOCK[[#This Row],[Entradas]]-STOCK[[#This Row],[Salidas]]</f>
        <v>1</v>
      </c>
      <c r="M201" s="77">
        <f>STOCK[[#This Row],[Precio Final]]*10%</f>
        <v>1.2</v>
      </c>
      <c r="N201" s="77">
        <v>115.5</v>
      </c>
      <c r="O201" s="77">
        <v>18</v>
      </c>
      <c r="P201" s="77">
        <v>6.41666666666667</v>
      </c>
      <c r="Q201" s="92">
        <v>30</v>
      </c>
      <c r="R201" s="77">
        <v>8</v>
      </c>
      <c r="S201" s="77">
        <f>STOCK[[#This Row],[Peso (g)]]*STOCK[[#This Row],[Precio Envío Kilogramo (USD)]]/1000</f>
        <v>0.24</v>
      </c>
      <c r="T201" s="76">
        <f>STOCK[[#This Row],[Costo Unitario (USD)]]+STOCK[[#This Row],[Costo Envío (USD)]]+STOCK[[#This Row],[Comisión 10%]]</f>
        <v>7.85666666666667</v>
      </c>
      <c r="U201" s="77">
        <f>STOCK[[#This Row],[Costo total]]*1.5</f>
        <v>11.785</v>
      </c>
      <c r="V201" s="77">
        <v>12</v>
      </c>
      <c r="W201" s="77">
        <f>STOCK[[#This Row],[Precio Final]]-STOCK[[#This Row],[Costo total]]</f>
        <v>4.14333333333333</v>
      </c>
      <c r="X201" s="77">
        <f>STOCK[[#This Row],[Ganancia Unitaria]]*STOCK[[#This Row],[Salidas]]</f>
        <v>0</v>
      </c>
      <c r="AA201" s="77">
        <f>STOCK[[#This Row],[Costo total]]*STOCK[[#This Row],[Entradas]]</f>
        <v>7.85666666666667</v>
      </c>
      <c r="AB201" s="77">
        <f>STOCK[[#This Row],[Stock Actual]]*STOCK[[#This Row],[Costo total]]</f>
        <v>7.85666666666667</v>
      </c>
      <c r="AC201" s="77">
        <v>10</v>
      </c>
    </row>
    <row r="202" s="76" customFormat="1" ht="50" customHeight="1" spans="1:28">
      <c r="A202" s="76" t="s">
        <v>441</v>
      </c>
      <c r="B202" s="6"/>
      <c r="C202" s="76" t="s">
        <v>30</v>
      </c>
      <c r="D202" s="76" t="s">
        <v>173</v>
      </c>
      <c r="E202" s="76" t="s">
        <v>442</v>
      </c>
      <c r="F202" s="76" t="s">
        <v>443</v>
      </c>
      <c r="G202" s="76" t="s">
        <v>34</v>
      </c>
      <c r="H202" s="76">
        <f>STOCK[[#This Row],[Precio Final]]</f>
        <v>12</v>
      </c>
      <c r="I202" s="76">
        <f>STOCK[[#This Row],[Precio Venta Ideal (x1.5)]]</f>
        <v>12.9516666666667</v>
      </c>
      <c r="J202" s="91">
        <v>1</v>
      </c>
      <c r="K202" s="91">
        <f>SUMIFS(VENTAS[Cantidad],VENTAS[Código del producto Vendido],STOCK[[#This Row],[Code]])</f>
        <v>1</v>
      </c>
      <c r="L202" s="91">
        <f>STOCK[[#This Row],[Entradas]]-STOCK[[#This Row],[Salidas]]</f>
        <v>0</v>
      </c>
      <c r="M202" s="76">
        <f>STOCK[[#This Row],[Precio Final]]*10%</f>
        <v>1.2</v>
      </c>
      <c r="N202" s="76">
        <v>129.5</v>
      </c>
      <c r="O202" s="76">
        <v>18</v>
      </c>
      <c r="P202" s="76">
        <v>7.19444444444444</v>
      </c>
      <c r="Q202" s="91">
        <v>30</v>
      </c>
      <c r="R202" s="76">
        <v>8</v>
      </c>
      <c r="S202" s="76">
        <f>STOCK[[#This Row],[Peso (g)]]*STOCK[[#This Row],[Precio Envío Kilogramo (USD)]]/1000</f>
        <v>0.24</v>
      </c>
      <c r="T202" s="76">
        <f>STOCK[[#This Row],[Costo Unitario (USD)]]+STOCK[[#This Row],[Costo Envío (USD)]]+STOCK[[#This Row],[Comisión 10%]]</f>
        <v>8.63444444444444</v>
      </c>
      <c r="U202" s="76">
        <f>STOCK[[#This Row],[Costo total]]*1.5</f>
        <v>12.9516666666667</v>
      </c>
      <c r="V202" s="76">
        <v>12</v>
      </c>
      <c r="W202" s="76">
        <f>STOCK[[#This Row],[Precio Final]]-STOCK[[#This Row],[Costo total]]</f>
        <v>3.36555555555556</v>
      </c>
      <c r="X202" s="76">
        <f>STOCK[[#This Row],[Ganancia Unitaria]]*STOCK[[#This Row],[Salidas]]</f>
        <v>3.36555555555556</v>
      </c>
      <c r="AA202" s="76">
        <f>STOCK[[#This Row],[Costo total]]*STOCK[[#This Row],[Entradas]]</f>
        <v>8.63444444444444</v>
      </c>
      <c r="AB202" s="76">
        <f>STOCK[[#This Row],[Stock Actual]]*STOCK[[#This Row],[Costo total]]</f>
        <v>0</v>
      </c>
    </row>
    <row r="203" s="77" customFormat="1" ht="50" customHeight="1" spans="1:28">
      <c r="A203" s="77" t="s">
        <v>444</v>
      </c>
      <c r="B203" s="6"/>
      <c r="C203" s="77" t="s">
        <v>30</v>
      </c>
      <c r="D203" s="77" t="s">
        <v>42</v>
      </c>
      <c r="E203" s="77" t="s">
        <v>445</v>
      </c>
      <c r="F203" s="77" t="s">
        <v>38</v>
      </c>
      <c r="G203" s="77" t="s">
        <v>34</v>
      </c>
      <c r="H203" s="77">
        <f>STOCK[[#This Row],[Precio Final]]</f>
        <v>16</v>
      </c>
      <c r="I203" s="77">
        <f>STOCK[[#This Row],[Precio Venta Ideal (x1.5)]]</f>
        <v>25.37</v>
      </c>
      <c r="J203" s="92">
        <v>1</v>
      </c>
      <c r="K203" s="92">
        <f>SUMIFS(VENTAS[Cantidad],VENTAS[Código del producto Vendido],STOCK[[#This Row],[Code]])</f>
        <v>1</v>
      </c>
      <c r="L203" s="92">
        <f>STOCK[[#This Row],[Entradas]]-STOCK[[#This Row],[Salidas]]</f>
        <v>0</v>
      </c>
      <c r="M203" s="77">
        <f>STOCK[[#This Row],[Precio Final]]*10%</f>
        <v>1.6</v>
      </c>
      <c r="N203" s="77">
        <v>256.2</v>
      </c>
      <c r="O203" s="77">
        <v>18</v>
      </c>
      <c r="P203" s="77">
        <v>14.2333333333333</v>
      </c>
      <c r="Q203" s="92">
        <v>135</v>
      </c>
      <c r="R203" s="77">
        <v>8</v>
      </c>
      <c r="S203" s="77">
        <f>STOCK[[#This Row],[Peso (g)]]*STOCK[[#This Row],[Precio Envío Kilogramo (USD)]]/1000</f>
        <v>1.08</v>
      </c>
      <c r="T203" s="76">
        <f>STOCK[[#This Row],[Costo Unitario (USD)]]+STOCK[[#This Row],[Costo Envío (USD)]]+STOCK[[#This Row],[Comisión 10%]]</f>
        <v>16.9133333333333</v>
      </c>
      <c r="U203" s="77">
        <f>STOCK[[#This Row],[Costo total]]*1.5</f>
        <v>25.37</v>
      </c>
      <c r="V203" s="77">
        <v>16</v>
      </c>
      <c r="W203" s="77">
        <f>STOCK[[#This Row],[Precio Final]]-STOCK[[#This Row],[Costo total]]</f>
        <v>-0.913333333333302</v>
      </c>
      <c r="X203" s="77">
        <f>STOCK[[#This Row],[Ganancia Unitaria]]*STOCK[[#This Row],[Salidas]]</f>
        <v>-0.913333333333302</v>
      </c>
      <c r="AA203" s="77">
        <f>STOCK[[#This Row],[Costo total]]*STOCK[[#This Row],[Entradas]]</f>
        <v>16.9133333333333</v>
      </c>
      <c r="AB203" s="77">
        <f>STOCK[[#This Row],[Stock Actual]]*STOCK[[#This Row],[Costo total]]</f>
        <v>0</v>
      </c>
    </row>
    <row r="204" s="76" customFormat="1" ht="50" customHeight="1" spans="1:28">
      <c r="A204" s="76" t="s">
        <v>446</v>
      </c>
      <c r="B204" s="6"/>
      <c r="C204" s="76" t="s">
        <v>30</v>
      </c>
      <c r="D204" s="76" t="s">
        <v>151</v>
      </c>
      <c r="E204" s="76" t="s">
        <v>447</v>
      </c>
      <c r="F204" s="76" t="s">
        <v>60</v>
      </c>
      <c r="G204" s="76" t="s">
        <v>34</v>
      </c>
      <c r="H204" s="76">
        <f>STOCK[[#This Row],[Precio Final]]</f>
        <v>15</v>
      </c>
      <c r="I204" s="76">
        <f>STOCK[[#This Row],[Precio Venta Ideal (x1.5)]]</f>
        <v>15.6416666666667</v>
      </c>
      <c r="J204" s="91">
        <v>1</v>
      </c>
      <c r="K204" s="91">
        <f>SUMIFS(VENTAS[Cantidad],VENTAS[Código del producto Vendido],STOCK[[#This Row],[Code]])</f>
        <v>1</v>
      </c>
      <c r="L204" s="91">
        <f>STOCK[[#This Row],[Entradas]]-STOCK[[#This Row],[Salidas]]</f>
        <v>0</v>
      </c>
      <c r="M204" s="76">
        <f>STOCK[[#This Row],[Precio Final]]*10%</f>
        <v>1.5</v>
      </c>
      <c r="N204" s="76">
        <v>146.3</v>
      </c>
      <c r="O204" s="76">
        <v>18</v>
      </c>
      <c r="P204" s="76">
        <v>8.12777777777778</v>
      </c>
      <c r="Q204" s="91">
        <v>100</v>
      </c>
      <c r="R204" s="76">
        <v>8</v>
      </c>
      <c r="S204" s="76">
        <f>STOCK[[#This Row],[Peso (g)]]*STOCK[[#This Row],[Precio Envío Kilogramo (USD)]]/1000</f>
        <v>0.8</v>
      </c>
      <c r="T204" s="76">
        <f>STOCK[[#This Row],[Costo Unitario (USD)]]+STOCK[[#This Row],[Costo Envío (USD)]]+STOCK[[#This Row],[Comisión 10%]]</f>
        <v>10.4277777777778</v>
      </c>
      <c r="U204" s="76">
        <f>STOCK[[#This Row],[Costo total]]*1.5</f>
        <v>15.6416666666667</v>
      </c>
      <c r="V204" s="76">
        <v>15</v>
      </c>
      <c r="W204" s="76">
        <f>STOCK[[#This Row],[Precio Final]]-STOCK[[#This Row],[Costo total]]</f>
        <v>4.57222222222222</v>
      </c>
      <c r="X204" s="76">
        <f>STOCK[[#This Row],[Ganancia Unitaria]]*STOCK[[#This Row],[Salidas]]</f>
        <v>4.57222222222222</v>
      </c>
      <c r="AA204" s="76">
        <f>STOCK[[#This Row],[Costo total]]*STOCK[[#This Row],[Entradas]]</f>
        <v>10.4277777777778</v>
      </c>
      <c r="AB204" s="76">
        <f>STOCK[[#This Row],[Stock Actual]]*STOCK[[#This Row],[Costo total]]</f>
        <v>0</v>
      </c>
    </row>
    <row r="205" s="77" customFormat="1" ht="50" customHeight="1" spans="1:28">
      <c r="A205" s="77" t="s">
        <v>448</v>
      </c>
      <c r="B205" s="6"/>
      <c r="C205" s="77" t="s">
        <v>30</v>
      </c>
      <c r="D205" s="77" t="s">
        <v>36</v>
      </c>
      <c r="E205" s="77" t="s">
        <v>98</v>
      </c>
      <c r="F205" s="77" t="s">
        <v>60</v>
      </c>
      <c r="G205" s="77" t="s">
        <v>34</v>
      </c>
      <c r="H205" s="77">
        <f>STOCK[[#This Row],[Precio Final]]</f>
        <v>25</v>
      </c>
      <c r="I205" s="77">
        <f>STOCK[[#This Row],[Precio Venta Ideal (x1.5)]]</f>
        <v>23.875</v>
      </c>
      <c r="J205" s="92">
        <v>2</v>
      </c>
      <c r="K205" s="92">
        <f>SUMIFS(VENTAS[Cantidad],VENTAS[Código del producto Vendido],STOCK[[#This Row],[Code]])</f>
        <v>2</v>
      </c>
      <c r="L205" s="92">
        <f>STOCK[[#This Row],[Entradas]]-STOCK[[#This Row],[Salidas]]</f>
        <v>0</v>
      </c>
      <c r="M205" s="77">
        <f>STOCK[[#This Row],[Precio Final]]*10%</f>
        <v>2.5</v>
      </c>
      <c r="N205" s="77">
        <v>241.5</v>
      </c>
      <c r="O205" s="77">
        <v>18</v>
      </c>
      <c r="P205" s="77">
        <v>13.4166666666667</v>
      </c>
      <c r="Q205" s="92"/>
      <c r="R205" s="77">
        <v>8</v>
      </c>
      <c r="S205" s="77">
        <f>STOCK[[#This Row],[Peso (g)]]*STOCK[[#This Row],[Precio Envío Kilogramo (USD)]]/1000</f>
        <v>0</v>
      </c>
      <c r="T205" s="76">
        <f>STOCK[[#This Row],[Costo Unitario (USD)]]+STOCK[[#This Row],[Costo Envío (USD)]]+STOCK[[#This Row],[Comisión 10%]]</f>
        <v>15.9166666666667</v>
      </c>
      <c r="U205" s="77">
        <f>STOCK[[#This Row],[Costo total]]*1.5</f>
        <v>23.875</v>
      </c>
      <c r="V205" s="77">
        <v>25</v>
      </c>
      <c r="W205" s="77">
        <f>STOCK[[#This Row],[Precio Final]]-STOCK[[#This Row],[Costo total]]</f>
        <v>9.0833333333333</v>
      </c>
      <c r="X205" s="77">
        <f>STOCK[[#This Row],[Ganancia Unitaria]]*STOCK[[#This Row],[Salidas]]</f>
        <v>18.1666666666666</v>
      </c>
      <c r="AA205" s="77">
        <f>STOCK[[#This Row],[Costo total]]*STOCK[[#This Row],[Entradas]]</f>
        <v>31.8333333333334</v>
      </c>
      <c r="AB205" s="77">
        <f>STOCK[[#This Row],[Stock Actual]]*STOCK[[#This Row],[Costo total]]</f>
        <v>0</v>
      </c>
    </row>
    <row r="206" s="76" customFormat="1" ht="50" customHeight="1" spans="1:28">
      <c r="A206" s="76" t="s">
        <v>449</v>
      </c>
      <c r="B206" s="6"/>
      <c r="C206" s="76" t="s">
        <v>30</v>
      </c>
      <c r="D206" s="76" t="s">
        <v>36</v>
      </c>
      <c r="E206" s="76" t="s">
        <v>98</v>
      </c>
      <c r="F206" s="76" t="s">
        <v>47</v>
      </c>
      <c r="G206" s="76" t="s">
        <v>34</v>
      </c>
      <c r="H206" s="76">
        <f>STOCK[[#This Row],[Precio Final]]</f>
        <v>25</v>
      </c>
      <c r="I206" s="76">
        <f>STOCK[[#This Row],[Precio Venta Ideal (x1.5)]]</f>
        <v>23.875</v>
      </c>
      <c r="J206" s="91">
        <v>4</v>
      </c>
      <c r="K206" s="91">
        <f>SUMIFS(VENTAS[Cantidad],VENTAS[Código del producto Vendido],STOCK[[#This Row],[Code]])</f>
        <v>4</v>
      </c>
      <c r="L206" s="91">
        <f>STOCK[[#This Row],[Entradas]]-STOCK[[#This Row],[Salidas]]</f>
        <v>0</v>
      </c>
      <c r="M206" s="76">
        <f>STOCK[[#This Row],[Precio Final]]*10%</f>
        <v>2.5</v>
      </c>
      <c r="N206" s="76">
        <v>241.5</v>
      </c>
      <c r="O206" s="76">
        <v>18</v>
      </c>
      <c r="P206" s="76">
        <v>13.4166666666667</v>
      </c>
      <c r="Q206" s="91"/>
      <c r="R206" s="76">
        <v>8</v>
      </c>
      <c r="S206" s="76">
        <f>STOCK[[#This Row],[Peso (g)]]*STOCK[[#This Row],[Precio Envío Kilogramo (USD)]]/1000</f>
        <v>0</v>
      </c>
      <c r="T206" s="76">
        <f>STOCK[[#This Row],[Costo Unitario (USD)]]+STOCK[[#This Row],[Costo Envío (USD)]]+STOCK[[#This Row],[Comisión 10%]]</f>
        <v>15.9166666666667</v>
      </c>
      <c r="U206" s="76">
        <f>STOCK[[#This Row],[Costo total]]*1.5</f>
        <v>23.875</v>
      </c>
      <c r="V206" s="76">
        <v>25</v>
      </c>
      <c r="W206" s="76">
        <f>STOCK[[#This Row],[Precio Final]]-STOCK[[#This Row],[Costo total]]</f>
        <v>9.0833333333333</v>
      </c>
      <c r="X206" s="76">
        <f>STOCK[[#This Row],[Ganancia Unitaria]]*STOCK[[#This Row],[Salidas]]</f>
        <v>36.3333333333332</v>
      </c>
      <c r="AA206" s="76">
        <f>STOCK[[#This Row],[Costo total]]*STOCK[[#This Row],[Entradas]]</f>
        <v>63.6666666666668</v>
      </c>
      <c r="AB206" s="76">
        <f>STOCK[[#This Row],[Stock Actual]]*STOCK[[#This Row],[Costo total]]</f>
        <v>0</v>
      </c>
    </row>
    <row r="207" s="77" customFormat="1" ht="50" customHeight="1" spans="1:28">
      <c r="A207" s="77" t="s">
        <v>450</v>
      </c>
      <c r="B207" s="6"/>
      <c r="C207" s="77" t="s">
        <v>30</v>
      </c>
      <c r="D207" s="77" t="s">
        <v>36</v>
      </c>
      <c r="E207" s="77" t="s">
        <v>98</v>
      </c>
      <c r="F207" s="77" t="s">
        <v>44</v>
      </c>
      <c r="G207" s="77" t="s">
        <v>34</v>
      </c>
      <c r="H207" s="77">
        <f>STOCK[[#This Row],[Precio Final]]</f>
        <v>25</v>
      </c>
      <c r="I207" s="77">
        <f>STOCK[[#This Row],[Precio Venta Ideal (x1.5)]]</f>
        <v>23.875</v>
      </c>
      <c r="J207" s="92">
        <v>2</v>
      </c>
      <c r="K207" s="92">
        <f>SUMIFS(VENTAS[Cantidad],VENTAS[Código del producto Vendido],STOCK[[#This Row],[Code]])</f>
        <v>2</v>
      </c>
      <c r="L207" s="92">
        <f>STOCK[[#This Row],[Entradas]]-STOCK[[#This Row],[Salidas]]</f>
        <v>0</v>
      </c>
      <c r="M207" s="77">
        <f>STOCK[[#This Row],[Precio Final]]*10%</f>
        <v>2.5</v>
      </c>
      <c r="N207" s="77">
        <v>241.5</v>
      </c>
      <c r="O207" s="77">
        <v>18</v>
      </c>
      <c r="P207" s="77">
        <v>13.4166666666667</v>
      </c>
      <c r="Q207" s="92"/>
      <c r="R207" s="77">
        <v>8</v>
      </c>
      <c r="S207" s="77">
        <f>STOCK[[#This Row],[Peso (g)]]*STOCK[[#This Row],[Precio Envío Kilogramo (USD)]]/1000</f>
        <v>0</v>
      </c>
      <c r="T207" s="76">
        <f>STOCK[[#This Row],[Costo Unitario (USD)]]+STOCK[[#This Row],[Costo Envío (USD)]]+STOCK[[#This Row],[Comisión 10%]]</f>
        <v>15.9166666666667</v>
      </c>
      <c r="U207" s="77">
        <f>STOCK[[#This Row],[Costo total]]*1.5</f>
        <v>23.875</v>
      </c>
      <c r="V207" s="77">
        <v>25</v>
      </c>
      <c r="W207" s="77">
        <f>STOCK[[#This Row],[Precio Final]]-STOCK[[#This Row],[Costo total]]</f>
        <v>9.0833333333333</v>
      </c>
      <c r="X207" s="77">
        <f>STOCK[[#This Row],[Ganancia Unitaria]]*STOCK[[#This Row],[Salidas]]</f>
        <v>18.1666666666666</v>
      </c>
      <c r="AA207" s="77">
        <f>STOCK[[#This Row],[Costo total]]*STOCK[[#This Row],[Entradas]]</f>
        <v>31.8333333333334</v>
      </c>
      <c r="AB207" s="77">
        <f>STOCK[[#This Row],[Stock Actual]]*STOCK[[#This Row],[Costo total]]</f>
        <v>0</v>
      </c>
    </row>
    <row r="208" s="76" customFormat="1" ht="50" customHeight="1" spans="1:28">
      <c r="A208" s="76" t="s">
        <v>451</v>
      </c>
      <c r="B208" s="6"/>
      <c r="C208" s="76" t="s">
        <v>30</v>
      </c>
      <c r="D208" s="76" t="s">
        <v>36</v>
      </c>
      <c r="E208" s="76" t="s">
        <v>452</v>
      </c>
      <c r="F208" s="76" t="s">
        <v>44</v>
      </c>
      <c r="G208" s="76" t="s">
        <v>34</v>
      </c>
      <c r="H208" s="76">
        <f>STOCK[[#This Row],[Precio Final]]</f>
        <v>28</v>
      </c>
      <c r="I208" s="76">
        <f>STOCK[[#This Row],[Precio Venta Ideal (x1.5)]]</f>
        <v>33.8916666666666</v>
      </c>
      <c r="J208" s="91">
        <v>4</v>
      </c>
      <c r="K208" s="91">
        <f>SUMIFS(VENTAS[Cantidad],VENTAS[Código del producto Vendido],STOCK[[#This Row],[Code]])</f>
        <v>4</v>
      </c>
      <c r="L208" s="91">
        <f>STOCK[[#This Row],[Entradas]]-STOCK[[#This Row],[Salidas]]</f>
        <v>0</v>
      </c>
      <c r="M208" s="76">
        <f>STOCK[[#This Row],[Precio Final]]*10%</f>
        <v>2.8</v>
      </c>
      <c r="N208" s="76">
        <v>249.2</v>
      </c>
      <c r="O208" s="76">
        <v>18</v>
      </c>
      <c r="P208" s="76">
        <v>13.8444444444444</v>
      </c>
      <c r="Q208" s="91">
        <v>340</v>
      </c>
      <c r="R208" s="76">
        <v>17.5</v>
      </c>
      <c r="S208" s="76">
        <f>STOCK[[#This Row],[Peso (g)]]*STOCK[[#This Row],[Precio Envío Kilogramo (USD)]]/1000</f>
        <v>5.95</v>
      </c>
      <c r="T208" s="76">
        <f>STOCK[[#This Row],[Costo Unitario (USD)]]+STOCK[[#This Row],[Costo Envío (USD)]]+STOCK[[#This Row],[Comisión 10%]]</f>
        <v>22.5944444444444</v>
      </c>
      <c r="U208" s="76">
        <f>STOCK[[#This Row],[Costo total]]*1.5</f>
        <v>33.8916666666666</v>
      </c>
      <c r="V208" s="76">
        <v>28</v>
      </c>
      <c r="W208" s="76">
        <f>STOCK[[#This Row],[Precio Final]]-STOCK[[#This Row],[Costo total]]</f>
        <v>5.4055555555556</v>
      </c>
      <c r="X208" s="76">
        <f>STOCK[[#This Row],[Ganancia Unitaria]]*STOCK[[#This Row],[Salidas]]</f>
        <v>21.6222222222224</v>
      </c>
      <c r="AA208" s="76">
        <f>STOCK[[#This Row],[Costo total]]*STOCK[[#This Row],[Entradas]]</f>
        <v>90.3777777777776</v>
      </c>
      <c r="AB208" s="76">
        <f>STOCK[[#This Row],[Stock Actual]]*STOCK[[#This Row],[Costo total]]</f>
        <v>0</v>
      </c>
    </row>
    <row r="209" s="77" customFormat="1" ht="50" customHeight="1" spans="1:28">
      <c r="A209" s="77" t="s">
        <v>453</v>
      </c>
      <c r="B209" s="6"/>
      <c r="C209" s="77" t="s">
        <v>30</v>
      </c>
      <c r="D209" s="77" t="s">
        <v>36</v>
      </c>
      <c r="E209" s="77" t="s">
        <v>452</v>
      </c>
      <c r="F209" s="77" t="s">
        <v>47</v>
      </c>
      <c r="G209" s="77" t="s">
        <v>34</v>
      </c>
      <c r="H209" s="77">
        <f>STOCK[[#This Row],[Precio Final]]</f>
        <v>25</v>
      </c>
      <c r="I209" s="77">
        <f>STOCK[[#This Row],[Precio Venta Ideal (x1.5)]]</f>
        <v>33.4416666666666</v>
      </c>
      <c r="J209" s="92">
        <v>4</v>
      </c>
      <c r="K209" s="92">
        <f>SUMIFS(VENTAS[Cantidad],VENTAS[Código del producto Vendido],STOCK[[#This Row],[Code]])</f>
        <v>4</v>
      </c>
      <c r="L209" s="92">
        <f>STOCK[[#This Row],[Entradas]]-STOCK[[#This Row],[Salidas]]</f>
        <v>0</v>
      </c>
      <c r="M209" s="77">
        <f>STOCK[[#This Row],[Precio Final]]*10%</f>
        <v>2.5</v>
      </c>
      <c r="N209" s="77">
        <v>249.2</v>
      </c>
      <c r="O209" s="77">
        <v>18</v>
      </c>
      <c r="P209" s="77">
        <v>13.8444444444444</v>
      </c>
      <c r="Q209" s="92">
        <v>340</v>
      </c>
      <c r="R209" s="77">
        <v>17.5</v>
      </c>
      <c r="S209" s="77">
        <f>STOCK[[#This Row],[Peso (g)]]*STOCK[[#This Row],[Precio Envío Kilogramo (USD)]]/1000</f>
        <v>5.95</v>
      </c>
      <c r="T209" s="76">
        <f>STOCK[[#This Row],[Costo Unitario (USD)]]+STOCK[[#This Row],[Costo Envío (USD)]]+STOCK[[#This Row],[Comisión 10%]]</f>
        <v>22.2944444444444</v>
      </c>
      <c r="U209" s="77">
        <f>STOCK[[#This Row],[Costo total]]*1.5</f>
        <v>33.4416666666666</v>
      </c>
      <c r="V209" s="77">
        <v>25</v>
      </c>
      <c r="W209" s="77">
        <f>STOCK[[#This Row],[Precio Final]]-STOCK[[#This Row],[Costo total]]</f>
        <v>2.7055555555556</v>
      </c>
      <c r="X209" s="77">
        <f>STOCK[[#This Row],[Ganancia Unitaria]]*STOCK[[#This Row],[Salidas]]</f>
        <v>10.8222222222224</v>
      </c>
      <c r="AA209" s="77">
        <f>STOCK[[#This Row],[Costo total]]*STOCK[[#This Row],[Entradas]]</f>
        <v>89.1777777777776</v>
      </c>
      <c r="AB209" s="77">
        <f>STOCK[[#This Row],[Stock Actual]]*STOCK[[#This Row],[Costo total]]</f>
        <v>0</v>
      </c>
    </row>
    <row r="210" s="76" customFormat="1" ht="50" customHeight="1" spans="1:28">
      <c r="A210" s="76" t="s">
        <v>454</v>
      </c>
      <c r="B210" s="6"/>
      <c r="C210" s="76" t="s">
        <v>30</v>
      </c>
      <c r="D210" s="76" t="s">
        <v>36</v>
      </c>
      <c r="E210" s="76" t="s">
        <v>455</v>
      </c>
      <c r="F210" s="76" t="s">
        <v>60</v>
      </c>
      <c r="G210" s="76" t="s">
        <v>34</v>
      </c>
      <c r="H210" s="76">
        <f>STOCK[[#This Row],[Precio Final]]</f>
        <v>25</v>
      </c>
      <c r="I210" s="76">
        <f>STOCK[[#This Row],[Precio Venta Ideal (x1.5)]]</f>
        <v>28.7166666666666</v>
      </c>
      <c r="J210" s="91">
        <v>1</v>
      </c>
      <c r="K210" s="91">
        <f>SUMIFS(VENTAS[Cantidad],VENTAS[Código del producto Vendido],STOCK[[#This Row],[Code]])</f>
        <v>1</v>
      </c>
      <c r="L210" s="91">
        <f>STOCK[[#This Row],[Entradas]]-STOCK[[#This Row],[Salidas]]</f>
        <v>0</v>
      </c>
      <c r="M210" s="76">
        <f>STOCK[[#This Row],[Precio Final]]*10%</f>
        <v>2.5</v>
      </c>
      <c r="N210" s="76">
        <v>249.2</v>
      </c>
      <c r="O210" s="76">
        <v>18</v>
      </c>
      <c r="P210" s="76">
        <v>13.8444444444444</v>
      </c>
      <c r="Q210" s="91">
        <v>350</v>
      </c>
      <c r="R210" s="76">
        <v>8</v>
      </c>
      <c r="S210" s="76">
        <f>STOCK[[#This Row],[Peso (g)]]*STOCK[[#This Row],[Precio Envío Kilogramo (USD)]]/1000</f>
        <v>2.8</v>
      </c>
      <c r="T210" s="76">
        <f>STOCK[[#This Row],[Costo Unitario (USD)]]+STOCK[[#This Row],[Costo Envío (USD)]]+STOCK[[#This Row],[Comisión 10%]]</f>
        <v>19.1444444444444</v>
      </c>
      <c r="U210" s="76">
        <f>STOCK[[#This Row],[Costo total]]*1.5</f>
        <v>28.7166666666666</v>
      </c>
      <c r="V210" s="76">
        <v>25</v>
      </c>
      <c r="W210" s="76">
        <f>STOCK[[#This Row],[Precio Final]]-STOCK[[#This Row],[Costo total]]</f>
        <v>5.8555555555556</v>
      </c>
      <c r="X210" s="76">
        <f>STOCK[[#This Row],[Ganancia Unitaria]]*STOCK[[#This Row],[Salidas]]</f>
        <v>5.8555555555556</v>
      </c>
      <c r="AA210" s="76">
        <f>STOCK[[#This Row],[Costo total]]*STOCK[[#This Row],[Entradas]]</f>
        <v>19.1444444444444</v>
      </c>
      <c r="AB210" s="76">
        <f>STOCK[[#This Row],[Stock Actual]]*STOCK[[#This Row],[Costo total]]</f>
        <v>0</v>
      </c>
    </row>
    <row r="211" s="77" customFormat="1" ht="50" customHeight="1" spans="1:28">
      <c r="A211" s="77" t="s">
        <v>456</v>
      </c>
      <c r="B211" s="6"/>
      <c r="C211" s="77" t="s">
        <v>30</v>
      </c>
      <c r="D211" s="77" t="s">
        <v>350</v>
      </c>
      <c r="E211" s="77" t="s">
        <v>457</v>
      </c>
      <c r="F211" s="77" t="s">
        <v>387</v>
      </c>
      <c r="G211" s="77" t="s">
        <v>34</v>
      </c>
      <c r="H211" s="77">
        <f>STOCK[[#This Row],[Precio Final]]</f>
        <v>15</v>
      </c>
      <c r="I211" s="77">
        <f>STOCK[[#This Row],[Precio Venta Ideal (x1.5)]]</f>
        <v>16.575</v>
      </c>
      <c r="J211" s="92">
        <v>2</v>
      </c>
      <c r="K211" s="92">
        <f>SUMIFS(VENTAS[Cantidad],VENTAS[Código del producto Vendido],STOCK[[#This Row],[Code]])</f>
        <v>2</v>
      </c>
      <c r="L211" s="92">
        <f>STOCK[[#This Row],[Entradas]]-STOCK[[#This Row],[Salidas]]</f>
        <v>0</v>
      </c>
      <c r="M211" s="77">
        <f>STOCK[[#This Row],[Precio Final]]*10%</f>
        <v>1.5</v>
      </c>
      <c r="N211" s="77">
        <v>143.1</v>
      </c>
      <c r="O211" s="77">
        <v>18</v>
      </c>
      <c r="P211" s="77">
        <v>7.95</v>
      </c>
      <c r="Q211" s="92">
        <v>200</v>
      </c>
      <c r="R211" s="77">
        <v>8</v>
      </c>
      <c r="S211" s="77">
        <f>STOCK[[#This Row],[Peso (g)]]*STOCK[[#This Row],[Precio Envío Kilogramo (USD)]]/1000</f>
        <v>1.6</v>
      </c>
      <c r="T211" s="76">
        <f>STOCK[[#This Row],[Costo Unitario (USD)]]+STOCK[[#This Row],[Costo Envío (USD)]]+STOCK[[#This Row],[Comisión 10%]]</f>
        <v>11.05</v>
      </c>
      <c r="U211" s="77">
        <f>STOCK[[#This Row],[Costo total]]*1.5</f>
        <v>16.575</v>
      </c>
      <c r="V211" s="77">
        <v>15</v>
      </c>
      <c r="W211" s="77">
        <f>STOCK[[#This Row],[Precio Final]]-STOCK[[#This Row],[Costo total]]</f>
        <v>3.95</v>
      </c>
      <c r="X211" s="77">
        <f>STOCK[[#This Row],[Ganancia Unitaria]]*STOCK[[#This Row],[Salidas]]</f>
        <v>7.9</v>
      </c>
      <c r="AA211" s="77">
        <f>STOCK[[#This Row],[Costo total]]*STOCK[[#This Row],[Entradas]]</f>
        <v>22.1</v>
      </c>
      <c r="AB211" s="77">
        <f>STOCK[[#This Row],[Stock Actual]]*STOCK[[#This Row],[Costo total]]</f>
        <v>0</v>
      </c>
    </row>
    <row r="212" s="76" customFormat="1" ht="50" customHeight="1" spans="1:28">
      <c r="A212" s="76" t="s">
        <v>458</v>
      </c>
      <c r="B212" s="6"/>
      <c r="C212" s="76" t="s">
        <v>30</v>
      </c>
      <c r="D212" s="76" t="s">
        <v>36</v>
      </c>
      <c r="E212" s="76" t="s">
        <v>459</v>
      </c>
      <c r="F212" s="76" t="s">
        <v>47</v>
      </c>
      <c r="G212" s="76" t="s">
        <v>34</v>
      </c>
      <c r="H212" s="76">
        <f>STOCK[[#This Row],[Precio Final]]</f>
        <v>22</v>
      </c>
      <c r="I212" s="76">
        <f>STOCK[[#This Row],[Precio Venta Ideal (x1.5)]]</f>
        <v>20.1033333333333</v>
      </c>
      <c r="J212" s="91">
        <v>1</v>
      </c>
      <c r="K212" s="91">
        <f>SUMIFS(VENTAS[Cantidad],VENTAS[Código del producto Vendido],STOCK[[#This Row],[Code]])</f>
        <v>1</v>
      </c>
      <c r="L212" s="91">
        <f>STOCK[[#This Row],[Entradas]]-STOCK[[#This Row],[Salidas]]</f>
        <v>0</v>
      </c>
      <c r="M212" s="76">
        <f>STOCK[[#This Row],[Precio Final]]*10%</f>
        <v>2.2</v>
      </c>
      <c r="N212" s="76">
        <v>201.64</v>
      </c>
      <c r="O212" s="76">
        <v>18</v>
      </c>
      <c r="P212" s="76">
        <v>11.2022222222222</v>
      </c>
      <c r="Q212" s="91"/>
      <c r="S212" s="76">
        <f>STOCK[[#This Row],[Peso (g)]]*STOCK[[#This Row],[Precio Envío Kilogramo (USD)]]/1000</f>
        <v>0</v>
      </c>
      <c r="T212" s="76">
        <f>STOCK[[#This Row],[Costo Unitario (USD)]]+STOCK[[#This Row],[Costo Envío (USD)]]+STOCK[[#This Row],[Comisión 10%]]</f>
        <v>13.4022222222222</v>
      </c>
      <c r="U212" s="76">
        <f>STOCK[[#This Row],[Costo total]]*1.5</f>
        <v>20.1033333333333</v>
      </c>
      <c r="V212" s="76">
        <v>22</v>
      </c>
      <c r="W212" s="76">
        <f>STOCK[[#This Row],[Precio Final]]-STOCK[[#This Row],[Costo total]]</f>
        <v>8.5977777777778</v>
      </c>
      <c r="X212" s="76">
        <f>STOCK[[#This Row],[Ganancia Unitaria]]*STOCK[[#This Row],[Salidas]]</f>
        <v>8.5977777777778</v>
      </c>
      <c r="AA212" s="76">
        <f>STOCK[[#This Row],[Costo total]]*STOCK[[#This Row],[Entradas]]</f>
        <v>13.4022222222222</v>
      </c>
      <c r="AB212" s="76">
        <f>STOCK[[#This Row],[Stock Actual]]*STOCK[[#This Row],[Costo total]]</f>
        <v>0</v>
      </c>
    </row>
    <row r="213" s="77" customFormat="1" ht="50" customHeight="1" spans="1:28">
      <c r="A213" s="77" t="s">
        <v>460</v>
      </c>
      <c r="B213" s="6"/>
      <c r="C213" s="77" t="s">
        <v>30</v>
      </c>
      <c r="D213" s="77" t="s">
        <v>36</v>
      </c>
      <c r="E213" s="77" t="s">
        <v>461</v>
      </c>
      <c r="F213" s="77" t="s">
        <v>47</v>
      </c>
      <c r="G213" s="77" t="s">
        <v>34</v>
      </c>
      <c r="H213" s="77">
        <f>STOCK[[#This Row],[Precio Final]]</f>
        <v>22</v>
      </c>
      <c r="I213" s="77">
        <f>STOCK[[#This Row],[Precio Venta Ideal (x1.5)]]</f>
        <v>20.4041666666667</v>
      </c>
      <c r="J213" s="92">
        <v>1</v>
      </c>
      <c r="K213" s="92">
        <f>SUMIFS(VENTAS[Cantidad],VENTAS[Código del producto Vendido],STOCK[[#This Row],[Code]])</f>
        <v>1</v>
      </c>
      <c r="L213" s="92">
        <f>STOCK[[#This Row],[Entradas]]-STOCK[[#This Row],[Salidas]]</f>
        <v>0</v>
      </c>
      <c r="M213" s="77">
        <f>STOCK[[#This Row],[Precio Final]]*10%</f>
        <v>2.2</v>
      </c>
      <c r="N213" s="77">
        <v>205.25</v>
      </c>
      <c r="O213" s="77">
        <v>18</v>
      </c>
      <c r="P213" s="77">
        <v>11.4027777777778</v>
      </c>
      <c r="Q213" s="92"/>
      <c r="S213" s="77">
        <f>STOCK[[#This Row],[Peso (g)]]*STOCK[[#This Row],[Precio Envío Kilogramo (USD)]]/1000</f>
        <v>0</v>
      </c>
      <c r="T213" s="76">
        <f>STOCK[[#This Row],[Costo Unitario (USD)]]+STOCK[[#This Row],[Costo Envío (USD)]]+STOCK[[#This Row],[Comisión 10%]]</f>
        <v>13.6027777777778</v>
      </c>
      <c r="U213" s="77">
        <f>STOCK[[#This Row],[Costo total]]*1.5</f>
        <v>20.4041666666667</v>
      </c>
      <c r="V213" s="77">
        <v>22</v>
      </c>
      <c r="W213" s="77">
        <f>STOCK[[#This Row],[Precio Final]]-STOCK[[#This Row],[Costo total]]</f>
        <v>8.3972222222222</v>
      </c>
      <c r="X213" s="77">
        <f>STOCK[[#This Row],[Ganancia Unitaria]]*STOCK[[#This Row],[Salidas]]</f>
        <v>8.3972222222222</v>
      </c>
      <c r="AA213" s="77">
        <f>STOCK[[#This Row],[Costo total]]*STOCK[[#This Row],[Entradas]]</f>
        <v>13.6027777777778</v>
      </c>
      <c r="AB213" s="77">
        <f>STOCK[[#This Row],[Stock Actual]]*STOCK[[#This Row],[Costo total]]</f>
        <v>0</v>
      </c>
    </row>
    <row r="214" s="76" customFormat="1" ht="50" customHeight="1" spans="1:28">
      <c r="A214" s="76" t="s">
        <v>462</v>
      </c>
      <c r="B214" s="6"/>
      <c r="C214" s="76" t="s">
        <v>30</v>
      </c>
      <c r="D214" s="76" t="s">
        <v>42</v>
      </c>
      <c r="E214" s="76" t="s">
        <v>463</v>
      </c>
      <c r="F214" s="76" t="s">
        <v>38</v>
      </c>
      <c r="G214" s="76" t="s">
        <v>34</v>
      </c>
      <c r="H214" s="76">
        <f>STOCK[[#This Row],[Precio Final]]</f>
        <v>25</v>
      </c>
      <c r="I214" s="76">
        <f>STOCK[[#This Row],[Precio Venta Ideal (x1.5)]]</f>
        <v>20.54</v>
      </c>
      <c r="J214" s="91">
        <v>1</v>
      </c>
      <c r="K214" s="91">
        <f>SUMIFS(VENTAS[Cantidad],VENTAS[Código del producto Vendido],STOCK[[#This Row],[Code]])</f>
        <v>1</v>
      </c>
      <c r="L214" s="91">
        <f>STOCK[[#This Row],[Entradas]]-STOCK[[#This Row],[Salidas]]</f>
        <v>0</v>
      </c>
      <c r="M214" s="76">
        <f>STOCK[[#This Row],[Precio Final]]*10%</f>
        <v>2.5</v>
      </c>
      <c r="N214" s="76">
        <v>159</v>
      </c>
      <c r="O214" s="76">
        <v>18</v>
      </c>
      <c r="P214" s="76">
        <v>8.83333333333333</v>
      </c>
      <c r="Q214" s="91">
        <v>295</v>
      </c>
      <c r="R214" s="76">
        <v>8</v>
      </c>
      <c r="S214" s="76">
        <f>STOCK[[#This Row],[Peso (g)]]*STOCK[[#This Row],[Precio Envío Kilogramo (USD)]]/1000</f>
        <v>2.36</v>
      </c>
      <c r="T214" s="76">
        <f>STOCK[[#This Row],[Costo Unitario (USD)]]+STOCK[[#This Row],[Costo Envío (USD)]]+STOCK[[#This Row],[Comisión 10%]]</f>
        <v>13.6933333333333</v>
      </c>
      <c r="U214" s="76">
        <f>STOCK[[#This Row],[Costo total]]*1.5</f>
        <v>20.54</v>
      </c>
      <c r="V214" s="76">
        <v>25</v>
      </c>
      <c r="W214" s="76">
        <f>STOCK[[#This Row],[Precio Final]]-STOCK[[#This Row],[Costo total]]</f>
        <v>11.3066666666667</v>
      </c>
      <c r="X214" s="76">
        <f>STOCK[[#This Row],[Ganancia Unitaria]]*STOCK[[#This Row],[Salidas]]</f>
        <v>11.3066666666667</v>
      </c>
      <c r="AA214" s="76">
        <f>STOCK[[#This Row],[Costo total]]*STOCK[[#This Row],[Entradas]]</f>
        <v>13.6933333333333</v>
      </c>
      <c r="AB214" s="76">
        <f>STOCK[[#This Row],[Stock Actual]]*STOCK[[#This Row],[Costo total]]</f>
        <v>0</v>
      </c>
    </row>
    <row r="215" s="77" customFormat="1" ht="50" customHeight="1" spans="1:29">
      <c r="A215" s="77" t="s">
        <v>464</v>
      </c>
      <c r="B215" s="6"/>
      <c r="C215" s="77" t="s">
        <v>30</v>
      </c>
      <c r="D215" s="77" t="s">
        <v>215</v>
      </c>
      <c r="E215" s="77" t="s">
        <v>465</v>
      </c>
      <c r="F215" s="77" t="s">
        <v>38</v>
      </c>
      <c r="G215" s="77" t="s">
        <v>34</v>
      </c>
      <c r="H215" s="77">
        <f>STOCK[[#This Row],[Precio Final]]</f>
        <v>25</v>
      </c>
      <c r="I215" s="77">
        <f>STOCK[[#This Row],[Precio Venta Ideal (x1.5)]]</f>
        <v>28.4825</v>
      </c>
      <c r="J215" s="92">
        <v>1</v>
      </c>
      <c r="K215" s="92">
        <f>SUMIFS(VENTAS[Cantidad],VENTAS[Código del producto Vendido],STOCK[[#This Row],[Code]])</f>
        <v>0</v>
      </c>
      <c r="L215" s="92">
        <f>STOCK[[#This Row],[Entradas]]-STOCK[[#This Row],[Salidas]]</f>
        <v>1</v>
      </c>
      <c r="M215" s="77">
        <f>STOCK[[#This Row],[Precio Final]]*10%</f>
        <v>2.5</v>
      </c>
      <c r="N215" s="77">
        <v>249.99</v>
      </c>
      <c r="O215" s="77">
        <v>18</v>
      </c>
      <c r="P215" s="77">
        <v>13.8883333333333</v>
      </c>
      <c r="Q215" s="92">
        <v>325</v>
      </c>
      <c r="R215" s="77">
        <v>8</v>
      </c>
      <c r="S215" s="77">
        <f>STOCK[[#This Row],[Peso (g)]]*STOCK[[#This Row],[Precio Envío Kilogramo (USD)]]/1000</f>
        <v>2.6</v>
      </c>
      <c r="T215" s="76">
        <f>STOCK[[#This Row],[Costo Unitario (USD)]]+STOCK[[#This Row],[Costo Envío (USD)]]+STOCK[[#This Row],[Comisión 10%]]</f>
        <v>18.9883333333333</v>
      </c>
      <c r="U215" s="77">
        <f>STOCK[[#This Row],[Costo total]]*1.5</f>
        <v>28.4825</v>
      </c>
      <c r="V215" s="77">
        <v>25</v>
      </c>
      <c r="W215" s="77">
        <f>STOCK[[#This Row],[Precio Final]]-STOCK[[#This Row],[Costo total]]</f>
        <v>6.0116666666667</v>
      </c>
      <c r="X215" s="77">
        <f>STOCK[[#This Row],[Ganancia Unitaria]]*STOCK[[#This Row],[Salidas]]</f>
        <v>0</v>
      </c>
      <c r="AA215" s="77">
        <f>STOCK[[#This Row],[Costo total]]*STOCK[[#This Row],[Entradas]]</f>
        <v>18.9883333333333</v>
      </c>
      <c r="AB215" s="77">
        <f>STOCK[[#This Row],[Stock Actual]]*STOCK[[#This Row],[Costo total]]</f>
        <v>18.9883333333333</v>
      </c>
      <c r="AC215" s="77">
        <v>20</v>
      </c>
    </row>
    <row r="216" s="76" customFormat="1" ht="50" customHeight="1" spans="1:29">
      <c r="A216" s="76" t="s">
        <v>466</v>
      </c>
      <c r="B216" s="6"/>
      <c r="C216" s="76" t="s">
        <v>30</v>
      </c>
      <c r="D216" s="77" t="s">
        <v>215</v>
      </c>
      <c r="E216" s="76" t="s">
        <v>465</v>
      </c>
      <c r="F216" s="76" t="s">
        <v>47</v>
      </c>
      <c r="G216" s="76" t="s">
        <v>34</v>
      </c>
      <c r="H216" s="76">
        <f>STOCK[[#This Row],[Precio Final]]</f>
        <v>25</v>
      </c>
      <c r="I216" s="76">
        <f>STOCK[[#This Row],[Precio Venta Ideal (x1.5)]]</f>
        <v>28.4825</v>
      </c>
      <c r="J216" s="91">
        <v>1</v>
      </c>
      <c r="K216" s="91">
        <f>SUMIFS(VENTAS[Cantidad],VENTAS[Código del producto Vendido],STOCK[[#This Row],[Code]])</f>
        <v>0</v>
      </c>
      <c r="L216" s="91">
        <f>STOCK[[#This Row],[Entradas]]-STOCK[[#This Row],[Salidas]]</f>
        <v>1</v>
      </c>
      <c r="M216" s="76">
        <f>STOCK[[#This Row],[Precio Final]]*10%</f>
        <v>2.5</v>
      </c>
      <c r="N216" s="76">
        <v>249.99</v>
      </c>
      <c r="O216" s="76">
        <v>18</v>
      </c>
      <c r="P216" s="76">
        <v>13.8883333333333</v>
      </c>
      <c r="Q216" s="91">
        <v>325</v>
      </c>
      <c r="R216" s="76">
        <v>8</v>
      </c>
      <c r="S216" s="76">
        <f>STOCK[[#This Row],[Peso (g)]]*STOCK[[#This Row],[Precio Envío Kilogramo (USD)]]/1000</f>
        <v>2.6</v>
      </c>
      <c r="T216" s="76">
        <f>STOCK[[#This Row],[Costo Unitario (USD)]]+STOCK[[#This Row],[Costo Envío (USD)]]+STOCK[[#This Row],[Comisión 10%]]</f>
        <v>18.9883333333333</v>
      </c>
      <c r="U216" s="76">
        <f>STOCK[[#This Row],[Costo total]]*1.5</f>
        <v>28.4825</v>
      </c>
      <c r="V216" s="76">
        <v>25</v>
      </c>
      <c r="W216" s="76">
        <f>STOCK[[#This Row],[Precio Final]]-STOCK[[#This Row],[Costo total]]</f>
        <v>6.0116666666667</v>
      </c>
      <c r="X216" s="76">
        <f>STOCK[[#This Row],[Ganancia Unitaria]]*STOCK[[#This Row],[Salidas]]</f>
        <v>0</v>
      </c>
      <c r="AA216" s="76">
        <f>STOCK[[#This Row],[Costo total]]*STOCK[[#This Row],[Entradas]]</f>
        <v>18.9883333333333</v>
      </c>
      <c r="AB216" s="76">
        <f>STOCK[[#This Row],[Stock Actual]]*STOCK[[#This Row],[Costo total]]</f>
        <v>18.9883333333333</v>
      </c>
      <c r="AC216" s="76">
        <v>20</v>
      </c>
    </row>
    <row r="217" s="77" customFormat="1" ht="50" customHeight="1" spans="1:29">
      <c r="A217" s="77" t="s">
        <v>467</v>
      </c>
      <c r="B217" s="6"/>
      <c r="C217" s="77" t="s">
        <v>30</v>
      </c>
      <c r="D217" s="77" t="s">
        <v>468</v>
      </c>
      <c r="E217" s="77" t="s">
        <v>469</v>
      </c>
      <c r="F217" s="77" t="s">
        <v>470</v>
      </c>
      <c r="G217" s="77" t="s">
        <v>34</v>
      </c>
      <c r="H217" s="77">
        <f>STOCK[[#This Row],[Precio Final]]</f>
        <v>35</v>
      </c>
      <c r="I217" s="77">
        <f>STOCK[[#This Row],[Precio Venta Ideal (x1.5)]]</f>
        <v>30.5908333333334</v>
      </c>
      <c r="J217" s="92">
        <v>1</v>
      </c>
      <c r="K217" s="92">
        <f>SUMIFS(VENTAS[Cantidad],VENTAS[Código del producto Vendido],STOCK[[#This Row],[Code]])</f>
        <v>0</v>
      </c>
      <c r="L217" s="92">
        <f>STOCK[[#This Row],[Entradas]]-STOCK[[#This Row],[Salidas]]</f>
        <v>1</v>
      </c>
      <c r="M217" s="77">
        <f>STOCK[[#This Row],[Precio Final]]*10%</f>
        <v>3.5</v>
      </c>
      <c r="N217" s="77">
        <v>239.29</v>
      </c>
      <c r="O217" s="77">
        <v>18</v>
      </c>
      <c r="P217" s="77">
        <v>13.2938888888889</v>
      </c>
      <c r="Q217" s="92">
        <v>450</v>
      </c>
      <c r="R217" s="77">
        <v>8</v>
      </c>
      <c r="S217" s="77">
        <f>STOCK[[#This Row],[Peso (g)]]*STOCK[[#This Row],[Precio Envío Kilogramo (USD)]]/1000</f>
        <v>3.6</v>
      </c>
      <c r="T217" s="76">
        <f>STOCK[[#This Row],[Costo Unitario (USD)]]+STOCK[[#This Row],[Costo Envío (USD)]]+STOCK[[#This Row],[Comisión 10%]]</f>
        <v>20.3938888888889</v>
      </c>
      <c r="U217" s="77">
        <f>STOCK[[#This Row],[Costo total]]*1.5</f>
        <v>30.5908333333334</v>
      </c>
      <c r="V217" s="77">
        <v>35</v>
      </c>
      <c r="W217" s="77">
        <f>STOCK[[#This Row],[Precio Final]]-STOCK[[#This Row],[Costo total]]</f>
        <v>14.6061111111111</v>
      </c>
      <c r="X217" s="77">
        <f>STOCK[[#This Row],[Ganancia Unitaria]]*STOCK[[#This Row],[Salidas]]</f>
        <v>0</v>
      </c>
      <c r="AA217" s="77">
        <f>STOCK[[#This Row],[Costo total]]*STOCK[[#This Row],[Entradas]]</f>
        <v>20.3938888888889</v>
      </c>
      <c r="AB217" s="77">
        <f>STOCK[[#This Row],[Stock Actual]]*STOCK[[#This Row],[Costo total]]</f>
        <v>20.3938888888889</v>
      </c>
      <c r="AC217" s="77">
        <v>25</v>
      </c>
    </row>
    <row r="218" s="76" customFormat="1" ht="50" customHeight="1" spans="1:29">
      <c r="A218" s="76" t="s">
        <v>471</v>
      </c>
      <c r="B218" s="6"/>
      <c r="C218" s="76" t="s">
        <v>30</v>
      </c>
      <c r="D218" s="77" t="s">
        <v>468</v>
      </c>
      <c r="E218" s="76" t="s">
        <v>469</v>
      </c>
      <c r="F218" s="76" t="s">
        <v>90</v>
      </c>
      <c r="G218" s="76" t="s">
        <v>34</v>
      </c>
      <c r="H218" s="76">
        <f>STOCK[[#This Row],[Precio Final]]</f>
        <v>35</v>
      </c>
      <c r="I218" s="76">
        <f>STOCK[[#This Row],[Precio Venta Ideal (x1.5)]]</f>
        <v>30.5908333333334</v>
      </c>
      <c r="J218" s="91">
        <v>1</v>
      </c>
      <c r="K218" s="91">
        <f>SUMIFS(VENTAS[Cantidad],VENTAS[Código del producto Vendido],STOCK[[#This Row],[Code]])</f>
        <v>0</v>
      </c>
      <c r="L218" s="91">
        <f>STOCK[[#This Row],[Entradas]]-STOCK[[#This Row],[Salidas]]</f>
        <v>1</v>
      </c>
      <c r="M218" s="76">
        <f>STOCK[[#This Row],[Precio Final]]*10%</f>
        <v>3.5</v>
      </c>
      <c r="N218" s="76">
        <v>239.29</v>
      </c>
      <c r="O218" s="76">
        <v>18</v>
      </c>
      <c r="P218" s="76">
        <v>13.2938888888889</v>
      </c>
      <c r="Q218" s="91">
        <v>450</v>
      </c>
      <c r="R218" s="76">
        <v>8</v>
      </c>
      <c r="S218" s="76">
        <f>STOCK[[#This Row],[Peso (g)]]*STOCK[[#This Row],[Precio Envío Kilogramo (USD)]]/1000</f>
        <v>3.6</v>
      </c>
      <c r="T218" s="76">
        <f>STOCK[[#This Row],[Costo Unitario (USD)]]+STOCK[[#This Row],[Costo Envío (USD)]]+STOCK[[#This Row],[Comisión 10%]]</f>
        <v>20.3938888888889</v>
      </c>
      <c r="U218" s="76">
        <f>STOCK[[#This Row],[Costo total]]*1.5</f>
        <v>30.5908333333334</v>
      </c>
      <c r="V218" s="76">
        <v>35</v>
      </c>
      <c r="W218" s="76">
        <f>STOCK[[#This Row],[Precio Final]]-STOCK[[#This Row],[Costo total]]</f>
        <v>14.6061111111111</v>
      </c>
      <c r="X218" s="76">
        <f>STOCK[[#This Row],[Ganancia Unitaria]]*STOCK[[#This Row],[Salidas]]</f>
        <v>0</v>
      </c>
      <c r="AA218" s="76">
        <f>STOCK[[#This Row],[Costo total]]*STOCK[[#This Row],[Entradas]]</f>
        <v>20.3938888888889</v>
      </c>
      <c r="AB218" s="76">
        <f>STOCK[[#This Row],[Stock Actual]]*STOCK[[#This Row],[Costo total]]</f>
        <v>20.3938888888889</v>
      </c>
      <c r="AC218" s="76">
        <v>25</v>
      </c>
    </row>
    <row r="219" s="77" customFormat="1" ht="50" customHeight="1" spans="1:28">
      <c r="A219" s="77" t="s">
        <v>472</v>
      </c>
      <c r="B219" s="6"/>
      <c r="C219" s="77" t="s">
        <v>30</v>
      </c>
      <c r="D219" s="77" t="s">
        <v>42</v>
      </c>
      <c r="E219" s="77" t="s">
        <v>473</v>
      </c>
      <c r="G219" s="77" t="s">
        <v>34</v>
      </c>
      <c r="H219" s="77">
        <f>STOCK[[#This Row],[Precio Final]]</f>
        <v>25</v>
      </c>
      <c r="I219" s="77">
        <f>STOCK[[#This Row],[Precio Venta Ideal (x1.5)]]</f>
        <v>29.6408333333334</v>
      </c>
      <c r="J219" s="92">
        <v>1</v>
      </c>
      <c r="K219" s="92">
        <f>SUMIFS(VENTAS[Cantidad],VENTAS[Código del producto Vendido],STOCK[[#This Row],[Code]])</f>
        <v>1</v>
      </c>
      <c r="L219" s="92">
        <f>STOCK[[#This Row],[Entradas]]-STOCK[[#This Row],[Salidas]]</f>
        <v>0</v>
      </c>
      <c r="M219" s="77">
        <f>STOCK[[#This Row],[Precio Final]]*10%</f>
        <v>2.5</v>
      </c>
      <c r="N219" s="77">
        <v>267.49</v>
      </c>
      <c r="O219" s="77">
        <v>18</v>
      </c>
      <c r="P219" s="77">
        <v>14.8605555555556</v>
      </c>
      <c r="Q219" s="92">
        <v>300</v>
      </c>
      <c r="R219" s="77">
        <v>8</v>
      </c>
      <c r="S219" s="77">
        <f>STOCK[[#This Row],[Peso (g)]]*STOCK[[#This Row],[Precio Envío Kilogramo (USD)]]/1000</f>
        <v>2.4</v>
      </c>
      <c r="T219" s="76">
        <f>STOCK[[#This Row],[Costo Unitario (USD)]]+STOCK[[#This Row],[Costo Envío (USD)]]+STOCK[[#This Row],[Comisión 10%]]</f>
        <v>19.7605555555556</v>
      </c>
      <c r="U219" s="77">
        <f>STOCK[[#This Row],[Costo total]]*1.5</f>
        <v>29.6408333333334</v>
      </c>
      <c r="V219" s="77">
        <v>25</v>
      </c>
      <c r="W219" s="77">
        <f>STOCK[[#This Row],[Precio Final]]-STOCK[[#This Row],[Costo total]]</f>
        <v>5.2394444444444</v>
      </c>
      <c r="X219" s="77">
        <f>STOCK[[#This Row],[Ganancia Unitaria]]*STOCK[[#This Row],[Salidas]]</f>
        <v>5.2394444444444</v>
      </c>
      <c r="AA219" s="77">
        <f>STOCK[[#This Row],[Costo total]]*STOCK[[#This Row],[Entradas]]</f>
        <v>19.7605555555556</v>
      </c>
      <c r="AB219" s="77">
        <f>STOCK[[#This Row],[Stock Actual]]*STOCK[[#This Row],[Costo total]]</f>
        <v>0</v>
      </c>
    </row>
    <row r="220" s="76" customFormat="1" ht="50" customHeight="1" spans="1:28">
      <c r="A220" s="76" t="s">
        <v>474</v>
      </c>
      <c r="B220" s="6"/>
      <c r="C220" s="76" t="s">
        <v>30</v>
      </c>
      <c r="D220" s="76" t="s">
        <v>36</v>
      </c>
      <c r="E220" s="76" t="s">
        <v>475</v>
      </c>
      <c r="F220" s="76" t="s">
        <v>44</v>
      </c>
      <c r="G220" s="76" t="s">
        <v>34</v>
      </c>
      <c r="H220" s="76">
        <f>STOCK[[#This Row],[Precio Final]]</f>
        <v>20</v>
      </c>
      <c r="I220" s="76">
        <f>STOCK[[#This Row],[Precio Venta Ideal (x1.5)]]</f>
        <v>19.5016666666667</v>
      </c>
      <c r="J220" s="91">
        <v>1</v>
      </c>
      <c r="K220" s="91">
        <f>SUMIFS(VENTAS[Cantidad],VENTAS[Código del producto Vendido],STOCK[[#This Row],[Code]])</f>
        <v>1</v>
      </c>
      <c r="L220" s="91">
        <f>STOCK[[#This Row],[Entradas]]-STOCK[[#This Row],[Salidas]]</f>
        <v>0</v>
      </c>
      <c r="M220" s="76">
        <f>STOCK[[#This Row],[Precio Final]]*10%</f>
        <v>2</v>
      </c>
      <c r="N220" s="76">
        <v>198.02</v>
      </c>
      <c r="O220" s="76">
        <v>18</v>
      </c>
      <c r="P220" s="76">
        <v>11.0011111111111</v>
      </c>
      <c r="Q220" s="91"/>
      <c r="S220" s="76">
        <f>STOCK[[#This Row],[Peso (g)]]*STOCK[[#This Row],[Precio Envío Kilogramo (USD)]]/1000</f>
        <v>0</v>
      </c>
      <c r="T220" s="76">
        <f>STOCK[[#This Row],[Costo Unitario (USD)]]+STOCK[[#This Row],[Costo Envío (USD)]]+STOCK[[#This Row],[Comisión 10%]]</f>
        <v>13.0011111111111</v>
      </c>
      <c r="U220" s="76">
        <f>STOCK[[#This Row],[Costo total]]*1.5</f>
        <v>19.5016666666667</v>
      </c>
      <c r="V220" s="76">
        <v>20</v>
      </c>
      <c r="W220" s="76">
        <f>STOCK[[#This Row],[Precio Final]]-STOCK[[#This Row],[Costo total]]</f>
        <v>6.9988888888889</v>
      </c>
      <c r="X220" s="76">
        <f>STOCK[[#This Row],[Ganancia Unitaria]]*STOCK[[#This Row],[Salidas]]</f>
        <v>6.9988888888889</v>
      </c>
      <c r="AA220" s="76">
        <f>STOCK[[#This Row],[Costo total]]*STOCK[[#This Row],[Entradas]]</f>
        <v>13.0011111111111</v>
      </c>
      <c r="AB220" s="76">
        <f>STOCK[[#This Row],[Stock Actual]]*STOCK[[#This Row],[Costo total]]</f>
        <v>0</v>
      </c>
    </row>
    <row r="221" s="77" customFormat="1" ht="50" customHeight="1" spans="1:28">
      <c r="A221" s="77" t="s">
        <v>476</v>
      </c>
      <c r="B221" s="6"/>
      <c r="C221" s="77" t="s">
        <v>30</v>
      </c>
      <c r="D221" s="77" t="s">
        <v>42</v>
      </c>
      <c r="E221" s="77" t="s">
        <v>477</v>
      </c>
      <c r="F221" s="77" t="s">
        <v>38</v>
      </c>
      <c r="G221" s="77" t="s">
        <v>34</v>
      </c>
      <c r="H221" s="77">
        <f>STOCK[[#This Row],[Precio Final]]</f>
        <v>18</v>
      </c>
      <c r="I221" s="77">
        <f>STOCK[[#This Row],[Precio Venta Ideal (x1.5)]]</f>
        <v>19.675</v>
      </c>
      <c r="J221" s="92">
        <v>1</v>
      </c>
      <c r="K221" s="92">
        <f>SUMIFS(VENTAS[Cantidad],VENTAS[Código del producto Vendido],STOCK[[#This Row],[Code]])</f>
        <v>1</v>
      </c>
      <c r="L221" s="92">
        <f>STOCK[[#This Row],[Entradas]]-STOCK[[#This Row],[Salidas]]</f>
        <v>0</v>
      </c>
      <c r="M221" s="77">
        <f>STOCK[[#This Row],[Precio Final]]*10%</f>
        <v>1.8</v>
      </c>
      <c r="N221" s="77">
        <v>160.5</v>
      </c>
      <c r="O221" s="77">
        <v>18</v>
      </c>
      <c r="P221" s="77">
        <v>8.91666666666667</v>
      </c>
      <c r="Q221" s="92">
        <v>300</v>
      </c>
      <c r="R221" s="77">
        <v>8</v>
      </c>
      <c r="S221" s="77">
        <f>STOCK[[#This Row],[Peso (g)]]*STOCK[[#This Row],[Precio Envío Kilogramo (USD)]]/1000</f>
        <v>2.4</v>
      </c>
      <c r="T221" s="76">
        <f>STOCK[[#This Row],[Costo Unitario (USD)]]+STOCK[[#This Row],[Costo Envío (USD)]]+STOCK[[#This Row],[Comisión 10%]]</f>
        <v>13.1166666666667</v>
      </c>
      <c r="U221" s="77">
        <f>STOCK[[#This Row],[Costo total]]*1.5</f>
        <v>19.675</v>
      </c>
      <c r="V221" s="77">
        <v>18</v>
      </c>
      <c r="W221" s="77">
        <f>STOCK[[#This Row],[Precio Final]]-STOCK[[#This Row],[Costo total]]</f>
        <v>4.88333333333333</v>
      </c>
      <c r="X221" s="77">
        <f>STOCK[[#This Row],[Ganancia Unitaria]]*STOCK[[#This Row],[Salidas]]</f>
        <v>4.88333333333333</v>
      </c>
      <c r="AA221" s="77">
        <f>STOCK[[#This Row],[Costo total]]*STOCK[[#This Row],[Entradas]]</f>
        <v>13.1166666666667</v>
      </c>
      <c r="AB221" s="77">
        <f>STOCK[[#This Row],[Stock Actual]]*STOCK[[#This Row],[Costo total]]</f>
        <v>0</v>
      </c>
    </row>
    <row r="222" s="76" customFormat="1" ht="50" customHeight="1" spans="1:28">
      <c r="A222" s="76" t="s">
        <v>478</v>
      </c>
      <c r="B222" s="6"/>
      <c r="C222" s="76" t="s">
        <v>30</v>
      </c>
      <c r="D222" s="76" t="s">
        <v>350</v>
      </c>
      <c r="E222" s="76" t="s">
        <v>479</v>
      </c>
      <c r="F222" s="76" t="s">
        <v>387</v>
      </c>
      <c r="G222" s="76" t="s">
        <v>34</v>
      </c>
      <c r="H222" s="76">
        <f>STOCK[[#This Row],[Precio Final]]</f>
        <v>15</v>
      </c>
      <c r="I222" s="76">
        <f>STOCK[[#This Row],[Precio Venta Ideal (x1.5)]]</f>
        <v>11.7566666666667</v>
      </c>
      <c r="J222" s="91">
        <v>2</v>
      </c>
      <c r="K222" s="91">
        <f>SUMIFS(VENTAS[Cantidad],VENTAS[Código del producto Vendido],STOCK[[#This Row],[Code]])</f>
        <v>2</v>
      </c>
      <c r="L222" s="91">
        <f>STOCK[[#This Row],[Entradas]]-STOCK[[#This Row],[Salidas]]</f>
        <v>0</v>
      </c>
      <c r="M222" s="76">
        <f>STOCK[[#This Row],[Precio Final]]*10%</f>
        <v>1.5</v>
      </c>
      <c r="N222" s="76">
        <v>85.28</v>
      </c>
      <c r="O222" s="76">
        <v>18</v>
      </c>
      <c r="P222" s="76">
        <v>4.73777777777778</v>
      </c>
      <c r="Q222" s="91">
        <v>200</v>
      </c>
      <c r="R222" s="76">
        <v>8</v>
      </c>
      <c r="S222" s="76">
        <f>STOCK[[#This Row],[Peso (g)]]*STOCK[[#This Row],[Precio Envío Kilogramo (USD)]]/1000</f>
        <v>1.6</v>
      </c>
      <c r="T222" s="76">
        <f>STOCK[[#This Row],[Costo Unitario (USD)]]+STOCK[[#This Row],[Costo Envío (USD)]]+STOCK[[#This Row],[Comisión 10%]]</f>
        <v>7.83777777777778</v>
      </c>
      <c r="U222" s="76">
        <f>STOCK[[#This Row],[Costo total]]*1.5</f>
        <v>11.7566666666667</v>
      </c>
      <c r="V222" s="76">
        <v>15</v>
      </c>
      <c r="W222" s="76">
        <f>STOCK[[#This Row],[Precio Final]]-STOCK[[#This Row],[Costo total]]</f>
        <v>7.16222222222222</v>
      </c>
      <c r="X222" s="76">
        <f>STOCK[[#This Row],[Ganancia Unitaria]]*STOCK[[#This Row],[Salidas]]</f>
        <v>14.3244444444444</v>
      </c>
      <c r="AA222" s="76">
        <f>STOCK[[#This Row],[Costo total]]*STOCK[[#This Row],[Entradas]]</f>
        <v>15.6755555555556</v>
      </c>
      <c r="AB222" s="76">
        <f>STOCK[[#This Row],[Stock Actual]]*STOCK[[#This Row],[Costo total]]</f>
        <v>0</v>
      </c>
    </row>
    <row r="223" s="77" customFormat="1" ht="50" customHeight="1" spans="1:28">
      <c r="A223" s="77" t="s">
        <v>480</v>
      </c>
      <c r="B223" s="6"/>
      <c r="C223" s="77" t="s">
        <v>30</v>
      </c>
      <c r="D223" s="77" t="s">
        <v>36</v>
      </c>
      <c r="E223" s="77" t="s">
        <v>481</v>
      </c>
      <c r="F223" s="77" t="s">
        <v>60</v>
      </c>
      <c r="G223" s="77" t="s">
        <v>34</v>
      </c>
      <c r="H223" s="77">
        <f>STOCK[[#This Row],[Precio Final]]</f>
        <v>15</v>
      </c>
      <c r="I223" s="77">
        <f>STOCK[[#This Row],[Precio Venta Ideal (x1.5)]]</f>
        <v>15.4308333333333</v>
      </c>
      <c r="J223" s="92">
        <v>1</v>
      </c>
      <c r="K223" s="92">
        <f>SUMIFS(VENTAS[Cantidad],VENTAS[Código del producto Vendido],STOCK[[#This Row],[Code]])</f>
        <v>1</v>
      </c>
      <c r="L223" s="92">
        <f>STOCK[[#This Row],[Entradas]]-STOCK[[#This Row],[Salidas]]</f>
        <v>0</v>
      </c>
      <c r="M223" s="77">
        <f>STOCK[[#This Row],[Precio Final]]*10%</f>
        <v>1.5</v>
      </c>
      <c r="N223" s="77">
        <v>129.37</v>
      </c>
      <c r="O223" s="77">
        <v>18</v>
      </c>
      <c r="P223" s="77">
        <v>7.18722222222222</v>
      </c>
      <c r="Q223" s="92">
        <v>200</v>
      </c>
      <c r="R223" s="77">
        <v>8</v>
      </c>
      <c r="S223" s="77">
        <f>STOCK[[#This Row],[Peso (g)]]*STOCK[[#This Row],[Precio Envío Kilogramo (USD)]]/1000</f>
        <v>1.6</v>
      </c>
      <c r="T223" s="76">
        <f>STOCK[[#This Row],[Costo Unitario (USD)]]+STOCK[[#This Row],[Costo Envío (USD)]]+STOCK[[#This Row],[Comisión 10%]]</f>
        <v>10.2872222222222</v>
      </c>
      <c r="U223" s="77">
        <f>STOCK[[#This Row],[Costo total]]*1.5</f>
        <v>15.4308333333333</v>
      </c>
      <c r="V223" s="77">
        <v>15</v>
      </c>
      <c r="W223" s="77">
        <f>STOCK[[#This Row],[Precio Final]]-STOCK[[#This Row],[Costo total]]</f>
        <v>4.71277777777778</v>
      </c>
      <c r="X223" s="77">
        <f>STOCK[[#This Row],[Ganancia Unitaria]]*STOCK[[#This Row],[Salidas]]</f>
        <v>4.71277777777778</v>
      </c>
      <c r="AA223" s="77">
        <f>STOCK[[#This Row],[Costo total]]*STOCK[[#This Row],[Entradas]]</f>
        <v>10.2872222222222</v>
      </c>
      <c r="AB223" s="77">
        <f>STOCK[[#This Row],[Stock Actual]]*STOCK[[#This Row],[Costo total]]</f>
        <v>0</v>
      </c>
    </row>
    <row r="224" s="76" customFormat="1" ht="50" customHeight="1" spans="1:29">
      <c r="A224" s="76" t="s">
        <v>482</v>
      </c>
      <c r="B224" s="6"/>
      <c r="C224" s="76" t="s">
        <v>30</v>
      </c>
      <c r="D224" s="76" t="s">
        <v>483</v>
      </c>
      <c r="E224" s="76" t="s">
        <v>481</v>
      </c>
      <c r="F224" s="76" t="s">
        <v>47</v>
      </c>
      <c r="G224" s="76" t="s">
        <v>34</v>
      </c>
      <c r="H224" s="76">
        <f>STOCK[[#This Row],[Precio Final]]</f>
        <v>15</v>
      </c>
      <c r="I224" s="76">
        <f>STOCK[[#This Row],[Precio Venta Ideal (x1.5)]]</f>
        <v>15.4308333333333</v>
      </c>
      <c r="J224" s="91">
        <v>2</v>
      </c>
      <c r="K224" s="91">
        <f>SUMIFS(VENTAS[Cantidad],VENTAS[Código del producto Vendido],STOCK[[#This Row],[Code]])</f>
        <v>2</v>
      </c>
      <c r="L224" s="91">
        <f>STOCK[[#This Row],[Entradas]]-STOCK[[#This Row],[Salidas]]</f>
        <v>0</v>
      </c>
      <c r="M224" s="76">
        <f>STOCK[[#This Row],[Precio Final]]*10%</f>
        <v>1.5</v>
      </c>
      <c r="N224" s="76">
        <v>129.37</v>
      </c>
      <c r="O224" s="76">
        <v>18</v>
      </c>
      <c r="P224" s="76">
        <v>7.18722222222222</v>
      </c>
      <c r="Q224" s="91">
        <v>200</v>
      </c>
      <c r="R224" s="76">
        <v>8</v>
      </c>
      <c r="S224" s="76">
        <f>STOCK[[#This Row],[Peso (g)]]*STOCK[[#This Row],[Precio Envío Kilogramo (USD)]]/1000</f>
        <v>1.6</v>
      </c>
      <c r="T224" s="76">
        <f>STOCK[[#This Row],[Costo Unitario (USD)]]+STOCK[[#This Row],[Costo Envío (USD)]]+STOCK[[#This Row],[Comisión 10%]]</f>
        <v>10.2872222222222</v>
      </c>
      <c r="U224" s="76">
        <f>STOCK[[#This Row],[Costo total]]*1.5</f>
        <v>15.4308333333333</v>
      </c>
      <c r="V224" s="76">
        <v>15</v>
      </c>
      <c r="W224" s="76">
        <f>STOCK[[#This Row],[Precio Final]]-STOCK[[#This Row],[Costo total]]</f>
        <v>4.71277777777778</v>
      </c>
      <c r="X224" s="76">
        <f>STOCK[[#This Row],[Ganancia Unitaria]]*STOCK[[#This Row],[Salidas]]</f>
        <v>9.42555555555556</v>
      </c>
      <c r="AA224" s="76">
        <f>STOCK[[#This Row],[Costo total]]*STOCK[[#This Row],[Entradas]]</f>
        <v>20.5744444444444</v>
      </c>
      <c r="AB224" s="76">
        <f>STOCK[[#This Row],[Stock Actual]]*STOCK[[#This Row],[Costo total]]</f>
        <v>0</v>
      </c>
      <c r="AC224" s="76">
        <v>12</v>
      </c>
    </row>
    <row r="225" s="77" customFormat="1" ht="50" customHeight="1" spans="1:28">
      <c r="A225" s="77" t="s">
        <v>484</v>
      </c>
      <c r="B225" s="6"/>
      <c r="C225" s="77" t="s">
        <v>30</v>
      </c>
      <c r="D225" s="77" t="s">
        <v>350</v>
      </c>
      <c r="E225" s="77" t="s">
        <v>485</v>
      </c>
      <c r="F225" s="77" t="s">
        <v>387</v>
      </c>
      <c r="G225" s="77" t="s">
        <v>34</v>
      </c>
      <c r="H225" s="77">
        <f>STOCK[[#This Row],[Precio Final]]</f>
        <v>15</v>
      </c>
      <c r="I225" s="77">
        <f>STOCK[[#This Row],[Precio Venta Ideal (x1.5)]]</f>
        <v>15.5466666666667</v>
      </c>
      <c r="J225" s="92">
        <v>2</v>
      </c>
      <c r="K225" s="92">
        <f>SUMIFS(VENTAS[Cantidad],VENTAS[Código del producto Vendido],STOCK[[#This Row],[Code]])</f>
        <v>2</v>
      </c>
      <c r="L225" s="92">
        <f>STOCK[[#This Row],[Entradas]]-STOCK[[#This Row],[Salidas]]</f>
        <v>0</v>
      </c>
      <c r="M225" s="77">
        <f>STOCK[[#This Row],[Precio Final]]*10%</f>
        <v>1.5</v>
      </c>
      <c r="N225" s="77">
        <v>116.36</v>
      </c>
      <c r="O225" s="77">
        <v>18</v>
      </c>
      <c r="P225" s="77">
        <v>6.46444444444444</v>
      </c>
      <c r="Q225" s="92">
        <v>300</v>
      </c>
      <c r="R225" s="77">
        <v>8</v>
      </c>
      <c r="S225" s="77">
        <f>STOCK[[#This Row],[Peso (g)]]*STOCK[[#This Row],[Precio Envío Kilogramo (USD)]]/1000</f>
        <v>2.4</v>
      </c>
      <c r="T225" s="76">
        <f>STOCK[[#This Row],[Costo Unitario (USD)]]+STOCK[[#This Row],[Costo Envío (USD)]]+STOCK[[#This Row],[Comisión 10%]]</f>
        <v>10.3644444444444</v>
      </c>
      <c r="U225" s="77">
        <f>STOCK[[#This Row],[Costo total]]*1.5</f>
        <v>15.5466666666667</v>
      </c>
      <c r="V225" s="77">
        <v>15</v>
      </c>
      <c r="W225" s="77">
        <f>STOCK[[#This Row],[Precio Final]]-STOCK[[#This Row],[Costo total]]</f>
        <v>4.63555555555556</v>
      </c>
      <c r="X225" s="77">
        <f>STOCK[[#This Row],[Ganancia Unitaria]]*STOCK[[#This Row],[Salidas]]</f>
        <v>9.27111111111112</v>
      </c>
      <c r="AA225" s="77">
        <f>STOCK[[#This Row],[Costo total]]*STOCK[[#This Row],[Entradas]]</f>
        <v>20.7288888888889</v>
      </c>
      <c r="AB225" s="77">
        <f>STOCK[[#This Row],[Stock Actual]]*STOCK[[#This Row],[Costo total]]</f>
        <v>0</v>
      </c>
    </row>
    <row r="226" s="76" customFormat="1" ht="50" customHeight="1" spans="1:28">
      <c r="A226" s="76" t="s">
        <v>486</v>
      </c>
      <c r="B226" s="6"/>
      <c r="C226" s="76" t="s">
        <v>30</v>
      </c>
      <c r="D226" s="76" t="s">
        <v>487</v>
      </c>
      <c r="E226" s="76" t="s">
        <v>488</v>
      </c>
      <c r="F226" s="76" t="s">
        <v>489</v>
      </c>
      <c r="G226" s="76" t="s">
        <v>34</v>
      </c>
      <c r="H226" s="76">
        <f>STOCK[[#This Row],[Precio Final]]</f>
        <v>12</v>
      </c>
      <c r="I226" s="76">
        <f>STOCK[[#This Row],[Precio Venta Ideal (x1.5)]]</f>
        <v>15.2166666666667</v>
      </c>
      <c r="J226" s="91">
        <v>2</v>
      </c>
      <c r="K226" s="91">
        <f>SUMIFS(VENTAS[Cantidad],VENTAS[Código del producto Vendido],STOCK[[#This Row],[Code]])</f>
        <v>2</v>
      </c>
      <c r="L226" s="91">
        <f>STOCK[[#This Row],[Entradas]]-STOCK[[#This Row],[Salidas]]</f>
        <v>0</v>
      </c>
      <c r="M226" s="76">
        <f>STOCK[[#This Row],[Precio Final]]*10%</f>
        <v>1.2</v>
      </c>
      <c r="N226" s="76">
        <v>117.8</v>
      </c>
      <c r="O226" s="76">
        <v>18</v>
      </c>
      <c r="P226" s="76">
        <v>6.54444444444444</v>
      </c>
      <c r="Q226" s="91">
        <v>300</v>
      </c>
      <c r="R226" s="76">
        <v>8</v>
      </c>
      <c r="S226" s="76">
        <f>STOCK[[#This Row],[Peso (g)]]*STOCK[[#This Row],[Precio Envío Kilogramo (USD)]]/1000</f>
        <v>2.4</v>
      </c>
      <c r="T226" s="76">
        <f>STOCK[[#This Row],[Costo Unitario (USD)]]+STOCK[[#This Row],[Costo Envío (USD)]]+STOCK[[#This Row],[Comisión 10%]]</f>
        <v>10.1444444444444</v>
      </c>
      <c r="U226" s="76">
        <f>STOCK[[#This Row],[Costo total]]*1.5</f>
        <v>15.2166666666667</v>
      </c>
      <c r="V226" s="76">
        <v>12</v>
      </c>
      <c r="W226" s="76">
        <f>STOCK[[#This Row],[Precio Final]]-STOCK[[#This Row],[Costo total]]</f>
        <v>1.85555555555556</v>
      </c>
      <c r="X226" s="76">
        <f>STOCK[[#This Row],[Ganancia Unitaria]]*STOCK[[#This Row],[Salidas]]</f>
        <v>3.71111111111112</v>
      </c>
      <c r="AA226" s="76">
        <f>STOCK[[#This Row],[Costo total]]*STOCK[[#This Row],[Entradas]]</f>
        <v>20.2888888888889</v>
      </c>
      <c r="AB226" s="76">
        <f>STOCK[[#This Row],[Stock Actual]]*STOCK[[#This Row],[Costo total]]</f>
        <v>0</v>
      </c>
    </row>
    <row r="227" s="77" customFormat="1" ht="50" customHeight="1" spans="1:28">
      <c r="A227" s="77" t="s">
        <v>490</v>
      </c>
      <c r="B227" s="6"/>
      <c r="C227" s="77" t="s">
        <v>30</v>
      </c>
      <c r="D227" s="77" t="s">
        <v>350</v>
      </c>
      <c r="E227" s="77" t="s">
        <v>491</v>
      </c>
      <c r="F227" s="77" t="s">
        <v>387</v>
      </c>
      <c r="G227" s="77" t="s">
        <v>34</v>
      </c>
      <c r="H227" s="77">
        <f>STOCK[[#This Row],[Precio Final]]</f>
        <v>10</v>
      </c>
      <c r="I227" s="77">
        <f>STOCK[[#This Row],[Precio Venta Ideal (x1.5)]]</f>
        <v>9.19583333333334</v>
      </c>
      <c r="J227" s="92">
        <v>2</v>
      </c>
      <c r="K227" s="92">
        <f>SUMIFS(VENTAS[Cantidad],VENTAS[Código del producto Vendido],STOCK[[#This Row],[Code]])</f>
        <v>2</v>
      </c>
      <c r="L227" s="92">
        <f>STOCK[[#This Row],[Entradas]]-STOCK[[#This Row],[Salidas]]</f>
        <v>0</v>
      </c>
      <c r="M227" s="77">
        <f>STOCK[[#This Row],[Precio Final]]*10%</f>
        <v>1</v>
      </c>
      <c r="N227" s="77">
        <v>49.15</v>
      </c>
      <c r="O227" s="77">
        <v>18</v>
      </c>
      <c r="P227" s="77">
        <v>2.73055555555556</v>
      </c>
      <c r="Q227" s="92">
        <v>300</v>
      </c>
      <c r="R227" s="77">
        <v>8</v>
      </c>
      <c r="S227" s="77">
        <f>STOCK[[#This Row],[Peso (g)]]*STOCK[[#This Row],[Precio Envío Kilogramo (USD)]]/1000</f>
        <v>2.4</v>
      </c>
      <c r="T227" s="76">
        <f>STOCK[[#This Row],[Costo Unitario (USD)]]+STOCK[[#This Row],[Costo Envío (USD)]]+STOCK[[#This Row],[Comisión 10%]]</f>
        <v>6.13055555555556</v>
      </c>
      <c r="U227" s="77">
        <f>STOCK[[#This Row],[Costo total]]*1.5</f>
        <v>9.19583333333334</v>
      </c>
      <c r="V227" s="77">
        <v>10</v>
      </c>
      <c r="W227" s="77">
        <f>STOCK[[#This Row],[Precio Final]]-STOCK[[#This Row],[Costo total]]</f>
        <v>3.86944444444444</v>
      </c>
      <c r="X227" s="77">
        <f>STOCK[[#This Row],[Ganancia Unitaria]]*STOCK[[#This Row],[Salidas]]</f>
        <v>7.73888888888888</v>
      </c>
      <c r="AA227" s="77">
        <f>STOCK[[#This Row],[Costo total]]*STOCK[[#This Row],[Entradas]]</f>
        <v>12.2611111111111</v>
      </c>
      <c r="AB227" s="77">
        <f>STOCK[[#This Row],[Stock Actual]]*STOCK[[#This Row],[Costo total]]</f>
        <v>0</v>
      </c>
    </row>
    <row r="228" s="76" customFormat="1" ht="50" customHeight="1" spans="1:28">
      <c r="A228" s="76" t="s">
        <v>492</v>
      </c>
      <c r="B228" s="6"/>
      <c r="C228" s="76" t="s">
        <v>30</v>
      </c>
      <c r="D228" s="77" t="s">
        <v>36</v>
      </c>
      <c r="E228" s="76" t="s">
        <v>493</v>
      </c>
      <c r="F228" s="76" t="s">
        <v>210</v>
      </c>
      <c r="G228" s="76" t="s">
        <v>34</v>
      </c>
      <c r="H228" s="76">
        <f>STOCK[[#This Row],[Precio Final]]</f>
        <v>25</v>
      </c>
      <c r="I228" s="76">
        <f>STOCK[[#This Row],[Precio Venta Ideal (x1.5)]]</f>
        <v>22.4708333333334</v>
      </c>
      <c r="J228" s="91">
        <v>2</v>
      </c>
      <c r="K228" s="91">
        <f>SUMIFS(VENTAS[Cantidad],VENTAS[Código del producto Vendido],STOCK[[#This Row],[Code]])</f>
        <v>2</v>
      </c>
      <c r="L228" s="91">
        <f>STOCK[[#This Row],[Entradas]]-STOCK[[#This Row],[Salidas]]</f>
        <v>0</v>
      </c>
      <c r="M228" s="76">
        <f>STOCK[[#This Row],[Precio Final]]*10%</f>
        <v>2.5</v>
      </c>
      <c r="N228" s="76">
        <v>195.85</v>
      </c>
      <c r="O228" s="76">
        <v>18</v>
      </c>
      <c r="P228" s="76">
        <v>10.8805555555556</v>
      </c>
      <c r="Q228" s="91">
        <v>200</v>
      </c>
      <c r="R228" s="76">
        <v>8</v>
      </c>
      <c r="S228" s="76">
        <f>STOCK[[#This Row],[Peso (g)]]*STOCK[[#This Row],[Precio Envío Kilogramo (USD)]]/1000</f>
        <v>1.6</v>
      </c>
      <c r="T228" s="76">
        <f>STOCK[[#This Row],[Costo Unitario (USD)]]+STOCK[[#This Row],[Costo Envío (USD)]]+STOCK[[#This Row],[Comisión 10%]]</f>
        <v>14.9805555555556</v>
      </c>
      <c r="U228" s="76">
        <f>STOCK[[#This Row],[Costo total]]*1.5</f>
        <v>22.4708333333334</v>
      </c>
      <c r="V228" s="76">
        <v>25</v>
      </c>
      <c r="W228" s="76">
        <f>STOCK[[#This Row],[Precio Final]]-STOCK[[#This Row],[Costo total]]</f>
        <v>10.0194444444444</v>
      </c>
      <c r="X228" s="76">
        <f>STOCK[[#This Row],[Ganancia Unitaria]]*STOCK[[#This Row],[Salidas]]</f>
        <v>20.0388888888888</v>
      </c>
      <c r="AA228" s="76">
        <f>STOCK[[#This Row],[Costo total]]*STOCK[[#This Row],[Entradas]]</f>
        <v>29.9611111111112</v>
      </c>
      <c r="AB228" s="76">
        <f>STOCK[[#This Row],[Stock Actual]]*STOCK[[#This Row],[Costo total]]</f>
        <v>0</v>
      </c>
    </row>
    <row r="229" s="77" customFormat="1" ht="50" customHeight="1" spans="1:28">
      <c r="A229" s="77" t="s">
        <v>494</v>
      </c>
      <c r="B229" s="6"/>
      <c r="C229" s="77" t="s">
        <v>30</v>
      </c>
      <c r="D229" s="77" t="s">
        <v>36</v>
      </c>
      <c r="E229" s="77" t="s">
        <v>495</v>
      </c>
      <c r="F229" s="77" t="s">
        <v>60</v>
      </c>
      <c r="G229" s="77" t="s">
        <v>34</v>
      </c>
      <c r="H229" s="77">
        <f>STOCK[[#This Row],[Precio Final]]</f>
        <v>22</v>
      </c>
      <c r="I229" s="77">
        <f>STOCK[[#This Row],[Precio Venta Ideal (x1.5)]]</f>
        <v>22.0208333333334</v>
      </c>
      <c r="J229" s="92">
        <v>1</v>
      </c>
      <c r="K229" s="92">
        <f>SUMIFS(VENTAS[Cantidad],VENTAS[Código del producto Vendido],STOCK[[#This Row],[Code]])</f>
        <v>1</v>
      </c>
      <c r="L229" s="92">
        <f>STOCK[[#This Row],[Entradas]]-STOCK[[#This Row],[Salidas]]</f>
        <v>0</v>
      </c>
      <c r="M229" s="77">
        <f>STOCK[[#This Row],[Precio Final]]*10%</f>
        <v>2.2</v>
      </c>
      <c r="N229" s="77">
        <v>195.85</v>
      </c>
      <c r="O229" s="77">
        <v>18</v>
      </c>
      <c r="P229" s="77">
        <v>10.8805555555556</v>
      </c>
      <c r="Q229" s="92">
        <v>200</v>
      </c>
      <c r="R229" s="77">
        <v>8</v>
      </c>
      <c r="S229" s="77">
        <f>STOCK[[#This Row],[Peso (g)]]*STOCK[[#This Row],[Precio Envío Kilogramo (USD)]]/1000</f>
        <v>1.6</v>
      </c>
      <c r="T229" s="76">
        <f>STOCK[[#This Row],[Costo Unitario (USD)]]+STOCK[[#This Row],[Costo Envío (USD)]]+STOCK[[#This Row],[Comisión 10%]]</f>
        <v>14.6805555555556</v>
      </c>
      <c r="U229" s="77">
        <f>STOCK[[#This Row],[Costo total]]*1.5</f>
        <v>22.0208333333334</v>
      </c>
      <c r="V229" s="77">
        <v>22</v>
      </c>
      <c r="W229" s="77">
        <f>STOCK[[#This Row],[Precio Final]]-STOCK[[#This Row],[Costo total]]</f>
        <v>7.3194444444444</v>
      </c>
      <c r="X229" s="77">
        <f>STOCK[[#This Row],[Ganancia Unitaria]]*STOCK[[#This Row],[Salidas]]</f>
        <v>7.3194444444444</v>
      </c>
      <c r="AA229" s="77">
        <f>STOCK[[#This Row],[Costo total]]*STOCK[[#This Row],[Entradas]]</f>
        <v>14.6805555555556</v>
      </c>
      <c r="AB229" s="77">
        <f>STOCK[[#This Row],[Stock Actual]]*STOCK[[#This Row],[Costo total]]</f>
        <v>0</v>
      </c>
    </row>
    <row r="230" s="76" customFormat="1" ht="50" customHeight="1" spans="1:28">
      <c r="A230" s="76" t="s">
        <v>496</v>
      </c>
      <c r="B230" s="6"/>
      <c r="C230" s="76" t="s">
        <v>30</v>
      </c>
      <c r="D230" s="77" t="s">
        <v>36</v>
      </c>
      <c r="E230" s="76" t="s">
        <v>497</v>
      </c>
      <c r="F230" s="76" t="s">
        <v>38</v>
      </c>
      <c r="G230" s="76" t="s">
        <v>34</v>
      </c>
      <c r="H230" s="76">
        <f>STOCK[[#This Row],[Precio Final]]</f>
        <v>15</v>
      </c>
      <c r="I230" s="76">
        <f>STOCK[[#This Row],[Precio Venta Ideal (x1.5)]]</f>
        <v>15.4308333333333</v>
      </c>
      <c r="J230" s="91">
        <v>2</v>
      </c>
      <c r="K230" s="91">
        <f>SUMIFS(VENTAS[Cantidad],VENTAS[Código del producto Vendido],STOCK[[#This Row],[Code]])</f>
        <v>2</v>
      </c>
      <c r="L230" s="91">
        <f>STOCK[[#This Row],[Entradas]]-STOCK[[#This Row],[Salidas]]</f>
        <v>0</v>
      </c>
      <c r="M230" s="76">
        <f>STOCK[[#This Row],[Precio Final]]*10%</f>
        <v>1.5</v>
      </c>
      <c r="N230" s="76">
        <v>129.37</v>
      </c>
      <c r="O230" s="76">
        <v>18</v>
      </c>
      <c r="P230" s="76">
        <v>7.18722222222222</v>
      </c>
      <c r="Q230" s="91">
        <v>200</v>
      </c>
      <c r="R230" s="76">
        <v>8</v>
      </c>
      <c r="S230" s="76">
        <f>STOCK[[#This Row],[Peso (g)]]*STOCK[[#This Row],[Precio Envío Kilogramo (USD)]]/1000</f>
        <v>1.6</v>
      </c>
      <c r="T230" s="76">
        <f>STOCK[[#This Row],[Costo Unitario (USD)]]+STOCK[[#This Row],[Costo Envío (USD)]]+STOCK[[#This Row],[Comisión 10%]]</f>
        <v>10.2872222222222</v>
      </c>
      <c r="U230" s="76">
        <f>STOCK[[#This Row],[Costo total]]*1.5</f>
        <v>15.4308333333333</v>
      </c>
      <c r="V230" s="76">
        <v>15</v>
      </c>
      <c r="W230" s="76">
        <f>STOCK[[#This Row],[Precio Final]]-STOCK[[#This Row],[Costo total]]</f>
        <v>4.71277777777778</v>
      </c>
      <c r="X230" s="76">
        <f>STOCK[[#This Row],[Ganancia Unitaria]]*STOCK[[#This Row],[Salidas]]</f>
        <v>9.42555555555556</v>
      </c>
      <c r="AA230" s="76">
        <f>STOCK[[#This Row],[Costo total]]*STOCK[[#This Row],[Entradas]]</f>
        <v>20.5744444444444</v>
      </c>
      <c r="AB230" s="76">
        <f>STOCK[[#This Row],[Stock Actual]]*STOCK[[#This Row],[Costo total]]</f>
        <v>0</v>
      </c>
    </row>
    <row r="231" s="77" customFormat="1" ht="50" customHeight="1" spans="1:28">
      <c r="A231" s="77" t="s">
        <v>498</v>
      </c>
      <c r="B231" s="6"/>
      <c r="C231" s="77" t="s">
        <v>30</v>
      </c>
      <c r="D231" s="77" t="s">
        <v>212</v>
      </c>
      <c r="E231" s="77" t="s">
        <v>405</v>
      </c>
      <c r="F231" s="77" t="s">
        <v>40</v>
      </c>
      <c r="G231" s="77" t="s">
        <v>34</v>
      </c>
      <c r="H231" s="77">
        <f>STOCK[[#This Row],[Precio Final]]</f>
        <v>20</v>
      </c>
      <c r="I231" s="77">
        <f>STOCK[[#This Row],[Precio Venta Ideal (x1.5)]]</f>
        <v>18.2841666666667</v>
      </c>
      <c r="J231" s="92">
        <v>2</v>
      </c>
      <c r="K231" s="92">
        <f>SUMIFS(VENTAS[Cantidad],VENTAS[Código del producto Vendido],STOCK[[#This Row],[Code]])</f>
        <v>2</v>
      </c>
      <c r="L231" s="92">
        <f>STOCK[[#This Row],[Entradas]]-STOCK[[#This Row],[Salidas]]</f>
        <v>0</v>
      </c>
      <c r="M231" s="77">
        <f>STOCK[[#This Row],[Precio Final]]*10%</f>
        <v>2</v>
      </c>
      <c r="N231" s="77">
        <v>140.21</v>
      </c>
      <c r="O231" s="77">
        <v>18</v>
      </c>
      <c r="P231" s="77">
        <v>7.78944444444445</v>
      </c>
      <c r="Q231" s="92">
        <v>300</v>
      </c>
      <c r="R231" s="77">
        <v>8</v>
      </c>
      <c r="S231" s="77">
        <f>STOCK[[#This Row],[Peso (g)]]*STOCK[[#This Row],[Precio Envío Kilogramo (USD)]]/1000</f>
        <v>2.4</v>
      </c>
      <c r="T231" s="76">
        <f>STOCK[[#This Row],[Costo Unitario (USD)]]+STOCK[[#This Row],[Costo Envío (USD)]]+STOCK[[#This Row],[Comisión 10%]]</f>
        <v>12.1894444444444</v>
      </c>
      <c r="U231" s="77">
        <f>STOCK[[#This Row],[Costo total]]*1.5</f>
        <v>18.2841666666667</v>
      </c>
      <c r="V231" s="77">
        <v>20</v>
      </c>
      <c r="W231" s="77">
        <f>STOCK[[#This Row],[Precio Final]]-STOCK[[#This Row],[Costo total]]</f>
        <v>7.81055555555555</v>
      </c>
      <c r="X231" s="77">
        <f>STOCK[[#This Row],[Ganancia Unitaria]]*STOCK[[#This Row],[Salidas]]</f>
        <v>15.6211111111111</v>
      </c>
      <c r="AA231" s="77">
        <f>STOCK[[#This Row],[Costo total]]*STOCK[[#This Row],[Entradas]]</f>
        <v>24.3788888888889</v>
      </c>
      <c r="AB231" s="77">
        <f>STOCK[[#This Row],[Stock Actual]]*STOCK[[#This Row],[Costo total]]</f>
        <v>0</v>
      </c>
    </row>
    <row r="232" s="76" customFormat="1" ht="50" customHeight="1" spans="1:28">
      <c r="A232" s="76" t="s">
        <v>499</v>
      </c>
      <c r="B232" s="6"/>
      <c r="C232" s="76" t="s">
        <v>30</v>
      </c>
      <c r="D232" s="76" t="s">
        <v>42</v>
      </c>
      <c r="E232" s="76" t="s">
        <v>405</v>
      </c>
      <c r="F232" s="76" t="s">
        <v>86</v>
      </c>
      <c r="G232" s="76" t="s">
        <v>34</v>
      </c>
      <c r="H232" s="76">
        <f>STOCK[[#This Row],[Precio Final]]</f>
        <v>20</v>
      </c>
      <c r="I232" s="76">
        <f>STOCK[[#This Row],[Precio Venta Ideal (x1.5)]]</f>
        <v>17.6841666666667</v>
      </c>
      <c r="J232" s="91">
        <v>1</v>
      </c>
      <c r="K232" s="91">
        <f>SUMIFS(VENTAS[Cantidad],VENTAS[Código del producto Vendido],STOCK[[#This Row],[Code]])</f>
        <v>1</v>
      </c>
      <c r="L232" s="91">
        <f>STOCK[[#This Row],[Entradas]]-STOCK[[#This Row],[Salidas]]</f>
        <v>0</v>
      </c>
      <c r="M232" s="76">
        <f>STOCK[[#This Row],[Precio Final]]*10%</f>
        <v>2</v>
      </c>
      <c r="N232" s="76">
        <v>140.21</v>
      </c>
      <c r="O232" s="76">
        <v>18</v>
      </c>
      <c r="P232" s="76">
        <v>7.78944444444445</v>
      </c>
      <c r="Q232" s="91">
        <v>250</v>
      </c>
      <c r="R232" s="76">
        <v>8</v>
      </c>
      <c r="S232" s="76">
        <f>STOCK[[#This Row],[Peso (g)]]*STOCK[[#This Row],[Precio Envío Kilogramo (USD)]]/1000</f>
        <v>2</v>
      </c>
      <c r="T232" s="76">
        <f>STOCK[[#This Row],[Costo Unitario (USD)]]+STOCK[[#This Row],[Costo Envío (USD)]]+STOCK[[#This Row],[Comisión 10%]]</f>
        <v>11.7894444444444</v>
      </c>
      <c r="U232" s="76">
        <f>STOCK[[#This Row],[Costo total]]*1.5</f>
        <v>17.6841666666667</v>
      </c>
      <c r="V232" s="76">
        <v>20</v>
      </c>
      <c r="W232" s="76">
        <f>STOCK[[#This Row],[Precio Final]]-STOCK[[#This Row],[Costo total]]</f>
        <v>8.21055555555555</v>
      </c>
      <c r="X232" s="76">
        <f>STOCK[[#This Row],[Ganancia Unitaria]]*STOCK[[#This Row],[Salidas]]</f>
        <v>8.21055555555555</v>
      </c>
      <c r="AA232" s="76">
        <f>STOCK[[#This Row],[Costo total]]*STOCK[[#This Row],[Entradas]]</f>
        <v>11.7894444444444</v>
      </c>
      <c r="AB232" s="76">
        <f>STOCK[[#This Row],[Stock Actual]]*STOCK[[#This Row],[Costo total]]</f>
        <v>0</v>
      </c>
    </row>
    <row r="233" s="77" customFormat="1" ht="50" customHeight="1" spans="1:28">
      <c r="A233" s="77" t="s">
        <v>500</v>
      </c>
      <c r="B233" s="6"/>
      <c r="C233" s="77" t="s">
        <v>30</v>
      </c>
      <c r="D233" s="77" t="s">
        <v>36</v>
      </c>
      <c r="E233" s="77" t="s">
        <v>501</v>
      </c>
      <c r="F233" s="77" t="s">
        <v>47</v>
      </c>
      <c r="G233" s="77" t="s">
        <v>34</v>
      </c>
      <c r="H233" s="77">
        <f>STOCK[[#This Row],[Precio Final]]</f>
        <v>25</v>
      </c>
      <c r="I233" s="77">
        <f>STOCK[[#This Row],[Precio Venta Ideal (x1.5)]]</f>
        <v>28.5833333333334</v>
      </c>
      <c r="J233" s="92">
        <v>2</v>
      </c>
      <c r="K233" s="92">
        <f>SUMIFS(VENTAS[Cantidad],VENTAS[Código del producto Vendido],STOCK[[#This Row],[Code]])</f>
        <v>2</v>
      </c>
      <c r="L233" s="92">
        <f>STOCK[[#This Row],[Entradas]]-STOCK[[#This Row],[Salidas]]</f>
        <v>0</v>
      </c>
      <c r="M233" s="77">
        <f>STOCK[[#This Row],[Precio Final]]*10%</f>
        <v>2.5</v>
      </c>
      <c r="N233" s="77">
        <v>254.8</v>
      </c>
      <c r="O233" s="77">
        <v>18</v>
      </c>
      <c r="P233" s="77">
        <v>14.1555555555556</v>
      </c>
      <c r="Q233" s="92">
        <v>300</v>
      </c>
      <c r="R233" s="77">
        <v>8</v>
      </c>
      <c r="S233" s="77">
        <f>STOCK[[#This Row],[Peso (g)]]*STOCK[[#This Row],[Precio Envío Kilogramo (USD)]]/1000</f>
        <v>2.4</v>
      </c>
      <c r="T233" s="76">
        <f>STOCK[[#This Row],[Costo Unitario (USD)]]+STOCK[[#This Row],[Costo Envío (USD)]]+STOCK[[#This Row],[Comisión 10%]]</f>
        <v>19.0555555555556</v>
      </c>
      <c r="U233" s="77">
        <f>STOCK[[#This Row],[Costo total]]*1.5</f>
        <v>28.5833333333334</v>
      </c>
      <c r="V233" s="77">
        <v>25</v>
      </c>
      <c r="W233" s="77">
        <f>STOCK[[#This Row],[Precio Final]]-STOCK[[#This Row],[Costo total]]</f>
        <v>5.9444444444444</v>
      </c>
      <c r="X233" s="77">
        <f>STOCK[[#This Row],[Ganancia Unitaria]]*STOCK[[#This Row],[Salidas]]</f>
        <v>11.8888888888888</v>
      </c>
      <c r="AA233" s="77">
        <f>STOCK[[#This Row],[Costo total]]*STOCK[[#This Row],[Entradas]]</f>
        <v>38.1111111111112</v>
      </c>
      <c r="AB233" s="77">
        <f>STOCK[[#This Row],[Stock Actual]]*STOCK[[#This Row],[Costo total]]</f>
        <v>0</v>
      </c>
    </row>
    <row r="234" s="76" customFormat="1" ht="50" customHeight="1" spans="1:28">
      <c r="A234" s="76" t="s">
        <v>502</v>
      </c>
      <c r="B234" s="6"/>
      <c r="C234" s="76" t="s">
        <v>30</v>
      </c>
      <c r="D234" s="76" t="s">
        <v>36</v>
      </c>
      <c r="E234" s="76" t="s">
        <v>503</v>
      </c>
      <c r="F234" s="76" t="s">
        <v>60</v>
      </c>
      <c r="G234" s="76" t="s">
        <v>34</v>
      </c>
      <c r="H234" s="76">
        <f>STOCK[[#This Row],[Precio Final]]</f>
        <v>25</v>
      </c>
      <c r="I234" s="76">
        <f>STOCK[[#This Row],[Precio Venta Ideal (x1.5)]]</f>
        <v>28.5833333333334</v>
      </c>
      <c r="J234" s="91">
        <v>2</v>
      </c>
      <c r="K234" s="91">
        <f>SUMIFS(VENTAS[Cantidad],VENTAS[Código del producto Vendido],STOCK[[#This Row],[Code]])</f>
        <v>2</v>
      </c>
      <c r="L234" s="91">
        <f>STOCK[[#This Row],[Entradas]]-STOCK[[#This Row],[Salidas]]</f>
        <v>0</v>
      </c>
      <c r="M234" s="76">
        <f>STOCK[[#This Row],[Precio Final]]*10%</f>
        <v>2.5</v>
      </c>
      <c r="N234" s="76">
        <v>254.8</v>
      </c>
      <c r="O234" s="76">
        <v>18</v>
      </c>
      <c r="P234" s="76">
        <v>14.1555555555556</v>
      </c>
      <c r="Q234" s="91">
        <v>300</v>
      </c>
      <c r="R234" s="76">
        <v>8</v>
      </c>
      <c r="S234" s="76">
        <f>STOCK[[#This Row],[Peso (g)]]*STOCK[[#This Row],[Precio Envío Kilogramo (USD)]]/1000</f>
        <v>2.4</v>
      </c>
      <c r="T234" s="76">
        <f>STOCK[[#This Row],[Costo Unitario (USD)]]+STOCK[[#This Row],[Costo Envío (USD)]]+STOCK[[#This Row],[Comisión 10%]]</f>
        <v>19.0555555555556</v>
      </c>
      <c r="U234" s="76">
        <f>STOCK[[#This Row],[Costo total]]*1.5</f>
        <v>28.5833333333334</v>
      </c>
      <c r="V234" s="76">
        <v>25</v>
      </c>
      <c r="W234" s="76">
        <f>STOCK[[#This Row],[Precio Final]]-STOCK[[#This Row],[Costo total]]</f>
        <v>5.9444444444444</v>
      </c>
      <c r="X234" s="76">
        <f>STOCK[[#This Row],[Ganancia Unitaria]]*STOCK[[#This Row],[Salidas]]</f>
        <v>11.8888888888888</v>
      </c>
      <c r="AA234" s="76">
        <f>STOCK[[#This Row],[Costo total]]*STOCK[[#This Row],[Entradas]]</f>
        <v>38.1111111111112</v>
      </c>
      <c r="AB234" s="76">
        <f>STOCK[[#This Row],[Stock Actual]]*STOCK[[#This Row],[Costo total]]</f>
        <v>0</v>
      </c>
    </row>
    <row r="235" s="77" customFormat="1" ht="50" customHeight="1" spans="1:28">
      <c r="A235" s="77" t="s">
        <v>504</v>
      </c>
      <c r="B235" s="6"/>
      <c r="C235" s="77" t="s">
        <v>30</v>
      </c>
      <c r="D235" s="77" t="s">
        <v>505</v>
      </c>
      <c r="E235" s="77" t="s">
        <v>506</v>
      </c>
      <c r="F235" s="77" t="s">
        <v>44</v>
      </c>
      <c r="G235" s="77" t="s">
        <v>34</v>
      </c>
      <c r="H235" s="77">
        <f>STOCK[[#This Row],[Precio Final]]</f>
        <v>21</v>
      </c>
      <c r="I235" s="77">
        <f>STOCK[[#This Row],[Precio Venta Ideal (x1.5)]]</f>
        <v>23.9208333333333</v>
      </c>
      <c r="J235" s="92">
        <v>1</v>
      </c>
      <c r="K235" s="92">
        <f>SUMIFS(VENTAS[Cantidad],VENTAS[Código del producto Vendido],STOCK[[#This Row],[Code]])</f>
        <v>0</v>
      </c>
      <c r="L235" s="92">
        <f>STOCK[[#This Row],[Entradas]]-STOCK[[#This Row],[Salidas]]</f>
        <v>1</v>
      </c>
      <c r="M235" s="77">
        <f>STOCK[[#This Row],[Precio Final]]*10%</f>
        <v>2.1</v>
      </c>
      <c r="N235" s="77">
        <v>206.05</v>
      </c>
      <c r="O235" s="77">
        <v>18</v>
      </c>
      <c r="P235" s="77">
        <v>11.4472222222222</v>
      </c>
      <c r="Q235" s="92">
        <v>300</v>
      </c>
      <c r="R235" s="77">
        <v>8</v>
      </c>
      <c r="S235" s="77">
        <f>STOCK[[#This Row],[Peso (g)]]*STOCK[[#This Row],[Precio Envío Kilogramo (USD)]]/1000</f>
        <v>2.4</v>
      </c>
      <c r="T235" s="76">
        <f>STOCK[[#This Row],[Costo Unitario (USD)]]+STOCK[[#This Row],[Costo Envío (USD)]]+STOCK[[#This Row],[Comisión 10%]]</f>
        <v>15.9472222222222</v>
      </c>
      <c r="U235" s="77">
        <f>STOCK[[#This Row],[Costo total]]*1.5</f>
        <v>23.9208333333333</v>
      </c>
      <c r="V235" s="77">
        <v>21</v>
      </c>
      <c r="W235" s="77">
        <f>STOCK[[#This Row],[Precio Final]]-STOCK[[#This Row],[Costo total]]</f>
        <v>5.0527777777778</v>
      </c>
      <c r="X235" s="77">
        <f>STOCK[[#This Row],[Ganancia Unitaria]]*STOCK[[#This Row],[Salidas]]</f>
        <v>0</v>
      </c>
      <c r="AA235" s="77">
        <f>STOCK[[#This Row],[Costo total]]*STOCK[[#This Row],[Entradas]]</f>
        <v>15.9472222222222</v>
      </c>
      <c r="AB235" s="77">
        <f>STOCK[[#This Row],[Stock Actual]]*STOCK[[#This Row],[Costo total]]</f>
        <v>15.9472222222222</v>
      </c>
    </row>
    <row r="236" s="76" customFormat="1" ht="50" customHeight="1" spans="1:28">
      <c r="A236" s="76" t="s">
        <v>507</v>
      </c>
      <c r="B236" s="6"/>
      <c r="C236" s="76" t="s">
        <v>30</v>
      </c>
      <c r="D236" s="76" t="s">
        <v>36</v>
      </c>
      <c r="E236" s="76" t="s">
        <v>508</v>
      </c>
      <c r="F236" s="76" t="s">
        <v>47</v>
      </c>
      <c r="G236" s="76" t="s">
        <v>34</v>
      </c>
      <c r="H236" s="76">
        <f>STOCK[[#This Row],[Precio Final]]</f>
        <v>25</v>
      </c>
      <c r="I236" s="76">
        <f>STOCK[[#This Row],[Precio Venta Ideal (x1.5)]]</f>
        <v>27.8166666666666</v>
      </c>
      <c r="J236" s="91">
        <v>2</v>
      </c>
      <c r="K236" s="91">
        <f>SUMIFS(VENTAS[Cantidad],VENTAS[Código del producto Vendido],STOCK[[#This Row],[Code]])</f>
        <v>2</v>
      </c>
      <c r="L236" s="91">
        <f>STOCK[[#This Row],[Entradas]]-STOCK[[#This Row],[Salidas]]</f>
        <v>0</v>
      </c>
      <c r="M236" s="76">
        <f>STOCK[[#This Row],[Precio Final]]*10%</f>
        <v>2.5</v>
      </c>
      <c r="N236" s="76">
        <v>260</v>
      </c>
      <c r="O236" s="76">
        <v>18</v>
      </c>
      <c r="P236" s="76">
        <v>14.4444444444444</v>
      </c>
      <c r="Q236" s="91">
        <v>200</v>
      </c>
      <c r="R236" s="76">
        <v>8</v>
      </c>
      <c r="S236" s="76">
        <f>STOCK[[#This Row],[Peso (g)]]*STOCK[[#This Row],[Precio Envío Kilogramo (USD)]]/1000</f>
        <v>1.6</v>
      </c>
      <c r="T236" s="76">
        <f>STOCK[[#This Row],[Costo Unitario (USD)]]+STOCK[[#This Row],[Costo Envío (USD)]]+STOCK[[#This Row],[Comisión 10%]]</f>
        <v>18.5444444444444</v>
      </c>
      <c r="U236" s="76">
        <f>STOCK[[#This Row],[Costo total]]*1.5</f>
        <v>27.8166666666666</v>
      </c>
      <c r="V236" s="76">
        <v>25</v>
      </c>
      <c r="W236" s="76">
        <f>STOCK[[#This Row],[Precio Final]]-STOCK[[#This Row],[Costo total]]</f>
        <v>6.4555555555556</v>
      </c>
      <c r="X236" s="76">
        <f>STOCK[[#This Row],[Ganancia Unitaria]]*STOCK[[#This Row],[Salidas]]</f>
        <v>12.9111111111112</v>
      </c>
      <c r="AA236" s="76">
        <f>STOCK[[#This Row],[Costo total]]*STOCK[[#This Row],[Entradas]]</f>
        <v>37.0888888888888</v>
      </c>
      <c r="AB236" s="76">
        <f>STOCK[[#This Row],[Stock Actual]]*STOCK[[#This Row],[Costo total]]</f>
        <v>0</v>
      </c>
    </row>
    <row r="237" s="77" customFormat="1" ht="50" customHeight="1" spans="1:28">
      <c r="A237" s="77" t="s">
        <v>509</v>
      </c>
      <c r="B237" s="6"/>
      <c r="C237" s="77" t="s">
        <v>30</v>
      </c>
      <c r="D237" s="77" t="s">
        <v>36</v>
      </c>
      <c r="E237" s="77" t="s">
        <v>510</v>
      </c>
      <c r="F237" s="77" t="s">
        <v>86</v>
      </c>
      <c r="G237" s="77" t="s">
        <v>34</v>
      </c>
      <c r="H237" s="77">
        <f>STOCK[[#This Row],[Precio Final]]</f>
        <v>25</v>
      </c>
      <c r="I237" s="77">
        <f>STOCK[[#This Row],[Precio Venta Ideal (x1.5)]]</f>
        <v>27.8166666666666</v>
      </c>
      <c r="J237" s="92">
        <v>2</v>
      </c>
      <c r="K237" s="92">
        <f>SUMIFS(VENTAS[Cantidad],VENTAS[Código del producto Vendido],STOCK[[#This Row],[Code]])</f>
        <v>2</v>
      </c>
      <c r="L237" s="92">
        <f>STOCK[[#This Row],[Entradas]]-STOCK[[#This Row],[Salidas]]</f>
        <v>0</v>
      </c>
      <c r="M237" s="77">
        <f>STOCK[[#This Row],[Precio Final]]*10%</f>
        <v>2.5</v>
      </c>
      <c r="N237" s="77">
        <v>260</v>
      </c>
      <c r="O237" s="77">
        <v>18</v>
      </c>
      <c r="P237" s="77">
        <v>14.4444444444444</v>
      </c>
      <c r="Q237" s="92">
        <v>200</v>
      </c>
      <c r="R237" s="77">
        <v>8</v>
      </c>
      <c r="S237" s="77">
        <f>STOCK[[#This Row],[Peso (g)]]*STOCK[[#This Row],[Precio Envío Kilogramo (USD)]]/1000</f>
        <v>1.6</v>
      </c>
      <c r="T237" s="76">
        <f>STOCK[[#This Row],[Costo Unitario (USD)]]+STOCK[[#This Row],[Costo Envío (USD)]]+STOCK[[#This Row],[Comisión 10%]]</f>
        <v>18.5444444444444</v>
      </c>
      <c r="U237" s="77">
        <f>STOCK[[#This Row],[Costo total]]*1.5</f>
        <v>27.8166666666666</v>
      </c>
      <c r="V237" s="77">
        <v>25</v>
      </c>
      <c r="W237" s="77">
        <f>STOCK[[#This Row],[Precio Final]]-STOCK[[#This Row],[Costo total]]</f>
        <v>6.4555555555556</v>
      </c>
      <c r="X237" s="77">
        <f>STOCK[[#This Row],[Ganancia Unitaria]]*STOCK[[#This Row],[Salidas]]</f>
        <v>12.9111111111112</v>
      </c>
      <c r="AA237" s="77">
        <f>STOCK[[#This Row],[Costo total]]*STOCK[[#This Row],[Entradas]]</f>
        <v>37.0888888888888</v>
      </c>
      <c r="AB237" s="77">
        <f>STOCK[[#This Row],[Stock Actual]]*STOCK[[#This Row],[Costo total]]</f>
        <v>0</v>
      </c>
    </row>
    <row r="238" s="76" customFormat="1" ht="50" customHeight="1" spans="1:28">
      <c r="A238" s="76" t="s">
        <v>511</v>
      </c>
      <c r="B238" s="6"/>
      <c r="C238" s="76" t="s">
        <v>30</v>
      </c>
      <c r="E238" s="76" t="s">
        <v>512</v>
      </c>
      <c r="F238" s="76" t="s">
        <v>393</v>
      </c>
      <c r="G238" s="76" t="s">
        <v>34</v>
      </c>
      <c r="H238" s="76">
        <f>STOCK[[#This Row],[Precio Final]]</f>
        <v>5</v>
      </c>
      <c r="I238" s="76">
        <f>STOCK[[#This Row],[Precio Venta Ideal (x1.5)]]</f>
        <v>4.82916666666666</v>
      </c>
      <c r="J238" s="91">
        <v>0</v>
      </c>
      <c r="K238" s="91">
        <f>SUMIFS(VENTAS[Cantidad],VENTAS[Código del producto Vendido],STOCK[[#This Row],[Code]])</f>
        <v>0</v>
      </c>
      <c r="L238" s="91">
        <f>STOCK[[#This Row],[Entradas]]-STOCK[[#This Row],[Salidas]]</f>
        <v>0</v>
      </c>
      <c r="M238" s="76">
        <f>STOCK[[#This Row],[Precio Final]]*10%</f>
        <v>0.5</v>
      </c>
      <c r="N238" s="76">
        <v>46.07</v>
      </c>
      <c r="O238" s="76">
        <v>18</v>
      </c>
      <c r="P238" s="76">
        <v>2.55944444444444</v>
      </c>
      <c r="Q238" s="91">
        <v>20</v>
      </c>
      <c r="R238" s="76">
        <v>8</v>
      </c>
      <c r="S238" s="76">
        <f>STOCK[[#This Row],[Peso (g)]]*STOCK[[#This Row],[Precio Envío Kilogramo (USD)]]/1000</f>
        <v>0.16</v>
      </c>
      <c r="T238" s="76">
        <f>STOCK[[#This Row],[Costo Unitario (USD)]]+STOCK[[#This Row],[Costo Envío (USD)]]+STOCK[[#This Row],[Comisión 10%]]</f>
        <v>3.21944444444444</v>
      </c>
      <c r="U238" s="76">
        <f>STOCK[[#This Row],[Costo total]]*1.5</f>
        <v>4.82916666666666</v>
      </c>
      <c r="V238" s="76">
        <v>5</v>
      </c>
      <c r="W238" s="76">
        <f>STOCK[[#This Row],[Precio Final]]-STOCK[[#This Row],[Costo total]]</f>
        <v>1.78055555555556</v>
      </c>
      <c r="X238" s="76">
        <f>STOCK[[#This Row],[Ganancia Unitaria]]*STOCK[[#This Row],[Salidas]]</f>
        <v>0</v>
      </c>
      <c r="AA238" s="76">
        <f>STOCK[[#This Row],[Costo total]]*STOCK[[#This Row],[Entradas]]</f>
        <v>0</v>
      </c>
      <c r="AB238" s="76">
        <f>STOCK[[#This Row],[Stock Actual]]*STOCK[[#This Row],[Costo total]]</f>
        <v>0</v>
      </c>
    </row>
    <row r="239" s="77" customFormat="1" ht="50" customHeight="1" spans="1:28">
      <c r="A239" s="77" t="s">
        <v>513</v>
      </c>
      <c r="B239" s="6"/>
      <c r="C239" s="77" t="s">
        <v>30</v>
      </c>
      <c r="D239" s="77" t="s">
        <v>514</v>
      </c>
      <c r="E239" s="77" t="s">
        <v>515</v>
      </c>
      <c r="F239" s="77" t="s">
        <v>516</v>
      </c>
      <c r="G239" s="77" t="s">
        <v>34</v>
      </c>
      <c r="H239" s="77">
        <f>STOCK[[#This Row],[Precio Final]]</f>
        <v>20</v>
      </c>
      <c r="I239" s="77">
        <f>STOCK[[#This Row],[Precio Venta Ideal (x1.5)]]</f>
        <v>21.9558333333333</v>
      </c>
      <c r="J239" s="92">
        <v>1</v>
      </c>
      <c r="K239" s="92">
        <f>SUMIFS(VENTAS[Cantidad],VENTAS[Código del producto Vendido],STOCK[[#This Row],[Code]])</f>
        <v>1</v>
      </c>
      <c r="L239" s="92">
        <f>STOCK[[#This Row],[Entradas]]-STOCK[[#This Row],[Salidas]]</f>
        <v>0</v>
      </c>
      <c r="M239" s="77">
        <f>STOCK[[#This Row],[Precio Final]]*10%</f>
        <v>2</v>
      </c>
      <c r="N239" s="77">
        <v>184.27</v>
      </c>
      <c r="O239" s="77">
        <v>18</v>
      </c>
      <c r="P239" s="77">
        <v>10.2372222222222</v>
      </c>
      <c r="Q239" s="92">
        <v>300</v>
      </c>
      <c r="R239" s="77">
        <v>8</v>
      </c>
      <c r="S239" s="77">
        <f>STOCK[[#This Row],[Peso (g)]]*STOCK[[#This Row],[Precio Envío Kilogramo (USD)]]/1000</f>
        <v>2.4</v>
      </c>
      <c r="T239" s="76">
        <f>STOCK[[#This Row],[Costo Unitario (USD)]]+STOCK[[#This Row],[Costo Envío (USD)]]+STOCK[[#This Row],[Comisión 10%]]</f>
        <v>14.6372222222222</v>
      </c>
      <c r="U239" s="77">
        <f>STOCK[[#This Row],[Costo total]]*1.5</f>
        <v>21.9558333333333</v>
      </c>
      <c r="V239" s="77">
        <v>20</v>
      </c>
      <c r="W239" s="77">
        <f>STOCK[[#This Row],[Precio Final]]-STOCK[[#This Row],[Costo total]]</f>
        <v>5.3627777777778</v>
      </c>
      <c r="X239" s="77">
        <f>STOCK[[#This Row],[Ganancia Unitaria]]*STOCK[[#This Row],[Salidas]]</f>
        <v>5.3627777777778</v>
      </c>
      <c r="AA239" s="77">
        <f>STOCK[[#This Row],[Costo total]]*STOCK[[#This Row],[Entradas]]</f>
        <v>14.6372222222222</v>
      </c>
      <c r="AB239" s="77">
        <f>STOCK[[#This Row],[Stock Actual]]*STOCK[[#This Row],[Costo total]]</f>
        <v>0</v>
      </c>
    </row>
    <row r="240" s="76" customFormat="1" ht="50" customHeight="1" spans="1:28">
      <c r="A240" s="76" t="s">
        <v>517</v>
      </c>
      <c r="B240" s="6"/>
      <c r="C240" s="76" t="s">
        <v>30</v>
      </c>
      <c r="D240" s="76" t="s">
        <v>350</v>
      </c>
      <c r="E240" s="76" t="s">
        <v>518</v>
      </c>
      <c r="F240" s="76" t="s">
        <v>393</v>
      </c>
      <c r="G240" s="76" t="s">
        <v>34</v>
      </c>
      <c r="H240" s="76">
        <f>STOCK[[#This Row],[Precio Final]]</f>
        <v>2</v>
      </c>
      <c r="I240" s="76">
        <f>STOCK[[#This Row],[Precio Venta Ideal (x1.5)]]</f>
        <v>1.56666666666667</v>
      </c>
      <c r="J240" s="91">
        <v>10</v>
      </c>
      <c r="K240" s="91">
        <f>SUMIFS(VENTAS[Cantidad],VENTAS[Código del producto Vendido],STOCK[[#This Row],[Code]])</f>
        <v>10</v>
      </c>
      <c r="L240" s="91">
        <f>STOCK[[#This Row],[Entradas]]-STOCK[[#This Row],[Salidas]]</f>
        <v>0</v>
      </c>
      <c r="M240" s="76">
        <f>STOCK[[#This Row],[Precio Final]]*10%</f>
        <v>0.2</v>
      </c>
      <c r="N240" s="76">
        <v>8</v>
      </c>
      <c r="O240" s="76">
        <v>18</v>
      </c>
      <c r="P240" s="76">
        <v>0.444444444444444</v>
      </c>
      <c r="Q240" s="91">
        <v>50</v>
      </c>
      <c r="R240" s="76">
        <v>8</v>
      </c>
      <c r="S240" s="76">
        <f>STOCK[[#This Row],[Peso (g)]]*STOCK[[#This Row],[Precio Envío Kilogramo (USD)]]/1000</f>
        <v>0.4</v>
      </c>
      <c r="T240" s="76">
        <f>STOCK[[#This Row],[Costo Unitario (USD)]]+STOCK[[#This Row],[Costo Envío (USD)]]+STOCK[[#This Row],[Comisión 10%]]</f>
        <v>1.04444444444444</v>
      </c>
      <c r="U240" s="76">
        <f>STOCK[[#This Row],[Costo total]]*1.5</f>
        <v>1.56666666666667</v>
      </c>
      <c r="V240" s="76">
        <v>2</v>
      </c>
      <c r="W240" s="76">
        <f>STOCK[[#This Row],[Precio Final]]-STOCK[[#This Row],[Costo total]]</f>
        <v>0.955555555555556</v>
      </c>
      <c r="X240" s="76">
        <f>STOCK[[#This Row],[Ganancia Unitaria]]*STOCK[[#This Row],[Salidas]]</f>
        <v>9.55555555555556</v>
      </c>
      <c r="AA240" s="76">
        <f>STOCK[[#This Row],[Costo total]]*STOCK[[#This Row],[Entradas]]</f>
        <v>10.4444444444444</v>
      </c>
      <c r="AB240" s="76">
        <f>STOCK[[#This Row],[Stock Actual]]*STOCK[[#This Row],[Costo total]]</f>
        <v>0</v>
      </c>
    </row>
    <row r="241" s="77" customFormat="1" ht="50" customHeight="1" spans="1:28">
      <c r="A241" s="77" t="s">
        <v>519</v>
      </c>
      <c r="B241" s="6"/>
      <c r="C241" s="77" t="s">
        <v>30</v>
      </c>
      <c r="D241" s="77" t="s">
        <v>514</v>
      </c>
      <c r="E241" s="77" t="s">
        <v>520</v>
      </c>
      <c r="F241" s="77" t="s">
        <v>516</v>
      </c>
      <c r="G241" s="77" t="s">
        <v>34</v>
      </c>
      <c r="H241" s="77">
        <f>STOCK[[#This Row],[Precio Final]]</f>
        <v>26</v>
      </c>
      <c r="I241" s="77">
        <f>STOCK[[#This Row],[Precio Venta Ideal (x1.5)]]</f>
        <v>29.2891666666666</v>
      </c>
      <c r="J241" s="92">
        <v>1</v>
      </c>
      <c r="K241" s="92">
        <f>SUMIFS(VENTAS[Cantidad],VENTAS[Código del producto Vendido],STOCK[[#This Row],[Code]])</f>
        <v>1</v>
      </c>
      <c r="L241" s="92">
        <f>STOCK[[#This Row],[Entradas]]-STOCK[[#This Row],[Salidas]]</f>
        <v>0</v>
      </c>
      <c r="M241" s="77">
        <f>STOCK[[#This Row],[Precio Final]]*10%</f>
        <v>2.6</v>
      </c>
      <c r="N241" s="77">
        <v>261.47</v>
      </c>
      <c r="O241" s="77">
        <v>18</v>
      </c>
      <c r="P241" s="77">
        <v>14.5261111111111</v>
      </c>
      <c r="Q241" s="92">
        <v>300</v>
      </c>
      <c r="R241" s="77">
        <v>8</v>
      </c>
      <c r="S241" s="77">
        <f>STOCK[[#This Row],[Peso (g)]]*STOCK[[#This Row],[Precio Envío Kilogramo (USD)]]/1000</f>
        <v>2.4</v>
      </c>
      <c r="T241" s="76">
        <f>STOCK[[#This Row],[Costo Unitario (USD)]]+STOCK[[#This Row],[Costo Envío (USD)]]+STOCK[[#This Row],[Comisión 10%]]</f>
        <v>19.5261111111111</v>
      </c>
      <c r="U241" s="77">
        <f>STOCK[[#This Row],[Costo total]]*1.5</f>
        <v>29.2891666666666</v>
      </c>
      <c r="V241" s="77">
        <v>26</v>
      </c>
      <c r="W241" s="77">
        <f>STOCK[[#This Row],[Precio Final]]-STOCK[[#This Row],[Costo total]]</f>
        <v>6.4738888888889</v>
      </c>
      <c r="X241" s="77">
        <f>STOCK[[#This Row],[Ganancia Unitaria]]*STOCK[[#This Row],[Salidas]]</f>
        <v>6.4738888888889</v>
      </c>
      <c r="AA241" s="77">
        <f>STOCK[[#This Row],[Costo total]]*STOCK[[#This Row],[Entradas]]</f>
        <v>19.5261111111111</v>
      </c>
      <c r="AB241" s="77">
        <f>STOCK[[#This Row],[Stock Actual]]*STOCK[[#This Row],[Costo total]]</f>
        <v>0</v>
      </c>
    </row>
    <row r="242" s="76" customFormat="1" ht="50" customHeight="1" spans="1:29">
      <c r="A242" s="76" t="s">
        <v>521</v>
      </c>
      <c r="B242" s="6"/>
      <c r="C242" s="76" t="s">
        <v>30</v>
      </c>
      <c r="D242" s="76" t="s">
        <v>522</v>
      </c>
      <c r="E242" s="76" t="s">
        <v>523</v>
      </c>
      <c r="F242" s="76" t="s">
        <v>524</v>
      </c>
      <c r="G242" s="76" t="s">
        <v>34</v>
      </c>
      <c r="H242" s="76">
        <f>STOCK[[#This Row],[Precio Final]]</f>
        <v>1</v>
      </c>
      <c r="I242" s="76">
        <f>STOCK[[#This Row],[Precio Venta Ideal (x1.5)]]</f>
        <v>0.512083333333333</v>
      </c>
      <c r="J242" s="91">
        <v>8</v>
      </c>
      <c r="K242" s="91">
        <f>SUMIFS(VENTAS[Cantidad],VENTAS[Código del producto Vendido],STOCK[[#This Row],[Code]])</f>
        <v>3</v>
      </c>
      <c r="L242" s="91">
        <f>STOCK[[#This Row],[Entradas]]-STOCK[[#This Row],[Salidas]]</f>
        <v>5</v>
      </c>
      <c r="M242" s="76">
        <f>STOCK[[#This Row],[Precio Final]]*10%</f>
        <v>0.1</v>
      </c>
      <c r="N242" s="76">
        <v>0.025</v>
      </c>
      <c r="O242" s="76">
        <v>18</v>
      </c>
      <c r="P242" s="76">
        <v>0.00138888888888889</v>
      </c>
      <c r="Q242" s="91">
        <v>30</v>
      </c>
      <c r="R242" s="76">
        <v>8</v>
      </c>
      <c r="S242" s="76">
        <f>STOCK[[#This Row],[Peso (g)]]*STOCK[[#This Row],[Precio Envío Kilogramo (USD)]]/1000</f>
        <v>0.24</v>
      </c>
      <c r="T242" s="76">
        <f>STOCK[[#This Row],[Costo Unitario (USD)]]+STOCK[[#This Row],[Costo Envío (USD)]]+STOCK[[#This Row],[Comisión 10%]]</f>
        <v>0.341388888888889</v>
      </c>
      <c r="U242" s="76">
        <f>STOCK[[#This Row],[Costo total]]*1.5</f>
        <v>0.512083333333333</v>
      </c>
      <c r="V242" s="76">
        <v>1</v>
      </c>
      <c r="W242" s="76">
        <f>STOCK[[#This Row],[Precio Final]]-STOCK[[#This Row],[Costo total]]</f>
        <v>0.658611111111111</v>
      </c>
      <c r="X242" s="76">
        <f>STOCK[[#This Row],[Ganancia Unitaria]]*STOCK[[#This Row],[Salidas]]</f>
        <v>1.97583333333333</v>
      </c>
      <c r="AA242" s="76">
        <f>STOCK[[#This Row],[Costo total]]*STOCK[[#This Row],[Entradas]]</f>
        <v>2.73111111111111</v>
      </c>
      <c r="AB242" s="76">
        <f>STOCK[[#This Row],[Stock Actual]]*STOCK[[#This Row],[Costo total]]</f>
        <v>1.70694444444444</v>
      </c>
      <c r="AC242" s="76">
        <v>0.8</v>
      </c>
    </row>
    <row r="243" s="77" customFormat="1" ht="50" customHeight="1" spans="1:28">
      <c r="A243" s="77" t="s">
        <v>525</v>
      </c>
      <c r="B243" s="6"/>
      <c r="C243" s="77" t="s">
        <v>30</v>
      </c>
      <c r="D243" s="77" t="s">
        <v>526</v>
      </c>
      <c r="E243" s="77" t="s">
        <v>527</v>
      </c>
      <c r="F243" s="77" t="s">
        <v>528</v>
      </c>
      <c r="G243" s="77" t="s">
        <v>34</v>
      </c>
      <c r="H243" s="77">
        <f>STOCK[[#This Row],[Precio Final]]</f>
        <v>30</v>
      </c>
      <c r="I243" s="77">
        <f>STOCK[[#This Row],[Precio Venta Ideal (x1.5)]]</f>
        <v>29.5766666666667</v>
      </c>
      <c r="J243" s="92">
        <v>1</v>
      </c>
      <c r="K243" s="92">
        <f>SUMIFS(VENTAS[Cantidad],VENTAS[Código del producto Vendido],STOCK[[#This Row],[Code]])</f>
        <v>1</v>
      </c>
      <c r="L243" s="92">
        <f>STOCK[[#This Row],[Entradas]]-STOCK[[#This Row],[Salidas]]</f>
        <v>0</v>
      </c>
      <c r="M243" s="77">
        <f>STOCK[[#This Row],[Precio Final]]*10%</f>
        <v>3</v>
      </c>
      <c r="N243" s="77">
        <v>228.92</v>
      </c>
      <c r="O243" s="77">
        <v>18</v>
      </c>
      <c r="P243" s="77">
        <v>12.7177777777778</v>
      </c>
      <c r="Q243" s="92">
        <v>500</v>
      </c>
      <c r="R243" s="77">
        <v>8</v>
      </c>
      <c r="S243" s="77">
        <f>STOCK[[#This Row],[Peso (g)]]*STOCK[[#This Row],[Precio Envío Kilogramo (USD)]]/1000</f>
        <v>4</v>
      </c>
      <c r="T243" s="76">
        <f>STOCK[[#This Row],[Costo Unitario (USD)]]+STOCK[[#This Row],[Costo Envío (USD)]]+STOCK[[#This Row],[Comisión 10%]]</f>
        <v>19.7177777777778</v>
      </c>
      <c r="U243" s="77">
        <f>STOCK[[#This Row],[Costo total]]*1.5</f>
        <v>29.5766666666667</v>
      </c>
      <c r="V243" s="77">
        <v>30</v>
      </c>
      <c r="W243" s="77">
        <f>STOCK[[#This Row],[Precio Final]]-STOCK[[#This Row],[Costo total]]</f>
        <v>10.2822222222222</v>
      </c>
      <c r="X243" s="77">
        <f>STOCK[[#This Row],[Ganancia Unitaria]]*STOCK[[#This Row],[Salidas]]</f>
        <v>10.2822222222222</v>
      </c>
      <c r="AA243" s="77">
        <f>STOCK[[#This Row],[Costo total]]*STOCK[[#This Row],[Entradas]]</f>
        <v>19.7177777777778</v>
      </c>
      <c r="AB243" s="77">
        <f>STOCK[[#This Row],[Stock Actual]]*STOCK[[#This Row],[Costo total]]</f>
        <v>0</v>
      </c>
    </row>
    <row r="244" s="76" customFormat="1" ht="50" customHeight="1" spans="1:29">
      <c r="A244" s="76" t="s">
        <v>529</v>
      </c>
      <c r="B244" s="6"/>
      <c r="C244" s="76" t="s">
        <v>30</v>
      </c>
      <c r="D244" s="76" t="s">
        <v>522</v>
      </c>
      <c r="E244" s="76" t="s">
        <v>530</v>
      </c>
      <c r="F244" s="76" t="s">
        <v>524</v>
      </c>
      <c r="G244" s="76" t="s">
        <v>34</v>
      </c>
      <c r="H244" s="76">
        <f>STOCK[[#This Row],[Precio Final]]</f>
        <v>1</v>
      </c>
      <c r="I244" s="76">
        <f>STOCK[[#This Row],[Precio Venta Ideal (x1.5)]]</f>
        <v>0.804166666666667</v>
      </c>
      <c r="J244" s="91">
        <v>7</v>
      </c>
      <c r="K244" s="91">
        <f>SUMIFS(VENTAS[Cantidad],VENTAS[Código del producto Vendido],STOCK[[#This Row],[Code]])</f>
        <v>4</v>
      </c>
      <c r="L244" s="91">
        <f>STOCK[[#This Row],[Entradas]]-STOCK[[#This Row],[Salidas]]</f>
        <v>3</v>
      </c>
      <c r="M244" s="76">
        <f>STOCK[[#This Row],[Precio Final]]*10%</f>
        <v>0.1</v>
      </c>
      <c r="N244" s="76">
        <v>0.65</v>
      </c>
      <c r="O244" s="76">
        <v>18</v>
      </c>
      <c r="P244" s="76">
        <v>0.0361111111111111</v>
      </c>
      <c r="Q244" s="91">
        <v>50</v>
      </c>
      <c r="R244" s="76">
        <v>8</v>
      </c>
      <c r="S244" s="76">
        <f>STOCK[[#This Row],[Peso (g)]]*STOCK[[#This Row],[Precio Envío Kilogramo (USD)]]/1000</f>
        <v>0.4</v>
      </c>
      <c r="T244" s="76">
        <f>STOCK[[#This Row],[Costo Unitario (USD)]]+STOCK[[#This Row],[Costo Envío (USD)]]+STOCK[[#This Row],[Comisión 10%]]</f>
        <v>0.536111111111111</v>
      </c>
      <c r="U244" s="76">
        <f>STOCK[[#This Row],[Costo total]]*1.5</f>
        <v>0.804166666666667</v>
      </c>
      <c r="V244" s="76">
        <v>1</v>
      </c>
      <c r="W244" s="76">
        <f>STOCK[[#This Row],[Precio Final]]-STOCK[[#This Row],[Costo total]]</f>
        <v>0.463888888888889</v>
      </c>
      <c r="X244" s="76">
        <f>STOCK[[#This Row],[Ganancia Unitaria]]*STOCK[[#This Row],[Salidas]]</f>
        <v>1.85555555555556</v>
      </c>
      <c r="AA244" s="76">
        <f>STOCK[[#This Row],[Costo total]]*STOCK[[#This Row],[Entradas]]</f>
        <v>3.75277777777778</v>
      </c>
      <c r="AB244" s="76">
        <f>STOCK[[#This Row],[Stock Actual]]*STOCK[[#This Row],[Costo total]]</f>
        <v>1.60833333333333</v>
      </c>
      <c r="AC244" s="76">
        <v>0.6</v>
      </c>
    </row>
    <row r="245" s="77" customFormat="1" ht="50" customHeight="1" spans="1:28">
      <c r="A245" s="77" t="s">
        <v>531</v>
      </c>
      <c r="B245" s="6"/>
      <c r="C245" s="77" t="s">
        <v>30</v>
      </c>
      <c r="D245" s="77" t="s">
        <v>173</v>
      </c>
      <c r="E245" s="77" t="s">
        <v>532</v>
      </c>
      <c r="G245" s="77" t="s">
        <v>34</v>
      </c>
      <c r="H245" s="77">
        <f>STOCK[[#This Row],[Precio Final]]</f>
        <v>1</v>
      </c>
      <c r="I245" s="77">
        <f>STOCK[[#This Row],[Precio Venta Ideal (x1.5)]]</f>
        <v>3.22166666666667</v>
      </c>
      <c r="J245" s="92">
        <v>1</v>
      </c>
      <c r="K245" s="92">
        <f>SUMIFS(VENTAS[Cantidad],VENTAS[Código del producto Vendido],STOCK[[#This Row],[Code]])</f>
        <v>1</v>
      </c>
      <c r="L245" s="92">
        <f>STOCK[[#This Row],[Entradas]]-STOCK[[#This Row],[Salidas]]</f>
        <v>0</v>
      </c>
      <c r="M245" s="77">
        <f>STOCK[[#This Row],[Precio Final]]*10%</f>
        <v>0.1</v>
      </c>
      <c r="N245" s="77">
        <v>36.86</v>
      </c>
      <c r="O245" s="77">
        <v>18</v>
      </c>
      <c r="P245" s="77">
        <v>2.04777777777778</v>
      </c>
      <c r="Q245" s="92"/>
      <c r="R245" s="77">
        <v>8</v>
      </c>
      <c r="S245" s="77">
        <f>STOCK[[#This Row],[Peso (g)]]*STOCK[[#This Row],[Precio Envío Kilogramo (USD)]]/1000</f>
        <v>0</v>
      </c>
      <c r="T245" s="76">
        <f>STOCK[[#This Row],[Costo Unitario (USD)]]+STOCK[[#This Row],[Costo Envío (USD)]]+STOCK[[#This Row],[Comisión 10%]]</f>
        <v>2.14777777777778</v>
      </c>
      <c r="U245" s="77">
        <f>STOCK[[#This Row],[Costo total]]*1.5</f>
        <v>3.22166666666667</v>
      </c>
      <c r="V245" s="77">
        <v>1</v>
      </c>
      <c r="W245" s="77">
        <f>STOCK[[#This Row],[Precio Final]]-STOCK[[#This Row],[Costo total]]</f>
        <v>-1.14777777777778</v>
      </c>
      <c r="X245" s="77">
        <f>STOCK[[#This Row],[Ganancia Unitaria]]*STOCK[[#This Row],[Salidas]]</f>
        <v>-1.14777777777778</v>
      </c>
      <c r="AA245" s="77">
        <f>STOCK[[#This Row],[Costo total]]*STOCK[[#This Row],[Entradas]]</f>
        <v>2.14777777777778</v>
      </c>
      <c r="AB245" s="77">
        <f>STOCK[[#This Row],[Stock Actual]]*STOCK[[#This Row],[Costo total]]</f>
        <v>0</v>
      </c>
    </row>
    <row r="246" s="76" customFormat="1" ht="50" customHeight="1" spans="1:28">
      <c r="A246" s="76" t="s">
        <v>533</v>
      </c>
      <c r="B246" s="6"/>
      <c r="C246" s="76" t="s">
        <v>30</v>
      </c>
      <c r="D246" s="76" t="s">
        <v>42</v>
      </c>
      <c r="E246" s="76" t="s">
        <v>534</v>
      </c>
      <c r="F246" s="76" t="s">
        <v>186</v>
      </c>
      <c r="G246" s="76" t="s">
        <v>34</v>
      </c>
      <c r="H246" s="76">
        <f>STOCK[[#This Row],[Precio Final]]</f>
        <v>18</v>
      </c>
      <c r="I246" s="76">
        <f>STOCK[[#This Row],[Precio Venta Ideal (x1.5)]]</f>
        <v>24.7666666666666</v>
      </c>
      <c r="J246" s="91">
        <v>1</v>
      </c>
      <c r="K246" s="91">
        <f>SUMIFS(VENTAS[Cantidad],VENTAS[Código del producto Vendido],STOCK[[#This Row],[Code]])</f>
        <v>1</v>
      </c>
      <c r="L246" s="91">
        <f>STOCK[[#This Row],[Entradas]]-STOCK[[#This Row],[Salidas]]</f>
        <v>0</v>
      </c>
      <c r="M246" s="76">
        <f>STOCK[[#This Row],[Precio Final]]*10%</f>
        <v>1.8</v>
      </c>
      <c r="N246" s="76">
        <v>228.8</v>
      </c>
      <c r="O246" s="76">
        <v>18</v>
      </c>
      <c r="P246" s="76">
        <v>12.7111111111111</v>
      </c>
      <c r="Q246" s="91">
        <v>250</v>
      </c>
      <c r="R246" s="76">
        <v>8</v>
      </c>
      <c r="S246" s="76">
        <f>STOCK[[#This Row],[Peso (g)]]*STOCK[[#This Row],[Precio Envío Kilogramo (USD)]]/1000</f>
        <v>2</v>
      </c>
      <c r="T246" s="76">
        <f>STOCK[[#This Row],[Costo Unitario (USD)]]+STOCK[[#This Row],[Costo Envío (USD)]]+STOCK[[#This Row],[Comisión 10%]]</f>
        <v>16.5111111111111</v>
      </c>
      <c r="U246" s="76">
        <f>STOCK[[#This Row],[Costo total]]*1.5</f>
        <v>24.7666666666666</v>
      </c>
      <c r="V246" s="76">
        <v>18</v>
      </c>
      <c r="W246" s="76">
        <f>STOCK[[#This Row],[Precio Final]]-STOCK[[#This Row],[Costo total]]</f>
        <v>1.4888888888889</v>
      </c>
      <c r="X246" s="76">
        <f>STOCK[[#This Row],[Ganancia Unitaria]]*STOCK[[#This Row],[Salidas]]</f>
        <v>1.4888888888889</v>
      </c>
      <c r="AA246" s="76">
        <f>STOCK[[#This Row],[Costo total]]*STOCK[[#This Row],[Entradas]]</f>
        <v>16.5111111111111</v>
      </c>
      <c r="AB246" s="76">
        <f>STOCK[[#This Row],[Stock Actual]]*STOCK[[#This Row],[Costo total]]</f>
        <v>0</v>
      </c>
    </row>
    <row r="247" s="77" customFormat="1" ht="50" customHeight="1" spans="1:28">
      <c r="A247" s="77" t="s">
        <v>535</v>
      </c>
      <c r="B247" s="6"/>
      <c r="C247" s="77" t="s">
        <v>30</v>
      </c>
      <c r="D247" s="77" t="s">
        <v>350</v>
      </c>
      <c r="E247" s="77" t="s">
        <v>536</v>
      </c>
      <c r="F247" s="77" t="s">
        <v>33</v>
      </c>
      <c r="G247" s="77" t="s">
        <v>34</v>
      </c>
      <c r="H247" s="77">
        <f>STOCK[[#This Row],[Precio Final]]</f>
        <v>12</v>
      </c>
      <c r="I247" s="77">
        <f>STOCK[[#This Row],[Precio Venta Ideal (x1.5)]]</f>
        <v>10.5458333333333</v>
      </c>
      <c r="J247" s="92">
        <v>2</v>
      </c>
      <c r="K247" s="92">
        <f>SUMIFS(VENTAS[Cantidad],VENTAS[Código del producto Vendido],STOCK[[#This Row],[Code]])</f>
        <v>2</v>
      </c>
      <c r="L247" s="92">
        <f>STOCK[[#This Row],[Entradas]]-STOCK[[#This Row],[Salidas]]</f>
        <v>0</v>
      </c>
      <c r="M247" s="77">
        <f>STOCK[[#This Row],[Precio Final]]*10%</f>
        <v>1.2</v>
      </c>
      <c r="N247" s="77">
        <v>97.75</v>
      </c>
      <c r="O247" s="77">
        <v>18</v>
      </c>
      <c r="P247" s="77">
        <v>5.43055555555556</v>
      </c>
      <c r="Q247" s="92">
        <v>50</v>
      </c>
      <c r="R247" s="77">
        <v>8</v>
      </c>
      <c r="S247" s="77">
        <f>STOCK[[#This Row],[Peso (g)]]*STOCK[[#This Row],[Precio Envío Kilogramo (USD)]]/1000</f>
        <v>0.4</v>
      </c>
      <c r="T247" s="76">
        <f>STOCK[[#This Row],[Costo Unitario (USD)]]+STOCK[[#This Row],[Costo Envío (USD)]]+STOCK[[#This Row],[Comisión 10%]]</f>
        <v>7.03055555555556</v>
      </c>
      <c r="U247" s="77">
        <f>STOCK[[#This Row],[Costo total]]*1.5</f>
        <v>10.5458333333333</v>
      </c>
      <c r="V247" s="77">
        <v>12</v>
      </c>
      <c r="W247" s="77">
        <f>STOCK[[#This Row],[Precio Final]]-STOCK[[#This Row],[Costo total]]</f>
        <v>4.96944444444444</v>
      </c>
      <c r="X247" s="77">
        <f>STOCK[[#This Row],[Ganancia Unitaria]]*STOCK[[#This Row],[Salidas]]</f>
        <v>9.93888888888888</v>
      </c>
      <c r="AA247" s="77">
        <f>STOCK[[#This Row],[Costo total]]*STOCK[[#This Row],[Entradas]]</f>
        <v>14.0611111111111</v>
      </c>
      <c r="AB247" s="77">
        <f>STOCK[[#This Row],[Stock Actual]]*STOCK[[#This Row],[Costo total]]</f>
        <v>0</v>
      </c>
    </row>
    <row r="248" s="76" customFormat="1" ht="50" customHeight="1" spans="1:28">
      <c r="A248" s="76" t="s">
        <v>537</v>
      </c>
      <c r="B248" s="6"/>
      <c r="C248" s="76" t="s">
        <v>30</v>
      </c>
      <c r="D248" s="76" t="s">
        <v>514</v>
      </c>
      <c r="E248" s="76" t="s">
        <v>538</v>
      </c>
      <c r="F248" s="76" t="s">
        <v>539</v>
      </c>
      <c r="G248" s="76" t="s">
        <v>34</v>
      </c>
      <c r="H248" s="76">
        <f>STOCK[[#This Row],[Precio Final]]</f>
        <v>38</v>
      </c>
      <c r="I248" s="76">
        <f>STOCK[[#This Row],[Precio Venta Ideal (x1.5)]]</f>
        <v>47.5833333333333</v>
      </c>
      <c r="J248" s="91">
        <v>1</v>
      </c>
      <c r="K248" s="91">
        <f>SUMIFS(VENTAS[Cantidad],VENTAS[Código del producto Vendido],STOCK[[#This Row],[Code]])</f>
        <v>1</v>
      </c>
      <c r="L248" s="91">
        <f>STOCK[[#This Row],[Entradas]]-STOCK[[#This Row],[Salidas]]</f>
        <v>0</v>
      </c>
      <c r="M248" s="76">
        <f>STOCK[[#This Row],[Precio Final]]*10%</f>
        <v>3.8</v>
      </c>
      <c r="N248" s="76">
        <v>452.2</v>
      </c>
      <c r="O248" s="76">
        <v>18</v>
      </c>
      <c r="P248" s="76">
        <v>25.1222222222222</v>
      </c>
      <c r="Q248" s="91">
        <v>350</v>
      </c>
      <c r="R248" s="76">
        <v>8</v>
      </c>
      <c r="S248" s="76">
        <f>STOCK[[#This Row],[Peso (g)]]*STOCK[[#This Row],[Precio Envío Kilogramo (USD)]]/1000</f>
        <v>2.8</v>
      </c>
      <c r="T248" s="76">
        <f>STOCK[[#This Row],[Costo Unitario (USD)]]+STOCK[[#This Row],[Costo Envío (USD)]]+STOCK[[#This Row],[Comisión 10%]]</f>
        <v>31.7222222222222</v>
      </c>
      <c r="U248" s="76">
        <f>STOCK[[#This Row],[Costo total]]*1.5</f>
        <v>47.5833333333333</v>
      </c>
      <c r="V248" s="76">
        <v>38</v>
      </c>
      <c r="W248" s="76">
        <f>STOCK[[#This Row],[Precio Final]]-STOCK[[#This Row],[Costo total]]</f>
        <v>6.2777777777778</v>
      </c>
      <c r="X248" s="76">
        <f>STOCK[[#This Row],[Ganancia Unitaria]]*STOCK[[#This Row],[Salidas]]</f>
        <v>6.2777777777778</v>
      </c>
      <c r="AA248" s="76">
        <f>STOCK[[#This Row],[Costo total]]*STOCK[[#This Row],[Entradas]]</f>
        <v>31.7222222222222</v>
      </c>
      <c r="AB248" s="76">
        <f>STOCK[[#This Row],[Stock Actual]]*STOCK[[#This Row],[Costo total]]</f>
        <v>0</v>
      </c>
    </row>
    <row r="249" s="77" customFormat="1" ht="50" customHeight="1" spans="1:28">
      <c r="A249" s="77" t="s">
        <v>540</v>
      </c>
      <c r="B249" s="6"/>
      <c r="C249" s="77" t="s">
        <v>30</v>
      </c>
      <c r="D249" s="77" t="s">
        <v>151</v>
      </c>
      <c r="E249" s="77" t="s">
        <v>541</v>
      </c>
      <c r="F249" s="77" t="s">
        <v>60</v>
      </c>
      <c r="G249" s="77" t="s">
        <v>34</v>
      </c>
      <c r="H249" s="77">
        <f>STOCK[[#This Row],[Precio Final]]</f>
        <v>20</v>
      </c>
      <c r="I249" s="77">
        <f>STOCK[[#This Row],[Precio Venta Ideal (x1.5)]]</f>
        <v>21.7833333333333</v>
      </c>
      <c r="J249" s="92">
        <v>1</v>
      </c>
      <c r="K249" s="92">
        <f>SUMIFS(VENTAS[Cantidad],VENTAS[Código del producto Vendido],STOCK[[#This Row],[Code]])</f>
        <v>1</v>
      </c>
      <c r="L249" s="92">
        <f>STOCK[[#This Row],[Entradas]]-STOCK[[#This Row],[Salidas]]</f>
        <v>0</v>
      </c>
      <c r="M249" s="77">
        <f>STOCK[[#This Row],[Precio Final]]*10%</f>
        <v>2</v>
      </c>
      <c r="N249" s="77">
        <v>211</v>
      </c>
      <c r="O249" s="77">
        <v>18</v>
      </c>
      <c r="P249" s="77">
        <v>11.7222222222222</v>
      </c>
      <c r="Q249" s="92">
        <v>100</v>
      </c>
      <c r="R249" s="77">
        <v>8</v>
      </c>
      <c r="S249" s="77">
        <f>STOCK[[#This Row],[Peso (g)]]*STOCK[[#This Row],[Precio Envío Kilogramo (USD)]]/1000</f>
        <v>0.8</v>
      </c>
      <c r="T249" s="76">
        <f>STOCK[[#This Row],[Costo Unitario (USD)]]+STOCK[[#This Row],[Costo Envío (USD)]]+STOCK[[#This Row],[Comisión 10%]]</f>
        <v>14.5222222222222</v>
      </c>
      <c r="U249" s="77">
        <f>STOCK[[#This Row],[Costo total]]*1.5</f>
        <v>21.7833333333333</v>
      </c>
      <c r="V249" s="77">
        <v>20</v>
      </c>
      <c r="W249" s="77">
        <f>STOCK[[#This Row],[Precio Final]]-STOCK[[#This Row],[Costo total]]</f>
        <v>5.4777777777778</v>
      </c>
      <c r="X249" s="77">
        <f>STOCK[[#This Row],[Ganancia Unitaria]]*STOCK[[#This Row],[Salidas]]</f>
        <v>5.4777777777778</v>
      </c>
      <c r="AA249" s="77">
        <f>STOCK[[#This Row],[Costo total]]*STOCK[[#This Row],[Entradas]]</f>
        <v>14.5222222222222</v>
      </c>
      <c r="AB249" s="77">
        <f>STOCK[[#This Row],[Stock Actual]]*STOCK[[#This Row],[Costo total]]</f>
        <v>0</v>
      </c>
    </row>
    <row r="250" s="76" customFormat="1" ht="50" customHeight="1" spans="1:28">
      <c r="A250" s="76" t="s">
        <v>542</v>
      </c>
      <c r="B250" s="6"/>
      <c r="C250" s="76" t="s">
        <v>30</v>
      </c>
      <c r="D250" s="76" t="s">
        <v>173</v>
      </c>
      <c r="E250" s="76" t="s">
        <v>543</v>
      </c>
      <c r="F250" s="76" t="s">
        <v>60</v>
      </c>
      <c r="G250" s="76" t="s">
        <v>34</v>
      </c>
      <c r="H250" s="76">
        <f>STOCK[[#This Row],[Precio Final]]</f>
        <v>15</v>
      </c>
      <c r="I250" s="76">
        <f>STOCK[[#This Row],[Precio Venta Ideal (x1.5)]]</f>
        <v>17.8566666666667</v>
      </c>
      <c r="J250" s="91">
        <v>1</v>
      </c>
      <c r="K250" s="91">
        <f>SUMIFS(VENTAS[Cantidad],VENTAS[Código del producto Vendido],STOCK[[#This Row],[Code]])</f>
        <v>1</v>
      </c>
      <c r="L250" s="91">
        <f>STOCK[[#This Row],[Entradas]]-STOCK[[#This Row],[Salidas]]</f>
        <v>0</v>
      </c>
      <c r="M250" s="76">
        <f>STOCK[[#This Row],[Precio Final]]*10%</f>
        <v>1.5</v>
      </c>
      <c r="N250" s="76">
        <v>170</v>
      </c>
      <c r="O250" s="76">
        <v>18</v>
      </c>
      <c r="P250" s="76">
        <v>9.44444444444444</v>
      </c>
      <c r="Q250" s="91">
        <v>120</v>
      </c>
      <c r="R250" s="76">
        <v>8</v>
      </c>
      <c r="S250" s="76">
        <f>STOCK[[#This Row],[Peso (g)]]*STOCK[[#This Row],[Precio Envío Kilogramo (USD)]]/1000</f>
        <v>0.96</v>
      </c>
      <c r="T250" s="76">
        <f>STOCK[[#This Row],[Costo Unitario (USD)]]+STOCK[[#This Row],[Costo Envío (USD)]]+STOCK[[#This Row],[Comisión 10%]]</f>
        <v>11.9044444444444</v>
      </c>
      <c r="U250" s="76">
        <f>STOCK[[#This Row],[Costo total]]*1.5</f>
        <v>17.8566666666667</v>
      </c>
      <c r="V250" s="76">
        <v>15</v>
      </c>
      <c r="W250" s="76">
        <f>STOCK[[#This Row],[Precio Final]]-STOCK[[#This Row],[Costo total]]</f>
        <v>3.09555555555556</v>
      </c>
      <c r="X250" s="76">
        <f>STOCK[[#This Row],[Ganancia Unitaria]]*STOCK[[#This Row],[Salidas]]</f>
        <v>3.09555555555556</v>
      </c>
      <c r="AA250" s="76">
        <f>STOCK[[#This Row],[Costo total]]*STOCK[[#This Row],[Entradas]]</f>
        <v>11.9044444444444</v>
      </c>
      <c r="AB250" s="76">
        <f>STOCK[[#This Row],[Stock Actual]]*STOCK[[#This Row],[Costo total]]</f>
        <v>0</v>
      </c>
    </row>
    <row r="251" s="77" customFormat="1" ht="50" customHeight="1" spans="1:28">
      <c r="A251" s="77" t="s">
        <v>544</v>
      </c>
      <c r="B251" s="6"/>
      <c r="C251" s="77" t="s">
        <v>30</v>
      </c>
      <c r="D251" s="77" t="s">
        <v>545</v>
      </c>
      <c r="E251" s="77" t="s">
        <v>546</v>
      </c>
      <c r="F251" s="77" t="s">
        <v>547</v>
      </c>
      <c r="G251" s="77" t="s">
        <v>34</v>
      </c>
      <c r="H251" s="77">
        <f>STOCK[[#This Row],[Precio Final]]</f>
        <v>8</v>
      </c>
      <c r="I251" s="77">
        <f>STOCK[[#This Row],[Precio Venta Ideal (x1.5)]]</f>
        <v>6.99666666666666</v>
      </c>
      <c r="J251" s="92">
        <v>1</v>
      </c>
      <c r="K251" s="92">
        <f>SUMIFS(VENTAS[Cantidad],VENTAS[Código del producto Vendido],STOCK[[#This Row],[Code]])</f>
        <v>1</v>
      </c>
      <c r="L251" s="92">
        <f>STOCK[[#This Row],[Entradas]]-STOCK[[#This Row],[Salidas]]</f>
        <v>0</v>
      </c>
      <c r="M251" s="77">
        <f>STOCK[[#This Row],[Precio Final]]*10%</f>
        <v>0.8</v>
      </c>
      <c r="N251" s="77">
        <v>62.36</v>
      </c>
      <c r="O251" s="77">
        <v>18</v>
      </c>
      <c r="P251" s="77">
        <v>3.46444444444444</v>
      </c>
      <c r="Q251" s="92">
        <v>50</v>
      </c>
      <c r="R251" s="77">
        <v>8</v>
      </c>
      <c r="S251" s="77">
        <f>STOCK[[#This Row],[Peso (g)]]*STOCK[[#This Row],[Precio Envío Kilogramo (USD)]]/1000</f>
        <v>0.4</v>
      </c>
      <c r="T251" s="76">
        <f>STOCK[[#This Row],[Costo Unitario (USD)]]+STOCK[[#This Row],[Costo Envío (USD)]]+STOCK[[#This Row],[Comisión 10%]]</f>
        <v>4.66444444444444</v>
      </c>
      <c r="U251" s="77">
        <f>STOCK[[#This Row],[Costo total]]*1.5</f>
        <v>6.99666666666666</v>
      </c>
      <c r="V251" s="77">
        <v>8</v>
      </c>
      <c r="W251" s="77">
        <f>STOCK[[#This Row],[Precio Final]]-STOCK[[#This Row],[Costo total]]</f>
        <v>3.33555555555556</v>
      </c>
      <c r="X251" s="77">
        <f>STOCK[[#This Row],[Ganancia Unitaria]]*STOCK[[#This Row],[Salidas]]</f>
        <v>3.33555555555556</v>
      </c>
      <c r="AA251" s="77">
        <f>STOCK[[#This Row],[Costo total]]*STOCK[[#This Row],[Entradas]]</f>
        <v>4.66444444444444</v>
      </c>
      <c r="AB251" s="77">
        <f>STOCK[[#This Row],[Stock Actual]]*STOCK[[#This Row],[Costo total]]</f>
        <v>0</v>
      </c>
    </row>
    <row r="252" s="76" customFormat="1" ht="50" customHeight="1" spans="1:28">
      <c r="A252" s="76" t="s">
        <v>548</v>
      </c>
      <c r="B252" s="6"/>
      <c r="C252" s="76" t="s">
        <v>30</v>
      </c>
      <c r="D252" s="76" t="s">
        <v>151</v>
      </c>
      <c r="E252" s="76" t="s">
        <v>549</v>
      </c>
      <c r="F252" s="76" t="s">
        <v>38</v>
      </c>
      <c r="G252" s="76" t="s">
        <v>34</v>
      </c>
      <c r="H252" s="76">
        <f>STOCK[[#This Row],[Precio Final]]</f>
        <v>13</v>
      </c>
      <c r="I252" s="76">
        <f>STOCK[[#This Row],[Precio Venta Ideal (x1.5)]]</f>
        <v>14.2141666666667</v>
      </c>
      <c r="J252" s="91">
        <v>1</v>
      </c>
      <c r="K252" s="91">
        <f>SUMIFS(VENTAS[Cantidad],VENTAS[Código del producto Vendido],STOCK[[#This Row],[Code]])</f>
        <v>1</v>
      </c>
      <c r="L252" s="91">
        <f>STOCK[[#This Row],[Entradas]]-STOCK[[#This Row],[Salidas]]</f>
        <v>0</v>
      </c>
      <c r="M252" s="76">
        <f>STOCK[[#This Row],[Precio Final]]*10%</f>
        <v>1.3</v>
      </c>
      <c r="N252" s="76">
        <v>132.77</v>
      </c>
      <c r="O252" s="76">
        <v>18</v>
      </c>
      <c r="P252" s="76">
        <v>7.37611111111111</v>
      </c>
      <c r="Q252" s="91">
        <v>100</v>
      </c>
      <c r="R252" s="76">
        <v>8</v>
      </c>
      <c r="S252" s="76">
        <f>STOCK[[#This Row],[Peso (g)]]*STOCK[[#This Row],[Precio Envío Kilogramo (USD)]]/1000</f>
        <v>0.8</v>
      </c>
      <c r="T252" s="76">
        <f>STOCK[[#This Row],[Costo Unitario (USD)]]+STOCK[[#This Row],[Costo Envío (USD)]]+STOCK[[#This Row],[Comisión 10%]]</f>
        <v>9.47611111111111</v>
      </c>
      <c r="U252" s="76">
        <f>STOCK[[#This Row],[Costo total]]*1.5</f>
        <v>14.2141666666667</v>
      </c>
      <c r="V252" s="76">
        <v>13</v>
      </c>
      <c r="W252" s="76">
        <f>STOCK[[#This Row],[Precio Final]]-STOCK[[#This Row],[Costo total]]</f>
        <v>3.52388888888889</v>
      </c>
      <c r="X252" s="76">
        <f>STOCK[[#This Row],[Ganancia Unitaria]]*STOCK[[#This Row],[Salidas]]</f>
        <v>3.52388888888889</v>
      </c>
      <c r="AA252" s="76">
        <f>STOCK[[#This Row],[Costo total]]*STOCK[[#This Row],[Entradas]]</f>
        <v>9.47611111111111</v>
      </c>
      <c r="AB252" s="76">
        <f>STOCK[[#This Row],[Stock Actual]]*STOCK[[#This Row],[Costo total]]</f>
        <v>0</v>
      </c>
    </row>
    <row r="253" s="77" customFormat="1" ht="50" customHeight="1" spans="1:28">
      <c r="A253" s="77" t="s">
        <v>550</v>
      </c>
      <c r="B253" s="6"/>
      <c r="C253" s="77" t="s">
        <v>30</v>
      </c>
      <c r="D253" s="77" t="s">
        <v>514</v>
      </c>
      <c r="E253" s="77" t="s">
        <v>551</v>
      </c>
      <c r="F253" s="77" t="s">
        <v>539</v>
      </c>
      <c r="G253" s="77" t="s">
        <v>34</v>
      </c>
      <c r="H253" s="77">
        <f>STOCK[[#This Row],[Precio Final]]</f>
        <v>45</v>
      </c>
      <c r="I253" s="77">
        <f>STOCK[[#This Row],[Precio Venta Ideal (x1.5)]]</f>
        <v>48.4291666666666</v>
      </c>
      <c r="J253" s="92">
        <v>1</v>
      </c>
      <c r="K253" s="92">
        <f>SUMIFS(VENTAS[Cantidad],VENTAS[Código del producto Vendido],STOCK[[#This Row],[Code]])</f>
        <v>1</v>
      </c>
      <c r="L253" s="92">
        <f>STOCK[[#This Row],[Entradas]]-STOCK[[#This Row],[Salidas]]</f>
        <v>0</v>
      </c>
      <c r="M253" s="77">
        <f>STOCK[[#This Row],[Precio Final]]*10%</f>
        <v>4.5</v>
      </c>
      <c r="N253" s="77">
        <v>442.55</v>
      </c>
      <c r="O253" s="77">
        <v>18</v>
      </c>
      <c r="P253" s="77">
        <v>24.5861111111111</v>
      </c>
      <c r="Q253" s="92">
        <v>400</v>
      </c>
      <c r="R253" s="77">
        <v>8</v>
      </c>
      <c r="S253" s="77">
        <f>STOCK[[#This Row],[Peso (g)]]*STOCK[[#This Row],[Precio Envío Kilogramo (USD)]]/1000</f>
        <v>3.2</v>
      </c>
      <c r="T253" s="76">
        <f>STOCK[[#This Row],[Costo Unitario (USD)]]+STOCK[[#This Row],[Costo Envío (USD)]]+STOCK[[#This Row],[Comisión 10%]]</f>
        <v>32.2861111111111</v>
      </c>
      <c r="U253" s="77">
        <f>STOCK[[#This Row],[Costo total]]*1.5</f>
        <v>48.4291666666666</v>
      </c>
      <c r="V253" s="77">
        <v>45</v>
      </c>
      <c r="W253" s="77">
        <f>STOCK[[#This Row],[Precio Final]]-STOCK[[#This Row],[Costo total]]</f>
        <v>12.7138888888889</v>
      </c>
      <c r="X253" s="77">
        <f>STOCK[[#This Row],[Ganancia Unitaria]]*STOCK[[#This Row],[Salidas]]</f>
        <v>12.7138888888889</v>
      </c>
      <c r="AA253" s="77">
        <f>STOCK[[#This Row],[Costo total]]*STOCK[[#This Row],[Entradas]]</f>
        <v>32.2861111111111</v>
      </c>
      <c r="AB253" s="77">
        <f>STOCK[[#This Row],[Stock Actual]]*STOCK[[#This Row],[Costo total]]</f>
        <v>0</v>
      </c>
    </row>
    <row r="254" s="76" customFormat="1" ht="50" customHeight="1" spans="1:28">
      <c r="A254" s="76" t="s">
        <v>552</v>
      </c>
      <c r="B254" s="6"/>
      <c r="C254" s="76" t="s">
        <v>30</v>
      </c>
      <c r="D254" s="76" t="s">
        <v>151</v>
      </c>
      <c r="E254" s="76" t="s">
        <v>553</v>
      </c>
      <c r="F254" s="76" t="s">
        <v>38</v>
      </c>
      <c r="G254" s="76" t="s">
        <v>34</v>
      </c>
      <c r="H254" s="76">
        <f>STOCK[[#This Row],[Precio Final]]</f>
        <v>15</v>
      </c>
      <c r="I254" s="76">
        <f>STOCK[[#This Row],[Precio Venta Ideal (x1.5)]]</f>
        <v>17.0841666666667</v>
      </c>
      <c r="J254" s="91">
        <v>1</v>
      </c>
      <c r="K254" s="91">
        <f>SUMIFS(VENTAS[Cantidad],VENTAS[Código del producto Vendido],STOCK[[#This Row],[Code]])</f>
        <v>1</v>
      </c>
      <c r="L254" s="91">
        <f>STOCK[[#This Row],[Entradas]]-STOCK[[#This Row],[Salidas]]</f>
        <v>0</v>
      </c>
      <c r="M254" s="76">
        <f>STOCK[[#This Row],[Precio Final]]*10%</f>
        <v>1.5</v>
      </c>
      <c r="N254" s="76">
        <v>163.61</v>
      </c>
      <c r="O254" s="76">
        <v>18</v>
      </c>
      <c r="P254" s="76">
        <v>9.08944444444445</v>
      </c>
      <c r="Q254" s="91">
        <v>100</v>
      </c>
      <c r="R254" s="76">
        <v>8</v>
      </c>
      <c r="S254" s="76">
        <f>STOCK[[#This Row],[Peso (g)]]*STOCK[[#This Row],[Precio Envío Kilogramo (USD)]]/1000</f>
        <v>0.8</v>
      </c>
      <c r="T254" s="76">
        <f>STOCK[[#This Row],[Costo Unitario (USD)]]+STOCK[[#This Row],[Costo Envío (USD)]]+STOCK[[#This Row],[Comisión 10%]]</f>
        <v>11.3894444444445</v>
      </c>
      <c r="U254" s="76">
        <f>STOCK[[#This Row],[Costo total]]*1.5</f>
        <v>17.0841666666667</v>
      </c>
      <c r="V254" s="76">
        <v>15</v>
      </c>
      <c r="W254" s="76">
        <f>STOCK[[#This Row],[Precio Final]]-STOCK[[#This Row],[Costo total]]</f>
        <v>3.61055555555555</v>
      </c>
      <c r="X254" s="76">
        <f>STOCK[[#This Row],[Ganancia Unitaria]]*STOCK[[#This Row],[Salidas]]</f>
        <v>3.61055555555555</v>
      </c>
      <c r="AA254" s="76">
        <f>STOCK[[#This Row],[Costo total]]*STOCK[[#This Row],[Entradas]]</f>
        <v>11.3894444444445</v>
      </c>
      <c r="AB254" s="76">
        <f>STOCK[[#This Row],[Stock Actual]]*STOCK[[#This Row],[Costo total]]</f>
        <v>0</v>
      </c>
    </row>
    <row r="255" s="77" customFormat="1" ht="50" customHeight="1" spans="1:29">
      <c r="A255" s="77" t="s">
        <v>554</v>
      </c>
      <c r="B255" s="6"/>
      <c r="C255" s="77" t="s">
        <v>30</v>
      </c>
      <c r="D255" s="76" t="s">
        <v>555</v>
      </c>
      <c r="E255" s="77" t="s">
        <v>556</v>
      </c>
      <c r="F255" s="77" t="s">
        <v>539</v>
      </c>
      <c r="G255" s="77" t="s">
        <v>34</v>
      </c>
      <c r="H255" s="77">
        <f>STOCK[[#This Row],[Precio Final]]</f>
        <v>45</v>
      </c>
      <c r="I255" s="77">
        <f>STOCK[[#This Row],[Precio Venta Ideal (x1.5)]]</f>
        <v>45.8025</v>
      </c>
      <c r="J255" s="92">
        <v>1</v>
      </c>
      <c r="K255" s="92">
        <f>SUMIFS(VENTAS[Cantidad],VENTAS[Código del producto Vendido],STOCK[[#This Row],[Code]])</f>
        <v>1</v>
      </c>
      <c r="L255" s="92">
        <f>STOCK[[#This Row],[Entradas]]-STOCK[[#This Row],[Salidas]]</f>
        <v>0</v>
      </c>
      <c r="M255" s="77">
        <f>STOCK[[#This Row],[Precio Final]]*10%</f>
        <v>4.5</v>
      </c>
      <c r="N255" s="77">
        <v>411.03</v>
      </c>
      <c r="O255" s="77">
        <v>18</v>
      </c>
      <c r="P255" s="77">
        <v>22.835</v>
      </c>
      <c r="Q255" s="92">
        <v>400</v>
      </c>
      <c r="R255" s="77">
        <v>8</v>
      </c>
      <c r="S255" s="77">
        <f>STOCK[[#This Row],[Peso (g)]]*STOCK[[#This Row],[Precio Envío Kilogramo (USD)]]/1000</f>
        <v>3.2</v>
      </c>
      <c r="T255" s="76">
        <f>STOCK[[#This Row],[Costo Unitario (USD)]]+STOCK[[#This Row],[Costo Envío (USD)]]+STOCK[[#This Row],[Comisión 10%]]</f>
        <v>30.535</v>
      </c>
      <c r="U255" s="77">
        <f>STOCK[[#This Row],[Costo total]]*1.5</f>
        <v>45.8025</v>
      </c>
      <c r="V255" s="77">
        <v>45</v>
      </c>
      <c r="W255" s="77">
        <f>STOCK[[#This Row],[Precio Final]]-STOCK[[#This Row],[Costo total]]</f>
        <v>14.465</v>
      </c>
      <c r="X255" s="77">
        <f>STOCK[[#This Row],[Ganancia Unitaria]]*STOCK[[#This Row],[Salidas]]</f>
        <v>14.465</v>
      </c>
      <c r="AA255" s="77">
        <f>STOCK[[#This Row],[Costo total]]*STOCK[[#This Row],[Entradas]]</f>
        <v>30.535</v>
      </c>
      <c r="AB255" s="77">
        <f>STOCK[[#This Row],[Stock Actual]]*STOCK[[#This Row],[Costo total]]</f>
        <v>0</v>
      </c>
      <c r="AC255" s="77">
        <v>25</v>
      </c>
    </row>
    <row r="256" s="76" customFormat="1" ht="50" customHeight="1" spans="1:28">
      <c r="A256" s="76" t="s">
        <v>557</v>
      </c>
      <c r="B256" s="6"/>
      <c r="C256" s="76" t="s">
        <v>30</v>
      </c>
      <c r="D256" s="76" t="s">
        <v>42</v>
      </c>
      <c r="E256" s="76" t="s">
        <v>558</v>
      </c>
      <c r="F256" s="76" t="s">
        <v>38</v>
      </c>
      <c r="G256" s="76" t="s">
        <v>34</v>
      </c>
      <c r="H256" s="76">
        <f>STOCK[[#This Row],[Precio Final]]</f>
        <v>55</v>
      </c>
      <c r="I256" s="76">
        <f>STOCK[[#This Row],[Precio Venta Ideal (x1.5)]]</f>
        <v>62.3291666666667</v>
      </c>
      <c r="J256" s="91">
        <v>1</v>
      </c>
      <c r="K256" s="91">
        <f>SUMIFS(VENTAS[Cantidad],VENTAS[Código del producto Vendido],STOCK[[#This Row],[Code]])</f>
        <v>0</v>
      </c>
      <c r="L256" s="91">
        <f>STOCK[[#This Row],[Entradas]]-STOCK[[#This Row],[Salidas]]</f>
        <v>1</v>
      </c>
      <c r="M256" s="76">
        <f>STOCK[[#This Row],[Precio Final]]*10%</f>
        <v>5.5</v>
      </c>
      <c r="N256" s="76">
        <v>572.63</v>
      </c>
      <c r="O256" s="76">
        <v>18</v>
      </c>
      <c r="P256" s="76">
        <v>31.8127777777778</v>
      </c>
      <c r="Q256" s="91">
        <v>530</v>
      </c>
      <c r="R256" s="76">
        <v>8</v>
      </c>
      <c r="S256" s="76">
        <f>STOCK[[#This Row],[Peso (g)]]*STOCK[[#This Row],[Precio Envío Kilogramo (USD)]]/1000</f>
        <v>4.24</v>
      </c>
      <c r="T256" s="76">
        <f>STOCK[[#This Row],[Costo Unitario (USD)]]+STOCK[[#This Row],[Costo Envío (USD)]]+STOCK[[#This Row],[Comisión 10%]]</f>
        <v>41.5527777777778</v>
      </c>
      <c r="U256" s="76">
        <f>STOCK[[#This Row],[Costo total]]*1.5</f>
        <v>62.3291666666667</v>
      </c>
      <c r="V256" s="76">
        <v>55</v>
      </c>
      <c r="W256" s="76">
        <f>STOCK[[#This Row],[Precio Final]]-STOCK[[#This Row],[Costo total]]</f>
        <v>13.4472222222222</v>
      </c>
      <c r="X256" s="76">
        <f>STOCK[[#This Row],[Ganancia Unitaria]]*STOCK[[#This Row],[Salidas]]</f>
        <v>0</v>
      </c>
      <c r="AA256" s="76">
        <f>STOCK[[#This Row],[Costo total]]*STOCK[[#This Row],[Entradas]]</f>
        <v>41.5527777777778</v>
      </c>
      <c r="AB256" s="76">
        <f>STOCK[[#This Row],[Stock Actual]]*STOCK[[#This Row],[Costo total]]</f>
        <v>41.5527777777778</v>
      </c>
    </row>
    <row r="257" s="77" customFormat="1" ht="50" customHeight="1" spans="1:28">
      <c r="A257" s="77" t="s">
        <v>559</v>
      </c>
      <c r="B257" s="6"/>
      <c r="C257" s="77" t="s">
        <v>30</v>
      </c>
      <c r="D257" s="77" t="s">
        <v>151</v>
      </c>
      <c r="E257" s="77" t="s">
        <v>560</v>
      </c>
      <c r="F257" s="77" t="s">
        <v>38</v>
      </c>
      <c r="G257" s="77" t="s">
        <v>34</v>
      </c>
      <c r="H257" s="77">
        <f>STOCK[[#This Row],[Precio Final]]</f>
        <v>15</v>
      </c>
      <c r="I257" s="77">
        <f>STOCK[[#This Row],[Precio Venta Ideal (x1.5)]]</f>
        <v>12.2483333333333</v>
      </c>
      <c r="J257" s="92">
        <v>1</v>
      </c>
      <c r="K257" s="92">
        <f>SUMIFS(VENTAS[Cantidad],VENTAS[Código del producto Vendido],STOCK[[#This Row],[Code]])</f>
        <v>1</v>
      </c>
      <c r="L257" s="92">
        <f>STOCK[[#This Row],[Entradas]]-STOCK[[#This Row],[Salidas]]</f>
        <v>0</v>
      </c>
      <c r="M257" s="77">
        <f>STOCK[[#This Row],[Precio Final]]*10%</f>
        <v>1.5</v>
      </c>
      <c r="N257" s="77">
        <v>109.9</v>
      </c>
      <c r="O257" s="77">
        <v>18</v>
      </c>
      <c r="P257" s="77">
        <v>6.10555555555556</v>
      </c>
      <c r="Q257" s="92">
        <v>70</v>
      </c>
      <c r="R257" s="77">
        <v>8</v>
      </c>
      <c r="S257" s="77">
        <f>STOCK[[#This Row],[Peso (g)]]*STOCK[[#This Row],[Precio Envío Kilogramo (USD)]]/1000</f>
        <v>0.56</v>
      </c>
      <c r="T257" s="76">
        <f>STOCK[[#This Row],[Costo Unitario (USD)]]+STOCK[[#This Row],[Costo Envío (USD)]]+STOCK[[#This Row],[Comisión 10%]]</f>
        <v>8.16555555555556</v>
      </c>
      <c r="U257" s="77">
        <f>STOCK[[#This Row],[Costo total]]*1.5</f>
        <v>12.2483333333333</v>
      </c>
      <c r="V257" s="77">
        <v>15</v>
      </c>
      <c r="W257" s="77">
        <f>STOCK[[#This Row],[Precio Final]]-STOCK[[#This Row],[Costo total]]</f>
        <v>6.83444444444444</v>
      </c>
      <c r="X257" s="77">
        <f>STOCK[[#This Row],[Ganancia Unitaria]]*STOCK[[#This Row],[Salidas]]</f>
        <v>6.83444444444444</v>
      </c>
      <c r="AA257" s="77">
        <f>STOCK[[#This Row],[Costo total]]*STOCK[[#This Row],[Entradas]]</f>
        <v>8.16555555555556</v>
      </c>
      <c r="AB257" s="77">
        <f>STOCK[[#This Row],[Stock Actual]]*STOCK[[#This Row],[Costo total]]</f>
        <v>0</v>
      </c>
    </row>
    <row r="258" s="76" customFormat="1" ht="50" customHeight="1" spans="1:28">
      <c r="A258" s="76" t="s">
        <v>561</v>
      </c>
      <c r="B258" s="6"/>
      <c r="C258" s="76" t="s">
        <v>30</v>
      </c>
      <c r="D258" s="76" t="s">
        <v>42</v>
      </c>
      <c r="E258" s="76" t="s">
        <v>562</v>
      </c>
      <c r="F258" s="76" t="s">
        <v>38</v>
      </c>
      <c r="G258" s="76" t="s">
        <v>34</v>
      </c>
      <c r="H258" s="76">
        <f>STOCK[[#This Row],[Precio Final]]</f>
        <v>45</v>
      </c>
      <c r="I258" s="76">
        <f>STOCK[[#This Row],[Precio Venta Ideal (x1.5)]]</f>
        <v>64.6075</v>
      </c>
      <c r="J258" s="91">
        <v>1</v>
      </c>
      <c r="K258" s="91">
        <f>SUMIFS(VENTAS[Cantidad],VENTAS[Código del producto Vendido],STOCK[[#This Row],[Code]])</f>
        <v>1</v>
      </c>
      <c r="L258" s="91">
        <f>STOCK[[#This Row],[Entradas]]-STOCK[[#This Row],[Salidas]]</f>
        <v>0</v>
      </c>
      <c r="M258" s="76">
        <f>STOCK[[#This Row],[Precio Final]]*10%</f>
        <v>4.5</v>
      </c>
      <c r="N258" s="76">
        <v>629.49</v>
      </c>
      <c r="O258" s="76">
        <v>18</v>
      </c>
      <c r="P258" s="76">
        <v>34.9716666666667</v>
      </c>
      <c r="Q258" s="91">
        <v>450</v>
      </c>
      <c r="R258" s="76">
        <v>8</v>
      </c>
      <c r="S258" s="76">
        <f>STOCK[[#This Row],[Peso (g)]]*STOCK[[#This Row],[Precio Envío Kilogramo (USD)]]/1000</f>
        <v>3.6</v>
      </c>
      <c r="T258" s="76">
        <f>STOCK[[#This Row],[Costo Unitario (USD)]]+STOCK[[#This Row],[Costo Envío (USD)]]+STOCK[[#This Row],[Comisión 10%]]</f>
        <v>43.0716666666667</v>
      </c>
      <c r="U258" s="76">
        <f>STOCK[[#This Row],[Costo total]]*1.5</f>
        <v>64.6075</v>
      </c>
      <c r="V258" s="76">
        <v>45</v>
      </c>
      <c r="W258" s="76">
        <f>STOCK[[#This Row],[Precio Final]]-STOCK[[#This Row],[Costo total]]</f>
        <v>1.9283333333333</v>
      </c>
      <c r="X258" s="76">
        <f>STOCK[[#This Row],[Ganancia Unitaria]]*STOCK[[#This Row],[Salidas]]</f>
        <v>1.9283333333333</v>
      </c>
      <c r="AA258" s="76">
        <f>STOCK[[#This Row],[Costo total]]*STOCK[[#This Row],[Entradas]]</f>
        <v>43.0716666666667</v>
      </c>
      <c r="AB258" s="76">
        <f>STOCK[[#This Row],[Stock Actual]]*STOCK[[#This Row],[Costo total]]</f>
        <v>0</v>
      </c>
    </row>
    <row r="259" s="77" customFormat="1" ht="50" customHeight="1" spans="1:28">
      <c r="A259" s="77" t="s">
        <v>563</v>
      </c>
      <c r="B259" s="6"/>
      <c r="C259" s="77" t="s">
        <v>30</v>
      </c>
      <c r="D259" s="77" t="s">
        <v>42</v>
      </c>
      <c r="E259" s="77" t="s">
        <v>564</v>
      </c>
      <c r="F259" s="77" t="s">
        <v>60</v>
      </c>
      <c r="G259" s="77" t="s">
        <v>34</v>
      </c>
      <c r="H259" s="77">
        <f>STOCK[[#This Row],[Precio Final]]</f>
        <v>20</v>
      </c>
      <c r="I259" s="77">
        <f>STOCK[[#This Row],[Precio Venta Ideal (x1.5)]]</f>
        <v>19.0833333333333</v>
      </c>
      <c r="J259" s="92">
        <v>3</v>
      </c>
      <c r="K259" s="92">
        <f>SUMIFS(VENTAS[Cantidad],VENTAS[Código del producto Vendido],STOCK[[#This Row],[Code]])</f>
        <v>3</v>
      </c>
      <c r="L259" s="92">
        <f>STOCK[[#This Row],[Entradas]]-STOCK[[#This Row],[Salidas]]</f>
        <v>0</v>
      </c>
      <c r="M259" s="77">
        <f>STOCK[[#This Row],[Precio Final]]*10%</f>
        <v>2</v>
      </c>
      <c r="N259" s="77">
        <v>166</v>
      </c>
      <c r="O259" s="77">
        <v>18</v>
      </c>
      <c r="P259" s="77">
        <v>9.22222222222222</v>
      </c>
      <c r="Q259" s="92">
        <v>150</v>
      </c>
      <c r="R259" s="77">
        <v>10</v>
      </c>
      <c r="S259" s="77">
        <f>STOCK[[#This Row],[Peso (g)]]*STOCK[[#This Row],[Precio Envío Kilogramo (USD)]]/1000</f>
        <v>1.5</v>
      </c>
      <c r="T259" s="76">
        <f>STOCK[[#This Row],[Costo Unitario (USD)]]+STOCK[[#This Row],[Costo Envío (USD)]]+STOCK[[#This Row],[Comisión 10%]]</f>
        <v>12.7222222222222</v>
      </c>
      <c r="U259" s="77">
        <f>STOCK[[#This Row],[Costo total]]*1.5</f>
        <v>19.0833333333333</v>
      </c>
      <c r="V259" s="77">
        <v>20</v>
      </c>
      <c r="W259" s="77">
        <f>STOCK[[#This Row],[Precio Final]]-STOCK[[#This Row],[Costo total]]</f>
        <v>7.27777777777778</v>
      </c>
      <c r="X259" s="77">
        <f>STOCK[[#This Row],[Ganancia Unitaria]]*STOCK[[#This Row],[Salidas]]</f>
        <v>21.8333333333333</v>
      </c>
      <c r="AA259" s="77">
        <f>STOCK[[#This Row],[Costo total]]*STOCK[[#This Row],[Entradas]]</f>
        <v>38.1666666666667</v>
      </c>
      <c r="AB259" s="77">
        <f>STOCK[[#This Row],[Stock Actual]]*STOCK[[#This Row],[Costo total]]</f>
        <v>0</v>
      </c>
    </row>
    <row r="260" s="76" customFormat="1" ht="50" customHeight="1" spans="1:28">
      <c r="A260" s="76" t="s">
        <v>565</v>
      </c>
      <c r="B260" s="6"/>
      <c r="C260" s="76" t="s">
        <v>30</v>
      </c>
      <c r="D260" s="76" t="s">
        <v>42</v>
      </c>
      <c r="E260" s="76" t="s">
        <v>566</v>
      </c>
      <c r="F260" s="76" t="s">
        <v>38</v>
      </c>
      <c r="G260" s="76" t="s">
        <v>34</v>
      </c>
      <c r="H260" s="76">
        <f>STOCK[[#This Row],[Precio Final]]</f>
        <v>20</v>
      </c>
      <c r="I260" s="76">
        <f>STOCK[[#This Row],[Precio Venta Ideal (x1.5)]]</f>
        <v>19.0833333333333</v>
      </c>
      <c r="J260" s="91">
        <v>3</v>
      </c>
      <c r="K260" s="91">
        <f>SUMIFS(VENTAS[Cantidad],VENTAS[Código del producto Vendido],STOCK[[#This Row],[Code]])</f>
        <v>3</v>
      </c>
      <c r="L260" s="91">
        <f>STOCK[[#This Row],[Entradas]]-STOCK[[#This Row],[Salidas]]</f>
        <v>0</v>
      </c>
      <c r="M260" s="76">
        <f>STOCK[[#This Row],[Precio Final]]*10%</f>
        <v>2</v>
      </c>
      <c r="N260" s="76">
        <v>166</v>
      </c>
      <c r="O260" s="76">
        <v>18</v>
      </c>
      <c r="P260" s="76">
        <v>9.22222222222222</v>
      </c>
      <c r="Q260" s="91">
        <v>150</v>
      </c>
      <c r="R260" s="76">
        <v>10</v>
      </c>
      <c r="S260" s="76">
        <f>STOCK[[#This Row],[Peso (g)]]*STOCK[[#This Row],[Precio Envío Kilogramo (USD)]]/1000</f>
        <v>1.5</v>
      </c>
      <c r="T260" s="76">
        <f>STOCK[[#This Row],[Costo Unitario (USD)]]+STOCK[[#This Row],[Costo Envío (USD)]]+STOCK[[#This Row],[Comisión 10%]]</f>
        <v>12.7222222222222</v>
      </c>
      <c r="U260" s="76">
        <f>STOCK[[#This Row],[Costo total]]*1.5</f>
        <v>19.0833333333333</v>
      </c>
      <c r="V260" s="76">
        <v>20</v>
      </c>
      <c r="W260" s="76">
        <f>STOCK[[#This Row],[Precio Final]]-STOCK[[#This Row],[Costo total]]</f>
        <v>7.27777777777778</v>
      </c>
      <c r="X260" s="76">
        <f>STOCK[[#This Row],[Ganancia Unitaria]]*STOCK[[#This Row],[Salidas]]</f>
        <v>21.8333333333333</v>
      </c>
      <c r="AA260" s="76">
        <f>STOCK[[#This Row],[Costo total]]*STOCK[[#This Row],[Entradas]]</f>
        <v>38.1666666666667</v>
      </c>
      <c r="AB260" s="76">
        <f>STOCK[[#This Row],[Stock Actual]]*STOCK[[#This Row],[Costo total]]</f>
        <v>0</v>
      </c>
    </row>
    <row r="261" s="77" customFormat="1" ht="50" customHeight="1" spans="1:28">
      <c r="A261" s="77" t="s">
        <v>567</v>
      </c>
      <c r="B261" s="6"/>
      <c r="C261" s="77" t="s">
        <v>30</v>
      </c>
      <c r="D261" s="77" t="s">
        <v>42</v>
      </c>
      <c r="E261" s="77" t="s">
        <v>568</v>
      </c>
      <c r="F261" s="77" t="s">
        <v>44</v>
      </c>
      <c r="G261" s="77" t="s">
        <v>34</v>
      </c>
      <c r="H261" s="77">
        <f>STOCK[[#This Row],[Precio Final]]</f>
        <v>20</v>
      </c>
      <c r="I261" s="77">
        <f>STOCK[[#This Row],[Precio Venta Ideal (x1.5)]]</f>
        <v>19.0833333333333</v>
      </c>
      <c r="J261" s="92">
        <v>3</v>
      </c>
      <c r="K261" s="92">
        <f>SUMIFS(VENTAS[Cantidad],VENTAS[Código del producto Vendido],STOCK[[#This Row],[Code]])</f>
        <v>3</v>
      </c>
      <c r="L261" s="92">
        <f>STOCK[[#This Row],[Entradas]]-STOCK[[#This Row],[Salidas]]</f>
        <v>0</v>
      </c>
      <c r="M261" s="77">
        <f>STOCK[[#This Row],[Precio Final]]*10%</f>
        <v>2</v>
      </c>
      <c r="N261" s="77">
        <v>166</v>
      </c>
      <c r="O261" s="77">
        <v>18</v>
      </c>
      <c r="P261" s="77">
        <v>9.22222222222222</v>
      </c>
      <c r="Q261" s="92">
        <v>150</v>
      </c>
      <c r="R261" s="77">
        <v>10</v>
      </c>
      <c r="S261" s="77">
        <f>STOCK[[#This Row],[Peso (g)]]*STOCK[[#This Row],[Precio Envío Kilogramo (USD)]]/1000</f>
        <v>1.5</v>
      </c>
      <c r="T261" s="76">
        <f>STOCK[[#This Row],[Costo Unitario (USD)]]+STOCK[[#This Row],[Costo Envío (USD)]]+STOCK[[#This Row],[Comisión 10%]]</f>
        <v>12.7222222222222</v>
      </c>
      <c r="U261" s="77">
        <f>STOCK[[#This Row],[Costo total]]*1.5</f>
        <v>19.0833333333333</v>
      </c>
      <c r="V261" s="77">
        <v>20</v>
      </c>
      <c r="W261" s="77">
        <f>STOCK[[#This Row],[Precio Final]]-STOCK[[#This Row],[Costo total]]</f>
        <v>7.27777777777778</v>
      </c>
      <c r="X261" s="77">
        <f>STOCK[[#This Row],[Ganancia Unitaria]]*STOCK[[#This Row],[Salidas]]</f>
        <v>21.8333333333333</v>
      </c>
      <c r="AA261" s="77">
        <f>STOCK[[#This Row],[Costo total]]*STOCK[[#This Row],[Entradas]]</f>
        <v>38.1666666666667</v>
      </c>
      <c r="AB261" s="77">
        <f>STOCK[[#This Row],[Stock Actual]]*STOCK[[#This Row],[Costo total]]</f>
        <v>0</v>
      </c>
    </row>
    <row r="262" s="76" customFormat="1" ht="50" customHeight="1" spans="1:28">
      <c r="A262" s="76" t="s">
        <v>569</v>
      </c>
      <c r="B262" s="6"/>
      <c r="C262" s="76" t="s">
        <v>30</v>
      </c>
      <c r="D262" s="76" t="s">
        <v>42</v>
      </c>
      <c r="E262" s="76" t="s">
        <v>570</v>
      </c>
      <c r="F262" s="76" t="s">
        <v>47</v>
      </c>
      <c r="G262" s="76" t="s">
        <v>34</v>
      </c>
      <c r="H262" s="76">
        <f>STOCK[[#This Row],[Precio Final]]</f>
        <v>20</v>
      </c>
      <c r="I262" s="76">
        <f>STOCK[[#This Row],[Precio Venta Ideal (x1.5)]]</f>
        <v>19.0833333333333</v>
      </c>
      <c r="J262" s="91">
        <v>3</v>
      </c>
      <c r="K262" s="91">
        <f>SUMIFS(VENTAS[Cantidad],VENTAS[Código del producto Vendido],STOCK[[#This Row],[Code]])</f>
        <v>3</v>
      </c>
      <c r="L262" s="91">
        <f>STOCK[[#This Row],[Entradas]]-STOCK[[#This Row],[Salidas]]</f>
        <v>0</v>
      </c>
      <c r="M262" s="76">
        <f>STOCK[[#This Row],[Precio Final]]*10%</f>
        <v>2</v>
      </c>
      <c r="N262" s="76">
        <v>166</v>
      </c>
      <c r="O262" s="76">
        <v>18</v>
      </c>
      <c r="P262" s="76">
        <v>9.22222222222222</v>
      </c>
      <c r="Q262" s="91">
        <v>150</v>
      </c>
      <c r="R262" s="76">
        <v>10</v>
      </c>
      <c r="S262" s="76">
        <f>STOCK[[#This Row],[Peso (g)]]*STOCK[[#This Row],[Precio Envío Kilogramo (USD)]]/1000</f>
        <v>1.5</v>
      </c>
      <c r="T262" s="76">
        <f>STOCK[[#This Row],[Costo Unitario (USD)]]+STOCK[[#This Row],[Costo Envío (USD)]]+STOCK[[#This Row],[Comisión 10%]]</f>
        <v>12.7222222222222</v>
      </c>
      <c r="U262" s="76">
        <f>STOCK[[#This Row],[Costo total]]*1.5</f>
        <v>19.0833333333333</v>
      </c>
      <c r="V262" s="76">
        <v>20</v>
      </c>
      <c r="W262" s="76">
        <f>STOCK[[#This Row],[Precio Final]]-STOCK[[#This Row],[Costo total]]</f>
        <v>7.27777777777778</v>
      </c>
      <c r="X262" s="76">
        <f>STOCK[[#This Row],[Ganancia Unitaria]]*STOCK[[#This Row],[Salidas]]</f>
        <v>21.8333333333333</v>
      </c>
      <c r="AA262" s="76">
        <f>STOCK[[#This Row],[Costo total]]*STOCK[[#This Row],[Entradas]]</f>
        <v>38.1666666666667</v>
      </c>
      <c r="AB262" s="76">
        <f>STOCK[[#This Row],[Stock Actual]]*STOCK[[#This Row],[Costo total]]</f>
        <v>0</v>
      </c>
    </row>
    <row r="263" s="77" customFormat="1" ht="50" customHeight="1" spans="1:28">
      <c r="A263" s="77" t="s">
        <v>571</v>
      </c>
      <c r="B263" s="6"/>
      <c r="C263" s="77" t="s">
        <v>30</v>
      </c>
      <c r="D263" s="77" t="s">
        <v>42</v>
      </c>
      <c r="E263" s="77" t="s">
        <v>572</v>
      </c>
      <c r="F263" s="77" t="s">
        <v>60</v>
      </c>
      <c r="G263" s="77" t="s">
        <v>34</v>
      </c>
      <c r="H263" s="77">
        <f>STOCK[[#This Row],[Precio Final]]</f>
        <v>20</v>
      </c>
      <c r="I263" s="77">
        <f>STOCK[[#This Row],[Precio Venta Ideal (x1.5)]]</f>
        <v>19.0833333333333</v>
      </c>
      <c r="J263" s="92">
        <v>3</v>
      </c>
      <c r="K263" s="92">
        <f>SUMIFS(VENTAS[Cantidad],VENTAS[Código del producto Vendido],STOCK[[#This Row],[Code]])</f>
        <v>3</v>
      </c>
      <c r="L263" s="92">
        <f>STOCK[[#This Row],[Entradas]]-STOCK[[#This Row],[Salidas]]</f>
        <v>0</v>
      </c>
      <c r="M263" s="77">
        <f>STOCK[[#This Row],[Precio Final]]*10%</f>
        <v>2</v>
      </c>
      <c r="N263" s="77">
        <v>166</v>
      </c>
      <c r="O263" s="77">
        <v>18</v>
      </c>
      <c r="P263" s="77">
        <v>9.22222222222222</v>
      </c>
      <c r="Q263" s="92">
        <v>150</v>
      </c>
      <c r="R263" s="77">
        <v>10</v>
      </c>
      <c r="S263" s="77">
        <f>STOCK[[#This Row],[Peso (g)]]*STOCK[[#This Row],[Precio Envío Kilogramo (USD)]]/1000</f>
        <v>1.5</v>
      </c>
      <c r="T263" s="76">
        <f>STOCK[[#This Row],[Costo Unitario (USD)]]+STOCK[[#This Row],[Costo Envío (USD)]]+STOCK[[#This Row],[Comisión 10%]]</f>
        <v>12.7222222222222</v>
      </c>
      <c r="U263" s="77">
        <f>STOCK[[#This Row],[Costo total]]*1.5</f>
        <v>19.0833333333333</v>
      </c>
      <c r="V263" s="77">
        <v>20</v>
      </c>
      <c r="W263" s="77">
        <f>STOCK[[#This Row],[Precio Final]]-STOCK[[#This Row],[Costo total]]</f>
        <v>7.27777777777778</v>
      </c>
      <c r="X263" s="77">
        <f>STOCK[[#This Row],[Ganancia Unitaria]]*STOCK[[#This Row],[Salidas]]</f>
        <v>21.8333333333333</v>
      </c>
      <c r="AA263" s="77">
        <f>STOCK[[#This Row],[Costo total]]*STOCK[[#This Row],[Entradas]]</f>
        <v>38.1666666666667</v>
      </c>
      <c r="AB263" s="77">
        <f>STOCK[[#This Row],[Stock Actual]]*STOCK[[#This Row],[Costo total]]</f>
        <v>0</v>
      </c>
    </row>
    <row r="264" s="76" customFormat="1" ht="50" customHeight="1" spans="1:28">
      <c r="A264" s="76" t="s">
        <v>573</v>
      </c>
      <c r="B264" s="6"/>
      <c r="C264" s="76" t="s">
        <v>30</v>
      </c>
      <c r="D264" s="76" t="s">
        <v>42</v>
      </c>
      <c r="E264" s="76" t="s">
        <v>574</v>
      </c>
      <c r="F264" s="76" t="s">
        <v>38</v>
      </c>
      <c r="G264" s="76" t="s">
        <v>34</v>
      </c>
      <c r="H264" s="76">
        <f>STOCK[[#This Row],[Precio Final]]</f>
        <v>20</v>
      </c>
      <c r="I264" s="76">
        <f>STOCK[[#This Row],[Precio Venta Ideal (x1.5)]]</f>
        <v>19.0833333333333</v>
      </c>
      <c r="J264" s="91">
        <v>3</v>
      </c>
      <c r="K264" s="91">
        <f>SUMIFS(VENTAS[Cantidad],VENTAS[Código del producto Vendido],STOCK[[#This Row],[Code]])</f>
        <v>3</v>
      </c>
      <c r="L264" s="91">
        <f>STOCK[[#This Row],[Entradas]]-STOCK[[#This Row],[Salidas]]</f>
        <v>0</v>
      </c>
      <c r="M264" s="76">
        <f>STOCK[[#This Row],[Precio Final]]*10%</f>
        <v>2</v>
      </c>
      <c r="N264" s="76">
        <v>166</v>
      </c>
      <c r="O264" s="76">
        <v>18</v>
      </c>
      <c r="P264" s="76">
        <v>9.22222222222222</v>
      </c>
      <c r="Q264" s="91">
        <v>150</v>
      </c>
      <c r="R264" s="76">
        <v>10</v>
      </c>
      <c r="S264" s="76">
        <f>STOCK[[#This Row],[Peso (g)]]*STOCK[[#This Row],[Precio Envío Kilogramo (USD)]]/1000</f>
        <v>1.5</v>
      </c>
      <c r="T264" s="76">
        <f>STOCK[[#This Row],[Costo Unitario (USD)]]+STOCK[[#This Row],[Costo Envío (USD)]]+STOCK[[#This Row],[Comisión 10%]]</f>
        <v>12.7222222222222</v>
      </c>
      <c r="U264" s="76">
        <f>STOCK[[#This Row],[Costo total]]*1.5</f>
        <v>19.0833333333333</v>
      </c>
      <c r="V264" s="76">
        <v>20</v>
      </c>
      <c r="W264" s="76">
        <f>STOCK[[#This Row],[Precio Final]]-STOCK[[#This Row],[Costo total]]</f>
        <v>7.27777777777778</v>
      </c>
      <c r="X264" s="76">
        <f>STOCK[[#This Row],[Ganancia Unitaria]]*STOCK[[#This Row],[Salidas]]</f>
        <v>21.8333333333333</v>
      </c>
      <c r="AA264" s="76">
        <f>STOCK[[#This Row],[Costo total]]*STOCK[[#This Row],[Entradas]]</f>
        <v>38.1666666666667</v>
      </c>
      <c r="AB264" s="76">
        <f>STOCK[[#This Row],[Stock Actual]]*STOCK[[#This Row],[Costo total]]</f>
        <v>0</v>
      </c>
    </row>
    <row r="265" s="77" customFormat="1" ht="50" customHeight="1" spans="1:28">
      <c r="A265" s="77" t="s">
        <v>575</v>
      </c>
      <c r="B265" s="6"/>
      <c r="C265" s="77" t="s">
        <v>30</v>
      </c>
      <c r="D265" s="77" t="s">
        <v>173</v>
      </c>
      <c r="E265" s="77" t="s">
        <v>576</v>
      </c>
      <c r="F265" s="77" t="s">
        <v>60</v>
      </c>
      <c r="G265" s="77" t="s">
        <v>34</v>
      </c>
      <c r="H265" s="77">
        <f>STOCK[[#This Row],[Precio Final]]</f>
        <v>10</v>
      </c>
      <c r="I265" s="77">
        <f>STOCK[[#This Row],[Precio Venta Ideal (x1.5)]]</f>
        <v>9.1375</v>
      </c>
      <c r="J265" s="92">
        <v>3</v>
      </c>
      <c r="K265" s="92">
        <f>SUMIFS(VENTAS[Cantidad],VENTAS[Código del producto Vendido],STOCK[[#This Row],[Code]])</f>
        <v>3</v>
      </c>
      <c r="L265" s="92">
        <f>STOCK[[#This Row],[Entradas]]-STOCK[[#This Row],[Salidas]]</f>
        <v>0</v>
      </c>
      <c r="M265" s="77">
        <f>STOCK[[#This Row],[Precio Final]]*10%</f>
        <v>1</v>
      </c>
      <c r="N265" s="77">
        <v>77.25</v>
      </c>
      <c r="O265" s="77">
        <v>18</v>
      </c>
      <c r="P265" s="77">
        <v>4.29166666666667</v>
      </c>
      <c r="Q265" s="92">
        <v>100</v>
      </c>
      <c r="R265" s="77">
        <v>8</v>
      </c>
      <c r="S265" s="77">
        <f>STOCK[[#This Row],[Peso (g)]]*STOCK[[#This Row],[Precio Envío Kilogramo (USD)]]/1000</f>
        <v>0.8</v>
      </c>
      <c r="T265" s="76">
        <f>STOCK[[#This Row],[Costo Unitario (USD)]]+STOCK[[#This Row],[Costo Envío (USD)]]+STOCK[[#This Row],[Comisión 10%]]</f>
        <v>6.09166666666667</v>
      </c>
      <c r="U265" s="77">
        <f>STOCK[[#This Row],[Costo total]]*1.5</f>
        <v>9.1375</v>
      </c>
      <c r="V265" s="77">
        <v>10</v>
      </c>
      <c r="W265" s="77">
        <f>STOCK[[#This Row],[Precio Final]]-STOCK[[#This Row],[Costo total]]</f>
        <v>3.90833333333333</v>
      </c>
      <c r="X265" s="77">
        <f>STOCK[[#This Row],[Ganancia Unitaria]]*STOCK[[#This Row],[Salidas]]</f>
        <v>11.725</v>
      </c>
      <c r="AA265" s="77">
        <f>STOCK[[#This Row],[Costo total]]*STOCK[[#This Row],[Entradas]]</f>
        <v>18.275</v>
      </c>
      <c r="AB265" s="77">
        <f>STOCK[[#This Row],[Stock Actual]]*STOCK[[#This Row],[Costo total]]</f>
        <v>0</v>
      </c>
    </row>
    <row r="266" s="76" customFormat="1" ht="50" customHeight="1" spans="1:28">
      <c r="A266" s="76" t="s">
        <v>577</v>
      </c>
      <c r="B266" s="6"/>
      <c r="C266" s="76" t="s">
        <v>30</v>
      </c>
      <c r="D266" s="76" t="s">
        <v>173</v>
      </c>
      <c r="E266" s="76" t="s">
        <v>578</v>
      </c>
      <c r="F266" s="76" t="s">
        <v>38</v>
      </c>
      <c r="G266" s="76" t="s">
        <v>34</v>
      </c>
      <c r="H266" s="76">
        <f>STOCK[[#This Row],[Precio Final]]</f>
        <v>10</v>
      </c>
      <c r="I266" s="76">
        <f>STOCK[[#This Row],[Precio Venta Ideal (x1.5)]]</f>
        <v>9.7</v>
      </c>
      <c r="J266" s="91">
        <v>3</v>
      </c>
      <c r="K266" s="91">
        <f>SUMIFS(VENTAS[Cantidad],VENTAS[Código del producto Vendido],STOCK[[#This Row],[Code]])</f>
        <v>3</v>
      </c>
      <c r="L266" s="91">
        <f>STOCK[[#This Row],[Entradas]]-STOCK[[#This Row],[Salidas]]</f>
        <v>0</v>
      </c>
      <c r="M266" s="76">
        <f>STOCK[[#This Row],[Precio Final]]*10%</f>
        <v>1</v>
      </c>
      <c r="N266" s="76">
        <v>84</v>
      </c>
      <c r="O266" s="76">
        <v>18</v>
      </c>
      <c r="P266" s="76">
        <v>4.66666666666667</v>
      </c>
      <c r="Q266" s="91">
        <v>100</v>
      </c>
      <c r="R266" s="76">
        <v>8</v>
      </c>
      <c r="S266" s="76">
        <f>STOCK[[#This Row],[Peso (g)]]*STOCK[[#This Row],[Precio Envío Kilogramo (USD)]]/1000</f>
        <v>0.8</v>
      </c>
      <c r="T266" s="76">
        <f>STOCK[[#This Row],[Costo Unitario (USD)]]+STOCK[[#This Row],[Costo Envío (USD)]]+STOCK[[#This Row],[Comisión 10%]]</f>
        <v>6.46666666666667</v>
      </c>
      <c r="U266" s="76">
        <f>STOCK[[#This Row],[Costo total]]*1.5</f>
        <v>9.7</v>
      </c>
      <c r="V266" s="76">
        <v>10</v>
      </c>
      <c r="W266" s="76">
        <f>STOCK[[#This Row],[Precio Final]]-STOCK[[#This Row],[Costo total]]</f>
        <v>3.53333333333333</v>
      </c>
      <c r="X266" s="76">
        <f>STOCK[[#This Row],[Ganancia Unitaria]]*STOCK[[#This Row],[Salidas]]</f>
        <v>10.6</v>
      </c>
      <c r="AA266" s="76">
        <f>STOCK[[#This Row],[Costo total]]*STOCK[[#This Row],[Entradas]]</f>
        <v>19.4</v>
      </c>
      <c r="AB266" s="76">
        <f>STOCK[[#This Row],[Stock Actual]]*STOCK[[#This Row],[Costo total]]</f>
        <v>0</v>
      </c>
    </row>
    <row r="267" s="77" customFormat="1" ht="50" customHeight="1" spans="1:28">
      <c r="A267" s="77" t="s">
        <v>579</v>
      </c>
      <c r="B267" s="6"/>
      <c r="C267" s="77" t="s">
        <v>30</v>
      </c>
      <c r="D267" s="77" t="s">
        <v>173</v>
      </c>
      <c r="E267" s="77" t="s">
        <v>580</v>
      </c>
      <c r="F267" s="77" t="s">
        <v>60</v>
      </c>
      <c r="G267" s="77" t="s">
        <v>34</v>
      </c>
      <c r="H267" s="77">
        <f>STOCK[[#This Row],[Precio Final]]</f>
        <v>10</v>
      </c>
      <c r="I267" s="77">
        <f>STOCK[[#This Row],[Precio Venta Ideal (x1.5)]]</f>
        <v>9.04</v>
      </c>
      <c r="J267" s="92">
        <v>3</v>
      </c>
      <c r="K267" s="92">
        <f>SUMIFS(VENTAS[Cantidad],VENTAS[Código del producto Vendido],STOCK[[#This Row],[Code]])</f>
        <v>3</v>
      </c>
      <c r="L267" s="92">
        <f>STOCK[[#This Row],[Entradas]]-STOCK[[#This Row],[Salidas]]</f>
        <v>0</v>
      </c>
      <c r="M267" s="77">
        <f>STOCK[[#This Row],[Precio Final]]*10%</f>
        <v>1</v>
      </c>
      <c r="N267" s="77">
        <v>84</v>
      </c>
      <c r="O267" s="77">
        <v>18</v>
      </c>
      <c r="P267" s="77">
        <v>4.66666666666667</v>
      </c>
      <c r="Q267" s="92">
        <v>45</v>
      </c>
      <c r="R267" s="77">
        <v>8</v>
      </c>
      <c r="S267" s="77">
        <f>STOCK[[#This Row],[Peso (g)]]*STOCK[[#This Row],[Precio Envío Kilogramo (USD)]]/1000</f>
        <v>0.36</v>
      </c>
      <c r="T267" s="76">
        <f>STOCK[[#This Row],[Costo Unitario (USD)]]+STOCK[[#This Row],[Costo Envío (USD)]]+STOCK[[#This Row],[Comisión 10%]]</f>
        <v>6.02666666666667</v>
      </c>
      <c r="U267" s="77">
        <f>STOCK[[#This Row],[Costo total]]*1.5</f>
        <v>9.04</v>
      </c>
      <c r="V267" s="77">
        <v>10</v>
      </c>
      <c r="W267" s="77">
        <f>STOCK[[#This Row],[Precio Final]]-STOCK[[#This Row],[Costo total]]</f>
        <v>3.97333333333333</v>
      </c>
      <c r="X267" s="77">
        <f>STOCK[[#This Row],[Ganancia Unitaria]]*STOCK[[#This Row],[Salidas]]</f>
        <v>11.92</v>
      </c>
      <c r="AA267" s="77">
        <f>STOCK[[#This Row],[Costo total]]*STOCK[[#This Row],[Entradas]]</f>
        <v>18.08</v>
      </c>
      <c r="AB267" s="77">
        <f>STOCK[[#This Row],[Stock Actual]]*STOCK[[#This Row],[Costo total]]</f>
        <v>0</v>
      </c>
    </row>
    <row r="268" s="76" customFormat="1" ht="50" customHeight="1" spans="1:28">
      <c r="A268" s="76" t="s">
        <v>581</v>
      </c>
      <c r="B268" s="6"/>
      <c r="C268" s="76" t="s">
        <v>30</v>
      </c>
      <c r="D268" s="76" t="s">
        <v>173</v>
      </c>
      <c r="E268" s="76" t="s">
        <v>582</v>
      </c>
      <c r="F268" s="76" t="s">
        <v>47</v>
      </c>
      <c r="G268" s="76" t="s">
        <v>34</v>
      </c>
      <c r="H268" s="76">
        <f>STOCK[[#This Row],[Precio Final]]</f>
        <v>10</v>
      </c>
      <c r="I268" s="76">
        <f>STOCK[[#This Row],[Precio Venta Ideal (x1.5)]]</f>
        <v>9.04</v>
      </c>
      <c r="J268" s="91">
        <v>3</v>
      </c>
      <c r="K268" s="91">
        <f>SUMIFS(VENTAS[Cantidad],VENTAS[Código del producto Vendido],STOCK[[#This Row],[Code]])</f>
        <v>3</v>
      </c>
      <c r="L268" s="91">
        <f>STOCK[[#This Row],[Entradas]]-STOCK[[#This Row],[Salidas]]</f>
        <v>0</v>
      </c>
      <c r="M268" s="76">
        <f>STOCK[[#This Row],[Precio Final]]*10%</f>
        <v>1</v>
      </c>
      <c r="N268" s="76">
        <v>84</v>
      </c>
      <c r="O268" s="76">
        <v>18</v>
      </c>
      <c r="P268" s="76">
        <v>4.66666666666667</v>
      </c>
      <c r="Q268" s="91">
        <v>45</v>
      </c>
      <c r="R268" s="76">
        <v>8</v>
      </c>
      <c r="S268" s="76">
        <f>STOCK[[#This Row],[Peso (g)]]*STOCK[[#This Row],[Precio Envío Kilogramo (USD)]]/1000</f>
        <v>0.36</v>
      </c>
      <c r="T268" s="76">
        <f>STOCK[[#This Row],[Costo Unitario (USD)]]+STOCK[[#This Row],[Costo Envío (USD)]]+STOCK[[#This Row],[Comisión 10%]]</f>
        <v>6.02666666666667</v>
      </c>
      <c r="U268" s="76">
        <f>STOCK[[#This Row],[Costo total]]*1.5</f>
        <v>9.04</v>
      </c>
      <c r="V268" s="76">
        <v>10</v>
      </c>
      <c r="W268" s="76">
        <f>STOCK[[#This Row],[Precio Final]]-STOCK[[#This Row],[Costo total]]</f>
        <v>3.97333333333333</v>
      </c>
      <c r="X268" s="76">
        <f>STOCK[[#This Row],[Ganancia Unitaria]]*STOCK[[#This Row],[Salidas]]</f>
        <v>11.92</v>
      </c>
      <c r="AA268" s="76">
        <f>STOCK[[#This Row],[Costo total]]*STOCK[[#This Row],[Entradas]]</f>
        <v>18.08</v>
      </c>
      <c r="AB268" s="76">
        <f>STOCK[[#This Row],[Stock Actual]]*STOCK[[#This Row],[Costo total]]</f>
        <v>0</v>
      </c>
    </row>
    <row r="269" s="77" customFormat="1" ht="50" customHeight="1" spans="1:28">
      <c r="A269" s="77" t="s">
        <v>583</v>
      </c>
      <c r="B269" s="6"/>
      <c r="C269" s="77" t="s">
        <v>30</v>
      </c>
      <c r="D269" s="77" t="s">
        <v>173</v>
      </c>
      <c r="E269" s="77" t="s">
        <v>584</v>
      </c>
      <c r="F269" s="77" t="s">
        <v>585</v>
      </c>
      <c r="G269" s="77" t="s">
        <v>34</v>
      </c>
      <c r="H269" s="77">
        <f>STOCK[[#This Row],[Precio Final]]</f>
        <v>9</v>
      </c>
      <c r="I269" s="77">
        <f>STOCK[[#This Row],[Precio Venta Ideal (x1.5)]]</f>
        <v>9.14</v>
      </c>
      <c r="J269" s="92">
        <v>4</v>
      </c>
      <c r="K269" s="92">
        <f>SUMIFS(VENTAS[Cantidad],VENTAS[Código del producto Vendido],STOCK[[#This Row],[Code]])</f>
        <v>4</v>
      </c>
      <c r="L269" s="92">
        <f>STOCK[[#This Row],[Entradas]]-STOCK[[#This Row],[Salidas]]</f>
        <v>0</v>
      </c>
      <c r="M269" s="77">
        <f>STOCK[[#This Row],[Precio Final]]*10%</f>
        <v>0.9</v>
      </c>
      <c r="N269" s="77">
        <v>87</v>
      </c>
      <c r="O269" s="77">
        <v>18</v>
      </c>
      <c r="P269" s="77">
        <v>4.83333333333333</v>
      </c>
      <c r="Q269" s="92">
        <v>45</v>
      </c>
      <c r="R269" s="77">
        <v>8</v>
      </c>
      <c r="S269" s="77">
        <f>STOCK[[#This Row],[Peso (g)]]*STOCK[[#This Row],[Precio Envío Kilogramo (USD)]]/1000</f>
        <v>0.36</v>
      </c>
      <c r="T269" s="76">
        <f>STOCK[[#This Row],[Costo Unitario (USD)]]+STOCK[[#This Row],[Costo Envío (USD)]]+STOCK[[#This Row],[Comisión 10%]]</f>
        <v>6.09333333333333</v>
      </c>
      <c r="U269" s="77">
        <f>STOCK[[#This Row],[Costo total]]*1.5</f>
        <v>9.14</v>
      </c>
      <c r="V269" s="77">
        <v>9</v>
      </c>
      <c r="W269" s="77">
        <f>STOCK[[#This Row],[Precio Final]]-STOCK[[#This Row],[Costo total]]</f>
        <v>2.90666666666667</v>
      </c>
      <c r="X269" s="77">
        <f>STOCK[[#This Row],[Ganancia Unitaria]]*STOCK[[#This Row],[Salidas]]</f>
        <v>11.6266666666667</v>
      </c>
      <c r="AA269" s="77">
        <f>STOCK[[#This Row],[Costo total]]*STOCK[[#This Row],[Entradas]]</f>
        <v>24.3733333333333</v>
      </c>
      <c r="AB269" s="77">
        <f>STOCK[[#This Row],[Stock Actual]]*STOCK[[#This Row],[Costo total]]</f>
        <v>0</v>
      </c>
    </row>
    <row r="270" s="76" customFormat="1" ht="50" customHeight="1" spans="1:29">
      <c r="A270" s="76" t="s">
        <v>586</v>
      </c>
      <c r="B270" s="6"/>
      <c r="C270" s="76" t="s">
        <v>30</v>
      </c>
      <c r="D270" s="76" t="s">
        <v>293</v>
      </c>
      <c r="E270" s="76" t="s">
        <v>584</v>
      </c>
      <c r="F270" s="76" t="s">
        <v>60</v>
      </c>
      <c r="G270" s="76" t="s">
        <v>34</v>
      </c>
      <c r="H270" s="76">
        <f>STOCK[[#This Row],[Precio Final]]</f>
        <v>12</v>
      </c>
      <c r="I270" s="76">
        <f>STOCK[[#This Row],[Precio Venta Ideal (x1.5)]]</f>
        <v>9.59</v>
      </c>
      <c r="J270" s="91">
        <v>4</v>
      </c>
      <c r="K270" s="91">
        <f>SUMIFS(VENTAS[Cantidad],VENTAS[Código del producto Vendido],STOCK[[#This Row],[Code]])</f>
        <v>4</v>
      </c>
      <c r="L270" s="91">
        <f>STOCK[[#This Row],[Entradas]]-STOCK[[#This Row],[Salidas]]</f>
        <v>0</v>
      </c>
      <c r="M270" s="76">
        <f>STOCK[[#This Row],[Precio Final]]*10%</f>
        <v>1.2</v>
      </c>
      <c r="N270" s="76">
        <v>87</v>
      </c>
      <c r="O270" s="76">
        <v>18</v>
      </c>
      <c r="P270" s="76">
        <v>4.83333333333333</v>
      </c>
      <c r="Q270" s="91">
        <v>45</v>
      </c>
      <c r="R270" s="76">
        <v>8</v>
      </c>
      <c r="S270" s="76">
        <f>STOCK[[#This Row],[Peso (g)]]*STOCK[[#This Row],[Precio Envío Kilogramo (USD)]]/1000</f>
        <v>0.36</v>
      </c>
      <c r="T270" s="76">
        <f>STOCK[[#This Row],[Costo Unitario (USD)]]+STOCK[[#This Row],[Costo Envío (USD)]]+STOCK[[#This Row],[Comisión 10%]]</f>
        <v>6.39333333333333</v>
      </c>
      <c r="U270" s="76">
        <f>STOCK[[#This Row],[Costo total]]*1.5</f>
        <v>9.59</v>
      </c>
      <c r="V270" s="76">
        <v>12</v>
      </c>
      <c r="W270" s="76">
        <f>STOCK[[#This Row],[Precio Final]]-STOCK[[#This Row],[Costo total]]</f>
        <v>5.60666666666667</v>
      </c>
      <c r="X270" s="76">
        <f>STOCK[[#This Row],[Ganancia Unitaria]]*STOCK[[#This Row],[Salidas]]</f>
        <v>22.4266666666667</v>
      </c>
      <c r="AA270" s="76">
        <f>STOCK[[#This Row],[Costo total]]*STOCK[[#This Row],[Entradas]]</f>
        <v>25.5733333333333</v>
      </c>
      <c r="AB270" s="76">
        <f>STOCK[[#This Row],[Stock Actual]]*STOCK[[#This Row],[Costo total]]</f>
        <v>0</v>
      </c>
      <c r="AC270" s="76">
        <v>9</v>
      </c>
    </row>
    <row r="271" s="77" customFormat="1" ht="50" customHeight="1" spans="1:29">
      <c r="A271" s="77" t="s">
        <v>587</v>
      </c>
      <c r="B271" s="6"/>
      <c r="C271" s="77" t="s">
        <v>30</v>
      </c>
      <c r="D271" s="76" t="s">
        <v>293</v>
      </c>
      <c r="E271" s="77" t="s">
        <v>588</v>
      </c>
      <c r="F271" s="77" t="s">
        <v>38</v>
      </c>
      <c r="G271" s="77" t="s">
        <v>34</v>
      </c>
      <c r="H271" s="77">
        <f>STOCK[[#This Row],[Precio Final]]</f>
        <v>12</v>
      </c>
      <c r="I271" s="77">
        <f>STOCK[[#This Row],[Precio Venta Ideal (x1.5)]]</f>
        <v>10.4025</v>
      </c>
      <c r="J271" s="92">
        <v>3</v>
      </c>
      <c r="K271" s="92">
        <f>SUMIFS(VENTAS[Cantidad],VENTAS[Código del producto Vendido],STOCK[[#This Row],[Code]])</f>
        <v>2</v>
      </c>
      <c r="L271" s="92">
        <f>STOCK[[#This Row],[Entradas]]-STOCK[[#This Row],[Salidas]]</f>
        <v>1</v>
      </c>
      <c r="M271" s="77">
        <f>STOCK[[#This Row],[Precio Final]]*10%</f>
        <v>1.2</v>
      </c>
      <c r="N271" s="77">
        <v>96.75</v>
      </c>
      <c r="O271" s="77">
        <v>18</v>
      </c>
      <c r="P271" s="77">
        <v>5.375</v>
      </c>
      <c r="Q271" s="92">
        <v>45</v>
      </c>
      <c r="R271" s="77">
        <v>8</v>
      </c>
      <c r="S271" s="77">
        <f>STOCK[[#This Row],[Peso (g)]]*STOCK[[#This Row],[Precio Envío Kilogramo (USD)]]/1000</f>
        <v>0.36</v>
      </c>
      <c r="T271" s="76">
        <f>STOCK[[#This Row],[Costo Unitario (USD)]]+STOCK[[#This Row],[Costo Envío (USD)]]+STOCK[[#This Row],[Comisión 10%]]</f>
        <v>6.935</v>
      </c>
      <c r="U271" s="77">
        <f>STOCK[[#This Row],[Costo total]]*1.5</f>
        <v>10.4025</v>
      </c>
      <c r="V271" s="77">
        <v>12</v>
      </c>
      <c r="W271" s="77">
        <f>STOCK[[#This Row],[Precio Final]]-STOCK[[#This Row],[Costo total]]</f>
        <v>5.065</v>
      </c>
      <c r="X271" s="77">
        <f>STOCK[[#This Row],[Ganancia Unitaria]]*STOCK[[#This Row],[Salidas]]</f>
        <v>10.13</v>
      </c>
      <c r="AA271" s="77">
        <f>STOCK[[#This Row],[Costo total]]*STOCK[[#This Row],[Entradas]]</f>
        <v>20.805</v>
      </c>
      <c r="AB271" s="77">
        <f>STOCK[[#This Row],[Stock Actual]]*STOCK[[#This Row],[Costo total]]</f>
        <v>6.935</v>
      </c>
      <c r="AC271" s="77">
        <v>9</v>
      </c>
    </row>
    <row r="272" s="76" customFormat="1" ht="50" customHeight="1" spans="1:28">
      <c r="A272" s="76" t="s">
        <v>589</v>
      </c>
      <c r="B272" s="6"/>
      <c r="C272" s="76" t="s">
        <v>30</v>
      </c>
      <c r="D272" s="76" t="s">
        <v>293</v>
      </c>
      <c r="E272" s="76" t="s">
        <v>590</v>
      </c>
      <c r="F272" s="76" t="s">
        <v>60</v>
      </c>
      <c r="G272" s="76" t="s">
        <v>34</v>
      </c>
      <c r="H272" s="76">
        <f>STOCK[[#This Row],[Precio Final]]</f>
        <v>15</v>
      </c>
      <c r="I272" s="76">
        <f>STOCK[[#This Row],[Precio Venta Ideal (x1.5)]]</f>
        <v>10.8525</v>
      </c>
      <c r="J272" s="91">
        <v>1</v>
      </c>
      <c r="K272" s="91">
        <f>SUMIFS(VENTAS[Cantidad],VENTAS[Código del producto Vendido],STOCK[[#This Row],[Code]])</f>
        <v>1</v>
      </c>
      <c r="L272" s="91">
        <f>STOCK[[#This Row],[Entradas]]-STOCK[[#This Row],[Salidas]]</f>
        <v>0</v>
      </c>
      <c r="M272" s="76">
        <f>STOCK[[#This Row],[Precio Final]]*10%</f>
        <v>1.5</v>
      </c>
      <c r="N272" s="76">
        <v>96.75</v>
      </c>
      <c r="O272" s="76">
        <v>18</v>
      </c>
      <c r="P272" s="76">
        <v>5.375</v>
      </c>
      <c r="Q272" s="91">
        <v>45</v>
      </c>
      <c r="R272" s="76">
        <v>8</v>
      </c>
      <c r="S272" s="76">
        <f>STOCK[[#This Row],[Peso (g)]]*STOCK[[#This Row],[Precio Envío Kilogramo (USD)]]/1000</f>
        <v>0.36</v>
      </c>
      <c r="T272" s="76">
        <f>STOCK[[#This Row],[Costo Unitario (USD)]]+STOCK[[#This Row],[Costo Envío (USD)]]+STOCK[[#This Row],[Comisión 10%]]</f>
        <v>7.235</v>
      </c>
      <c r="U272" s="76">
        <f>STOCK[[#This Row],[Costo total]]*1.5</f>
        <v>10.8525</v>
      </c>
      <c r="V272" s="76">
        <v>15</v>
      </c>
      <c r="W272" s="76">
        <f>STOCK[[#This Row],[Precio Final]]-STOCK[[#This Row],[Costo total]]</f>
        <v>7.765</v>
      </c>
      <c r="X272" s="76">
        <f>STOCK[[#This Row],[Ganancia Unitaria]]*STOCK[[#This Row],[Salidas]]</f>
        <v>7.765</v>
      </c>
      <c r="AA272" s="76">
        <f>STOCK[[#This Row],[Costo total]]*STOCK[[#This Row],[Entradas]]</f>
        <v>7.235</v>
      </c>
      <c r="AB272" s="76">
        <f>STOCK[[#This Row],[Stock Actual]]*STOCK[[#This Row],[Costo total]]</f>
        <v>0</v>
      </c>
    </row>
    <row r="273" s="77" customFormat="1" ht="50" customHeight="1" spans="1:28">
      <c r="A273" s="77" t="s">
        <v>591</v>
      </c>
      <c r="B273" s="6"/>
      <c r="C273" s="77" t="s">
        <v>30</v>
      </c>
      <c r="D273" s="76" t="s">
        <v>293</v>
      </c>
      <c r="E273" s="77" t="s">
        <v>592</v>
      </c>
      <c r="F273" s="77" t="s">
        <v>47</v>
      </c>
      <c r="G273" s="77" t="s">
        <v>34</v>
      </c>
      <c r="H273" s="77">
        <f>STOCK[[#This Row],[Precio Final]]</f>
        <v>15</v>
      </c>
      <c r="I273" s="77">
        <f>STOCK[[#This Row],[Precio Venta Ideal (x1.5)]]</f>
        <v>10.8525</v>
      </c>
      <c r="J273" s="92">
        <v>3</v>
      </c>
      <c r="K273" s="92">
        <f>SUMIFS(VENTAS[Cantidad],VENTAS[Código del producto Vendido],STOCK[[#This Row],[Code]])</f>
        <v>3</v>
      </c>
      <c r="L273" s="92">
        <f>STOCK[[#This Row],[Entradas]]-STOCK[[#This Row],[Salidas]]</f>
        <v>0</v>
      </c>
      <c r="M273" s="77">
        <f>STOCK[[#This Row],[Precio Final]]*10%</f>
        <v>1.5</v>
      </c>
      <c r="N273" s="77">
        <v>96.75</v>
      </c>
      <c r="O273" s="77">
        <v>18</v>
      </c>
      <c r="P273" s="77">
        <v>5.375</v>
      </c>
      <c r="Q273" s="92">
        <v>45</v>
      </c>
      <c r="R273" s="77">
        <v>8</v>
      </c>
      <c r="S273" s="77">
        <f>STOCK[[#This Row],[Peso (g)]]*STOCK[[#This Row],[Precio Envío Kilogramo (USD)]]/1000</f>
        <v>0.36</v>
      </c>
      <c r="T273" s="76">
        <f>STOCK[[#This Row],[Costo Unitario (USD)]]+STOCK[[#This Row],[Costo Envío (USD)]]+STOCK[[#This Row],[Comisión 10%]]</f>
        <v>7.235</v>
      </c>
      <c r="U273" s="77">
        <f>STOCK[[#This Row],[Costo total]]*1.5</f>
        <v>10.8525</v>
      </c>
      <c r="V273" s="77">
        <v>15</v>
      </c>
      <c r="W273" s="77">
        <f>STOCK[[#This Row],[Precio Final]]-STOCK[[#This Row],[Costo total]]</f>
        <v>7.765</v>
      </c>
      <c r="X273" s="77">
        <f>STOCK[[#This Row],[Ganancia Unitaria]]*STOCK[[#This Row],[Salidas]]</f>
        <v>23.295</v>
      </c>
      <c r="AA273" s="77">
        <f>STOCK[[#This Row],[Costo total]]*STOCK[[#This Row],[Entradas]]</f>
        <v>21.705</v>
      </c>
      <c r="AB273" s="77">
        <f>STOCK[[#This Row],[Stock Actual]]*STOCK[[#This Row],[Costo total]]</f>
        <v>0</v>
      </c>
    </row>
    <row r="274" s="76" customFormat="1" ht="50" customHeight="1" spans="1:29">
      <c r="A274" s="76" t="s">
        <v>593</v>
      </c>
      <c r="B274" s="6"/>
      <c r="C274" s="76" t="s">
        <v>30</v>
      </c>
      <c r="D274" s="76" t="s">
        <v>293</v>
      </c>
      <c r="E274" s="76" t="s">
        <v>594</v>
      </c>
      <c r="F274" s="76" t="s">
        <v>38</v>
      </c>
      <c r="G274" s="76" t="s">
        <v>34</v>
      </c>
      <c r="H274" s="76">
        <f>STOCK[[#This Row],[Precio Final]]</f>
        <v>12</v>
      </c>
      <c r="I274" s="76">
        <f>STOCK[[#This Row],[Precio Venta Ideal (x1.5)]]</f>
        <v>9.4025</v>
      </c>
      <c r="J274" s="91">
        <v>3</v>
      </c>
      <c r="K274" s="91">
        <f>SUMIFS(VENTAS[Cantidad],VENTAS[Código del producto Vendido],STOCK[[#This Row],[Code]])</f>
        <v>0</v>
      </c>
      <c r="L274" s="91">
        <f>STOCK[[#This Row],[Entradas]]-STOCK[[#This Row],[Salidas]]</f>
        <v>3</v>
      </c>
      <c r="M274" s="76">
        <f>STOCK[[#This Row],[Precio Final]]*10%</f>
        <v>1.2</v>
      </c>
      <c r="N274" s="76">
        <v>84.75</v>
      </c>
      <c r="O274" s="76">
        <v>18</v>
      </c>
      <c r="P274" s="76">
        <v>4.70833333333333</v>
      </c>
      <c r="Q274" s="91">
        <v>45</v>
      </c>
      <c r="R274" s="76">
        <v>8</v>
      </c>
      <c r="S274" s="76">
        <f>STOCK[[#This Row],[Peso (g)]]*STOCK[[#This Row],[Precio Envío Kilogramo (USD)]]/1000</f>
        <v>0.36</v>
      </c>
      <c r="T274" s="76">
        <f>STOCK[[#This Row],[Costo Unitario (USD)]]+STOCK[[#This Row],[Costo Envío (USD)]]+STOCK[[#This Row],[Comisión 10%]]</f>
        <v>6.26833333333333</v>
      </c>
      <c r="U274" s="76">
        <f>STOCK[[#This Row],[Costo total]]*1.5</f>
        <v>9.4025</v>
      </c>
      <c r="V274" s="76">
        <v>12</v>
      </c>
      <c r="W274" s="76">
        <f>STOCK[[#This Row],[Precio Final]]-STOCK[[#This Row],[Costo total]]</f>
        <v>5.73166666666667</v>
      </c>
      <c r="X274" s="76">
        <f>STOCK[[#This Row],[Ganancia Unitaria]]*STOCK[[#This Row],[Salidas]]</f>
        <v>0</v>
      </c>
      <c r="AA274" s="76">
        <f>STOCK[[#This Row],[Costo total]]*STOCK[[#This Row],[Entradas]]</f>
        <v>18.805</v>
      </c>
      <c r="AB274" s="76">
        <f>STOCK[[#This Row],[Stock Actual]]*STOCK[[#This Row],[Costo total]]</f>
        <v>18.805</v>
      </c>
      <c r="AC274" s="76">
        <v>9</v>
      </c>
    </row>
    <row r="275" s="77" customFormat="1" ht="50" customHeight="1" spans="1:28">
      <c r="A275" s="77" t="s">
        <v>595</v>
      </c>
      <c r="B275" s="6"/>
      <c r="C275" s="77" t="s">
        <v>30</v>
      </c>
      <c r="D275" s="77" t="s">
        <v>173</v>
      </c>
      <c r="E275" s="77" t="s">
        <v>594</v>
      </c>
      <c r="F275" s="77" t="s">
        <v>60</v>
      </c>
      <c r="G275" s="77" t="s">
        <v>34</v>
      </c>
      <c r="H275" s="77">
        <f>STOCK[[#This Row],[Precio Final]]</f>
        <v>9</v>
      </c>
      <c r="I275" s="77">
        <f>STOCK[[#This Row],[Precio Venta Ideal (x1.5)]]</f>
        <v>8.9525</v>
      </c>
      <c r="J275" s="92">
        <v>4</v>
      </c>
      <c r="K275" s="92">
        <f>SUMIFS(VENTAS[Cantidad],VENTAS[Código del producto Vendido],STOCK[[#This Row],[Code]])</f>
        <v>4</v>
      </c>
      <c r="L275" s="92">
        <f>STOCK[[#This Row],[Entradas]]-STOCK[[#This Row],[Salidas]]</f>
        <v>0</v>
      </c>
      <c r="M275" s="77">
        <f>STOCK[[#This Row],[Precio Final]]*10%</f>
        <v>0.9</v>
      </c>
      <c r="N275" s="77">
        <v>84.75</v>
      </c>
      <c r="O275" s="77">
        <v>18</v>
      </c>
      <c r="P275" s="77">
        <v>4.70833333333333</v>
      </c>
      <c r="Q275" s="92">
        <v>45</v>
      </c>
      <c r="R275" s="77">
        <v>8</v>
      </c>
      <c r="S275" s="77">
        <f>STOCK[[#This Row],[Peso (g)]]*STOCK[[#This Row],[Precio Envío Kilogramo (USD)]]/1000</f>
        <v>0.36</v>
      </c>
      <c r="T275" s="76">
        <f>STOCK[[#This Row],[Costo Unitario (USD)]]+STOCK[[#This Row],[Costo Envío (USD)]]+STOCK[[#This Row],[Comisión 10%]]</f>
        <v>5.96833333333333</v>
      </c>
      <c r="U275" s="77">
        <f>STOCK[[#This Row],[Costo total]]*1.5</f>
        <v>8.9525</v>
      </c>
      <c r="V275" s="77">
        <v>9</v>
      </c>
      <c r="W275" s="77">
        <f>STOCK[[#This Row],[Precio Final]]-STOCK[[#This Row],[Costo total]]</f>
        <v>3.03166666666667</v>
      </c>
      <c r="X275" s="77">
        <f>STOCK[[#This Row],[Ganancia Unitaria]]*STOCK[[#This Row],[Salidas]]</f>
        <v>12.1266666666667</v>
      </c>
      <c r="AA275" s="77">
        <f>STOCK[[#This Row],[Costo total]]*STOCK[[#This Row],[Entradas]]</f>
        <v>23.8733333333333</v>
      </c>
      <c r="AB275" s="77">
        <f>STOCK[[#This Row],[Stock Actual]]*STOCK[[#This Row],[Costo total]]</f>
        <v>0</v>
      </c>
    </row>
    <row r="276" s="76" customFormat="1" ht="50" customHeight="1" spans="1:29">
      <c r="A276" s="76" t="s">
        <v>596</v>
      </c>
      <c r="B276" s="6"/>
      <c r="C276" s="76" t="s">
        <v>30</v>
      </c>
      <c r="D276" s="76" t="s">
        <v>293</v>
      </c>
      <c r="E276" s="76" t="s">
        <v>594</v>
      </c>
      <c r="F276" s="76" t="s">
        <v>47</v>
      </c>
      <c r="G276" s="76" t="s">
        <v>34</v>
      </c>
      <c r="H276" s="76">
        <f>STOCK[[#This Row],[Precio Final]]</f>
        <v>12</v>
      </c>
      <c r="I276" s="76">
        <f>STOCK[[#This Row],[Precio Venta Ideal (x1.5)]]</f>
        <v>9.4025</v>
      </c>
      <c r="J276" s="91">
        <v>3</v>
      </c>
      <c r="K276" s="91">
        <f>SUMIFS(VENTAS[Cantidad],VENTAS[Código del producto Vendido],STOCK[[#This Row],[Code]])</f>
        <v>2</v>
      </c>
      <c r="L276" s="91">
        <f>STOCK[[#This Row],[Entradas]]-STOCK[[#This Row],[Salidas]]</f>
        <v>1</v>
      </c>
      <c r="M276" s="76">
        <f>STOCK[[#This Row],[Precio Final]]*10%</f>
        <v>1.2</v>
      </c>
      <c r="N276" s="76">
        <v>84.75</v>
      </c>
      <c r="O276" s="76">
        <v>18</v>
      </c>
      <c r="P276" s="76">
        <v>4.70833333333333</v>
      </c>
      <c r="Q276" s="91">
        <v>45</v>
      </c>
      <c r="R276" s="76">
        <v>8</v>
      </c>
      <c r="S276" s="76">
        <f>STOCK[[#This Row],[Peso (g)]]*STOCK[[#This Row],[Precio Envío Kilogramo (USD)]]/1000</f>
        <v>0.36</v>
      </c>
      <c r="T276" s="76">
        <f>STOCK[[#This Row],[Costo Unitario (USD)]]+STOCK[[#This Row],[Costo Envío (USD)]]+STOCK[[#This Row],[Comisión 10%]]</f>
        <v>6.26833333333333</v>
      </c>
      <c r="U276" s="76">
        <f>STOCK[[#This Row],[Costo total]]*1.5</f>
        <v>9.4025</v>
      </c>
      <c r="V276" s="76">
        <v>12</v>
      </c>
      <c r="W276" s="76">
        <f>STOCK[[#This Row],[Precio Final]]-STOCK[[#This Row],[Costo total]]</f>
        <v>5.73166666666667</v>
      </c>
      <c r="X276" s="76">
        <f>STOCK[[#This Row],[Ganancia Unitaria]]*STOCK[[#This Row],[Salidas]]</f>
        <v>11.4633333333333</v>
      </c>
      <c r="AA276" s="76">
        <f>STOCK[[#This Row],[Costo total]]*STOCK[[#This Row],[Entradas]]</f>
        <v>18.805</v>
      </c>
      <c r="AB276" s="76">
        <f>STOCK[[#This Row],[Stock Actual]]*STOCK[[#This Row],[Costo total]]</f>
        <v>6.26833333333333</v>
      </c>
      <c r="AC276" s="76">
        <v>9</v>
      </c>
    </row>
    <row r="277" s="77" customFormat="1" ht="50" customHeight="1" spans="1:29">
      <c r="A277" s="77" t="s">
        <v>597</v>
      </c>
      <c r="B277" s="6"/>
      <c r="C277" s="77" t="s">
        <v>30</v>
      </c>
      <c r="D277" s="76" t="s">
        <v>293</v>
      </c>
      <c r="E277" s="77" t="s">
        <v>598</v>
      </c>
      <c r="F277" s="77" t="s">
        <v>38</v>
      </c>
      <c r="G277" s="77" t="s">
        <v>34</v>
      </c>
      <c r="H277" s="77">
        <f>STOCK[[#This Row],[Precio Final]]</f>
        <v>12</v>
      </c>
      <c r="I277" s="77">
        <f>STOCK[[#This Row],[Precio Venta Ideal (x1.5)]]</f>
        <v>10.1525</v>
      </c>
      <c r="J277" s="92">
        <v>3</v>
      </c>
      <c r="K277" s="92">
        <f>SUMIFS(VENTAS[Cantidad],VENTAS[Código del producto Vendido],STOCK[[#This Row],[Code]])</f>
        <v>2</v>
      </c>
      <c r="L277" s="92">
        <f>STOCK[[#This Row],[Entradas]]-STOCK[[#This Row],[Salidas]]</f>
        <v>1</v>
      </c>
      <c r="M277" s="77">
        <f>STOCK[[#This Row],[Precio Final]]*10%</f>
        <v>1.2</v>
      </c>
      <c r="N277" s="77">
        <v>93.75</v>
      </c>
      <c r="O277" s="77">
        <v>18</v>
      </c>
      <c r="P277" s="77">
        <v>5.20833333333333</v>
      </c>
      <c r="Q277" s="92">
        <v>45</v>
      </c>
      <c r="R277" s="77">
        <v>8</v>
      </c>
      <c r="S277" s="77">
        <f>STOCK[[#This Row],[Peso (g)]]*STOCK[[#This Row],[Precio Envío Kilogramo (USD)]]/1000</f>
        <v>0.36</v>
      </c>
      <c r="T277" s="76">
        <f>STOCK[[#This Row],[Costo Unitario (USD)]]+STOCK[[#This Row],[Costo Envío (USD)]]+STOCK[[#This Row],[Comisión 10%]]</f>
        <v>6.76833333333333</v>
      </c>
      <c r="U277" s="77">
        <f>STOCK[[#This Row],[Costo total]]*1.5</f>
        <v>10.1525</v>
      </c>
      <c r="V277" s="77">
        <v>12</v>
      </c>
      <c r="W277" s="77">
        <f>STOCK[[#This Row],[Precio Final]]-STOCK[[#This Row],[Costo total]]</f>
        <v>5.23166666666667</v>
      </c>
      <c r="X277" s="77">
        <f>STOCK[[#This Row],[Ganancia Unitaria]]*STOCK[[#This Row],[Salidas]]</f>
        <v>10.4633333333333</v>
      </c>
      <c r="AA277" s="77">
        <f>STOCK[[#This Row],[Costo total]]*STOCK[[#This Row],[Entradas]]</f>
        <v>20.305</v>
      </c>
      <c r="AB277" s="77">
        <f>STOCK[[#This Row],[Stock Actual]]*STOCK[[#This Row],[Costo total]]</f>
        <v>6.76833333333333</v>
      </c>
      <c r="AC277" s="77">
        <v>9</v>
      </c>
    </row>
    <row r="278" s="76" customFormat="1" ht="50" customHeight="1" spans="1:29">
      <c r="A278" s="76" t="s">
        <v>599</v>
      </c>
      <c r="B278" s="6"/>
      <c r="C278" s="76" t="s">
        <v>30</v>
      </c>
      <c r="D278" s="76" t="s">
        <v>293</v>
      </c>
      <c r="E278" s="76" t="s">
        <v>598</v>
      </c>
      <c r="F278" s="76" t="s">
        <v>60</v>
      </c>
      <c r="G278" s="76" t="s">
        <v>34</v>
      </c>
      <c r="H278" s="76">
        <f>STOCK[[#This Row],[Precio Final]]</f>
        <v>12</v>
      </c>
      <c r="I278" s="76">
        <f>STOCK[[#This Row],[Precio Venta Ideal (x1.5)]]</f>
        <v>10.1525</v>
      </c>
      <c r="J278" s="91">
        <v>3</v>
      </c>
      <c r="K278" s="91">
        <f>SUMIFS(VENTAS[Cantidad],VENTAS[Código del producto Vendido],STOCK[[#This Row],[Code]])</f>
        <v>2</v>
      </c>
      <c r="L278" s="91">
        <f>STOCK[[#This Row],[Entradas]]-STOCK[[#This Row],[Salidas]]</f>
        <v>1</v>
      </c>
      <c r="M278" s="76">
        <f>STOCK[[#This Row],[Precio Final]]*10%</f>
        <v>1.2</v>
      </c>
      <c r="N278" s="76">
        <v>93.75</v>
      </c>
      <c r="O278" s="76">
        <v>18</v>
      </c>
      <c r="P278" s="76">
        <v>5.20833333333333</v>
      </c>
      <c r="Q278" s="91">
        <v>45</v>
      </c>
      <c r="R278" s="76">
        <v>8</v>
      </c>
      <c r="S278" s="76">
        <f>STOCK[[#This Row],[Peso (g)]]*STOCK[[#This Row],[Precio Envío Kilogramo (USD)]]/1000</f>
        <v>0.36</v>
      </c>
      <c r="T278" s="76">
        <f>STOCK[[#This Row],[Costo Unitario (USD)]]+STOCK[[#This Row],[Costo Envío (USD)]]+STOCK[[#This Row],[Comisión 10%]]</f>
        <v>6.76833333333333</v>
      </c>
      <c r="U278" s="76">
        <f>STOCK[[#This Row],[Costo total]]*1.5</f>
        <v>10.1525</v>
      </c>
      <c r="V278" s="76">
        <v>12</v>
      </c>
      <c r="W278" s="76">
        <f>STOCK[[#This Row],[Precio Final]]-STOCK[[#This Row],[Costo total]]</f>
        <v>5.23166666666667</v>
      </c>
      <c r="X278" s="76">
        <f>STOCK[[#This Row],[Ganancia Unitaria]]*STOCK[[#This Row],[Salidas]]</f>
        <v>10.4633333333333</v>
      </c>
      <c r="AA278" s="76">
        <f>STOCK[[#This Row],[Costo total]]*STOCK[[#This Row],[Entradas]]</f>
        <v>20.305</v>
      </c>
      <c r="AB278" s="76">
        <f>STOCK[[#This Row],[Stock Actual]]*STOCK[[#This Row],[Costo total]]</f>
        <v>6.76833333333333</v>
      </c>
      <c r="AC278" s="76">
        <v>9</v>
      </c>
    </row>
    <row r="279" s="77" customFormat="1" ht="50" customHeight="1" spans="1:29">
      <c r="A279" s="77" t="s">
        <v>600</v>
      </c>
      <c r="B279" s="6"/>
      <c r="C279" s="77" t="s">
        <v>30</v>
      </c>
      <c r="D279" s="77" t="s">
        <v>293</v>
      </c>
      <c r="E279" s="77" t="s">
        <v>598</v>
      </c>
      <c r="F279" s="77" t="s">
        <v>47</v>
      </c>
      <c r="G279" s="77" t="s">
        <v>34</v>
      </c>
      <c r="H279" s="77">
        <f>STOCK[[#This Row],[Precio Final]]</f>
        <v>12</v>
      </c>
      <c r="I279" s="77">
        <f>STOCK[[#This Row],[Precio Venta Ideal (x1.5)]]</f>
        <v>10.1525</v>
      </c>
      <c r="J279" s="92">
        <v>3</v>
      </c>
      <c r="K279" s="92">
        <f>SUMIFS(VENTAS[Cantidad],VENTAS[Código del producto Vendido],STOCK[[#This Row],[Code]])</f>
        <v>2</v>
      </c>
      <c r="L279" s="92">
        <f>STOCK[[#This Row],[Entradas]]-STOCK[[#This Row],[Salidas]]</f>
        <v>1</v>
      </c>
      <c r="M279" s="77">
        <f>STOCK[[#This Row],[Precio Final]]*10%</f>
        <v>1.2</v>
      </c>
      <c r="N279" s="77">
        <v>93.75</v>
      </c>
      <c r="O279" s="77">
        <v>18</v>
      </c>
      <c r="P279" s="77">
        <v>5.20833333333333</v>
      </c>
      <c r="Q279" s="92">
        <v>45</v>
      </c>
      <c r="R279" s="77">
        <v>8</v>
      </c>
      <c r="S279" s="77">
        <f>STOCK[[#This Row],[Peso (g)]]*STOCK[[#This Row],[Precio Envío Kilogramo (USD)]]/1000</f>
        <v>0.36</v>
      </c>
      <c r="T279" s="76">
        <f>STOCK[[#This Row],[Costo Unitario (USD)]]+STOCK[[#This Row],[Costo Envío (USD)]]+STOCK[[#This Row],[Comisión 10%]]</f>
        <v>6.76833333333333</v>
      </c>
      <c r="U279" s="77">
        <f>STOCK[[#This Row],[Costo total]]*1.5</f>
        <v>10.1525</v>
      </c>
      <c r="V279" s="77">
        <v>12</v>
      </c>
      <c r="W279" s="77">
        <f>STOCK[[#This Row],[Precio Final]]-STOCK[[#This Row],[Costo total]]</f>
        <v>5.23166666666667</v>
      </c>
      <c r="X279" s="77">
        <f>STOCK[[#This Row],[Ganancia Unitaria]]*STOCK[[#This Row],[Salidas]]</f>
        <v>10.4633333333333</v>
      </c>
      <c r="AA279" s="77">
        <f>STOCK[[#This Row],[Costo total]]*STOCK[[#This Row],[Entradas]]</f>
        <v>20.305</v>
      </c>
      <c r="AB279" s="77">
        <f>STOCK[[#This Row],[Stock Actual]]*STOCK[[#This Row],[Costo total]]</f>
        <v>6.76833333333333</v>
      </c>
      <c r="AC279" s="77">
        <v>9</v>
      </c>
    </row>
    <row r="280" s="76" customFormat="1" ht="50" customHeight="1" spans="1:29">
      <c r="A280" s="76" t="s">
        <v>601</v>
      </c>
      <c r="B280" s="6"/>
      <c r="C280" s="76" t="s">
        <v>30</v>
      </c>
      <c r="D280" s="76" t="s">
        <v>42</v>
      </c>
      <c r="E280" s="76" t="s">
        <v>602</v>
      </c>
      <c r="F280" s="76" t="s">
        <v>38</v>
      </c>
      <c r="G280" s="76" t="s">
        <v>34</v>
      </c>
      <c r="H280" s="76">
        <f>STOCK[[#This Row],[Precio Final]]</f>
        <v>20</v>
      </c>
      <c r="I280" s="76">
        <f>STOCK[[#This Row],[Precio Venta Ideal (x1.5)]]</f>
        <v>19.0833333333333</v>
      </c>
      <c r="J280" s="91">
        <v>4</v>
      </c>
      <c r="K280" s="91">
        <f>SUMIFS(VENTAS[Cantidad],VENTAS[Código del producto Vendido],STOCK[[#This Row],[Code]])</f>
        <v>2</v>
      </c>
      <c r="L280" s="91">
        <f>STOCK[[#This Row],[Entradas]]-STOCK[[#This Row],[Salidas]]</f>
        <v>2</v>
      </c>
      <c r="M280" s="76">
        <f>STOCK[[#This Row],[Precio Final]]*10%</f>
        <v>2</v>
      </c>
      <c r="N280" s="76">
        <v>166</v>
      </c>
      <c r="O280" s="76">
        <v>18</v>
      </c>
      <c r="P280" s="76">
        <v>9.22222222222222</v>
      </c>
      <c r="Q280" s="91">
        <v>150</v>
      </c>
      <c r="R280" s="76">
        <v>10</v>
      </c>
      <c r="S280" s="76">
        <f>STOCK[[#This Row],[Peso (g)]]*STOCK[[#This Row],[Precio Envío Kilogramo (USD)]]/1000</f>
        <v>1.5</v>
      </c>
      <c r="T280" s="76">
        <f>STOCK[[#This Row],[Costo Unitario (USD)]]+STOCK[[#This Row],[Costo Envío (USD)]]+STOCK[[#This Row],[Comisión 10%]]</f>
        <v>12.7222222222222</v>
      </c>
      <c r="U280" s="76">
        <f>STOCK[[#This Row],[Costo total]]*1.5</f>
        <v>19.0833333333333</v>
      </c>
      <c r="V280" s="76">
        <v>20</v>
      </c>
      <c r="W280" s="76">
        <f>STOCK[[#This Row],[Precio Final]]-STOCK[[#This Row],[Costo total]]</f>
        <v>7.27777777777778</v>
      </c>
      <c r="X280" s="76">
        <f>STOCK[[#This Row],[Ganancia Unitaria]]*STOCK[[#This Row],[Salidas]]</f>
        <v>14.5555555555556</v>
      </c>
      <c r="AA280" s="76">
        <f>STOCK[[#This Row],[Costo total]]*STOCK[[#This Row],[Entradas]]</f>
        <v>50.8888888888889</v>
      </c>
      <c r="AB280" s="76">
        <f>STOCK[[#This Row],[Stock Actual]]*STOCK[[#This Row],[Costo total]]</f>
        <v>25.4444444444444</v>
      </c>
      <c r="AC280" s="76">
        <v>18</v>
      </c>
    </row>
    <row r="281" s="77" customFormat="1" ht="50" customHeight="1" spans="1:29">
      <c r="A281" s="77" t="s">
        <v>603</v>
      </c>
      <c r="B281" s="6"/>
      <c r="C281" s="77" t="s">
        <v>30</v>
      </c>
      <c r="D281" s="77" t="s">
        <v>42</v>
      </c>
      <c r="E281" s="77" t="s">
        <v>602</v>
      </c>
      <c r="F281" s="77" t="s">
        <v>60</v>
      </c>
      <c r="G281" s="77" t="s">
        <v>34</v>
      </c>
      <c r="H281" s="77">
        <f>STOCK[[#This Row],[Precio Final]]</f>
        <v>20</v>
      </c>
      <c r="I281" s="77">
        <f>STOCK[[#This Row],[Precio Venta Ideal (x1.5)]]</f>
        <v>19.0833333333333</v>
      </c>
      <c r="J281" s="92">
        <v>3</v>
      </c>
      <c r="K281" s="92">
        <f>SUMIFS(VENTAS[Cantidad],VENTAS[Código del producto Vendido],STOCK[[#This Row],[Code]])</f>
        <v>1</v>
      </c>
      <c r="L281" s="92">
        <f>STOCK[[#This Row],[Entradas]]-STOCK[[#This Row],[Salidas]]</f>
        <v>2</v>
      </c>
      <c r="M281" s="77">
        <f>STOCK[[#This Row],[Precio Final]]*10%</f>
        <v>2</v>
      </c>
      <c r="N281" s="77">
        <v>166</v>
      </c>
      <c r="O281" s="77">
        <v>18</v>
      </c>
      <c r="P281" s="77">
        <v>9.22222222222222</v>
      </c>
      <c r="Q281" s="92">
        <v>150</v>
      </c>
      <c r="R281" s="77">
        <v>10</v>
      </c>
      <c r="S281" s="77">
        <f>STOCK[[#This Row],[Peso (g)]]*STOCK[[#This Row],[Precio Envío Kilogramo (USD)]]/1000</f>
        <v>1.5</v>
      </c>
      <c r="T281" s="76">
        <f>STOCK[[#This Row],[Costo Unitario (USD)]]+STOCK[[#This Row],[Costo Envío (USD)]]+STOCK[[#This Row],[Comisión 10%]]</f>
        <v>12.7222222222222</v>
      </c>
      <c r="U281" s="77">
        <f>STOCK[[#This Row],[Costo total]]*1.5</f>
        <v>19.0833333333333</v>
      </c>
      <c r="V281" s="77">
        <v>20</v>
      </c>
      <c r="W281" s="77">
        <f>STOCK[[#This Row],[Precio Final]]-STOCK[[#This Row],[Costo total]]</f>
        <v>7.27777777777778</v>
      </c>
      <c r="X281" s="77">
        <f>STOCK[[#This Row],[Ganancia Unitaria]]*STOCK[[#This Row],[Salidas]]</f>
        <v>7.27777777777778</v>
      </c>
      <c r="AA281" s="77">
        <f>STOCK[[#This Row],[Costo total]]*STOCK[[#This Row],[Entradas]]</f>
        <v>38.1666666666667</v>
      </c>
      <c r="AB281" s="77">
        <f>STOCK[[#This Row],[Stock Actual]]*STOCK[[#This Row],[Costo total]]</f>
        <v>25.4444444444444</v>
      </c>
      <c r="AC281" s="77">
        <v>18</v>
      </c>
    </row>
    <row r="282" s="76" customFormat="1" ht="50" customHeight="1" spans="1:29">
      <c r="A282" s="76" t="s">
        <v>604</v>
      </c>
      <c r="B282" s="6"/>
      <c r="C282" s="76" t="s">
        <v>30</v>
      </c>
      <c r="D282" s="76" t="s">
        <v>42</v>
      </c>
      <c r="E282" s="76" t="s">
        <v>602</v>
      </c>
      <c r="F282" s="76" t="s">
        <v>47</v>
      </c>
      <c r="G282" s="76" t="s">
        <v>34</v>
      </c>
      <c r="H282" s="76">
        <f>STOCK[[#This Row],[Precio Final]]</f>
        <v>20</v>
      </c>
      <c r="I282" s="76">
        <f>STOCK[[#This Row],[Precio Venta Ideal (x1.5)]]</f>
        <v>19.0833333333333</v>
      </c>
      <c r="J282" s="91">
        <v>4</v>
      </c>
      <c r="K282" s="91">
        <f>SUMIFS(VENTAS[Cantidad],VENTAS[Código del producto Vendido],STOCK[[#This Row],[Code]])</f>
        <v>2</v>
      </c>
      <c r="L282" s="91">
        <f>STOCK[[#This Row],[Entradas]]-STOCK[[#This Row],[Salidas]]</f>
        <v>2</v>
      </c>
      <c r="M282" s="76">
        <f>STOCK[[#This Row],[Precio Final]]*10%</f>
        <v>2</v>
      </c>
      <c r="N282" s="76">
        <v>166</v>
      </c>
      <c r="O282" s="76">
        <v>18</v>
      </c>
      <c r="P282" s="76">
        <v>9.22222222222222</v>
      </c>
      <c r="Q282" s="91">
        <v>150</v>
      </c>
      <c r="R282" s="76">
        <v>10</v>
      </c>
      <c r="S282" s="76">
        <f>STOCK[[#This Row],[Peso (g)]]*STOCK[[#This Row],[Precio Envío Kilogramo (USD)]]/1000</f>
        <v>1.5</v>
      </c>
      <c r="T282" s="76">
        <f>STOCK[[#This Row],[Costo Unitario (USD)]]+STOCK[[#This Row],[Costo Envío (USD)]]+STOCK[[#This Row],[Comisión 10%]]</f>
        <v>12.7222222222222</v>
      </c>
      <c r="U282" s="76">
        <f>STOCK[[#This Row],[Costo total]]*1.5</f>
        <v>19.0833333333333</v>
      </c>
      <c r="V282" s="76">
        <v>20</v>
      </c>
      <c r="W282" s="76">
        <f>STOCK[[#This Row],[Precio Final]]-STOCK[[#This Row],[Costo total]]</f>
        <v>7.27777777777778</v>
      </c>
      <c r="X282" s="76">
        <f>STOCK[[#This Row],[Ganancia Unitaria]]*STOCK[[#This Row],[Salidas]]</f>
        <v>14.5555555555556</v>
      </c>
      <c r="AA282" s="76">
        <f>STOCK[[#This Row],[Costo total]]*STOCK[[#This Row],[Entradas]]</f>
        <v>50.8888888888889</v>
      </c>
      <c r="AB282" s="76">
        <f>STOCK[[#This Row],[Stock Actual]]*STOCK[[#This Row],[Costo total]]</f>
        <v>25.4444444444444</v>
      </c>
      <c r="AC282" s="76">
        <v>18</v>
      </c>
    </row>
    <row r="283" s="77" customFormat="1" ht="50" customHeight="1" spans="1:28">
      <c r="A283" s="77" t="s">
        <v>605</v>
      </c>
      <c r="B283" s="6"/>
      <c r="C283" s="77" t="s">
        <v>30</v>
      </c>
      <c r="D283" s="77" t="s">
        <v>42</v>
      </c>
      <c r="E283" s="77" t="s">
        <v>606</v>
      </c>
      <c r="F283" s="77" t="s">
        <v>44</v>
      </c>
      <c r="G283" s="77" t="s">
        <v>34</v>
      </c>
      <c r="H283" s="77">
        <f>STOCK[[#This Row],[Precio Final]]</f>
        <v>20</v>
      </c>
      <c r="I283" s="77">
        <f>STOCK[[#This Row],[Precio Venta Ideal (x1.5)]]</f>
        <v>19.0833333333333</v>
      </c>
      <c r="J283" s="92">
        <v>1</v>
      </c>
      <c r="K283" s="92">
        <f>SUMIFS(VENTAS[Cantidad],VENTAS[Código del producto Vendido],STOCK[[#This Row],[Code]])</f>
        <v>1</v>
      </c>
      <c r="L283" s="92">
        <f>STOCK[[#This Row],[Entradas]]-STOCK[[#This Row],[Salidas]]</f>
        <v>0</v>
      </c>
      <c r="M283" s="77">
        <f>STOCK[[#This Row],[Precio Final]]*10%</f>
        <v>2</v>
      </c>
      <c r="N283" s="77">
        <v>166</v>
      </c>
      <c r="O283" s="77">
        <v>18</v>
      </c>
      <c r="P283" s="77">
        <v>9.22222222222222</v>
      </c>
      <c r="Q283" s="92">
        <v>150</v>
      </c>
      <c r="R283" s="77">
        <v>10</v>
      </c>
      <c r="S283" s="77">
        <f>STOCK[[#This Row],[Peso (g)]]*STOCK[[#This Row],[Precio Envío Kilogramo (USD)]]/1000</f>
        <v>1.5</v>
      </c>
      <c r="T283" s="76">
        <f>STOCK[[#This Row],[Costo Unitario (USD)]]+STOCK[[#This Row],[Costo Envío (USD)]]+STOCK[[#This Row],[Comisión 10%]]</f>
        <v>12.7222222222222</v>
      </c>
      <c r="U283" s="77">
        <f>STOCK[[#This Row],[Costo total]]*1.5</f>
        <v>19.0833333333333</v>
      </c>
      <c r="V283" s="77">
        <v>20</v>
      </c>
      <c r="W283" s="77">
        <f>STOCK[[#This Row],[Precio Final]]-STOCK[[#This Row],[Costo total]]</f>
        <v>7.27777777777778</v>
      </c>
      <c r="X283" s="77">
        <f>STOCK[[#This Row],[Ganancia Unitaria]]*STOCK[[#This Row],[Salidas]]</f>
        <v>7.27777777777778</v>
      </c>
      <c r="AA283" s="77">
        <f>STOCK[[#This Row],[Costo total]]*STOCK[[#This Row],[Entradas]]</f>
        <v>12.7222222222222</v>
      </c>
      <c r="AB283" s="77">
        <f>STOCK[[#This Row],[Stock Actual]]*STOCK[[#This Row],[Costo total]]</f>
        <v>0</v>
      </c>
    </row>
    <row r="284" s="76" customFormat="1" ht="50" customHeight="1" spans="1:29">
      <c r="A284" s="76" t="s">
        <v>607</v>
      </c>
      <c r="B284" s="6"/>
      <c r="C284" s="76" t="s">
        <v>30</v>
      </c>
      <c r="D284" s="76" t="s">
        <v>173</v>
      </c>
      <c r="E284" s="76" t="s">
        <v>608</v>
      </c>
      <c r="F284" s="76" t="s">
        <v>60</v>
      </c>
      <c r="G284" s="76" t="s">
        <v>34</v>
      </c>
      <c r="H284" s="76">
        <f>STOCK[[#This Row],[Precio Final]]</f>
        <v>10</v>
      </c>
      <c r="I284" s="76">
        <f>STOCK[[#This Row],[Precio Venta Ideal (x1.5)]]</f>
        <v>10.1025</v>
      </c>
      <c r="J284" s="91">
        <v>5</v>
      </c>
      <c r="K284" s="91">
        <f>SUMIFS(VENTAS[Cantidad],VENTAS[Código del producto Vendido],STOCK[[#This Row],[Code]])</f>
        <v>0</v>
      </c>
      <c r="L284" s="91">
        <f>STOCK[[#This Row],[Entradas]]-STOCK[[#This Row],[Salidas]]</f>
        <v>5</v>
      </c>
      <c r="M284" s="76">
        <f>STOCK[[#This Row],[Precio Final]]*10%</f>
        <v>1</v>
      </c>
      <c r="N284" s="76">
        <v>96.75</v>
      </c>
      <c r="O284" s="76">
        <v>18</v>
      </c>
      <c r="P284" s="76">
        <v>5.375</v>
      </c>
      <c r="Q284" s="91">
        <v>45</v>
      </c>
      <c r="R284" s="76">
        <v>8</v>
      </c>
      <c r="S284" s="76">
        <f>STOCK[[#This Row],[Peso (g)]]*STOCK[[#This Row],[Precio Envío Kilogramo (USD)]]/1000</f>
        <v>0.36</v>
      </c>
      <c r="T284" s="76">
        <f>STOCK[[#This Row],[Costo Unitario (USD)]]+STOCK[[#This Row],[Costo Envío (USD)]]+STOCK[[#This Row],[Comisión 10%]]</f>
        <v>6.735</v>
      </c>
      <c r="U284" s="76">
        <f>STOCK[[#This Row],[Costo total]]*1.5</f>
        <v>10.1025</v>
      </c>
      <c r="V284" s="76">
        <v>10</v>
      </c>
      <c r="W284" s="76">
        <f>STOCK[[#This Row],[Precio Final]]-STOCK[[#This Row],[Costo total]]</f>
        <v>3.265</v>
      </c>
      <c r="X284" s="76">
        <f>STOCK[[#This Row],[Ganancia Unitaria]]*STOCK[[#This Row],[Salidas]]</f>
        <v>0</v>
      </c>
      <c r="AA284" s="76">
        <f>STOCK[[#This Row],[Costo total]]*STOCK[[#This Row],[Entradas]]</f>
        <v>33.675</v>
      </c>
      <c r="AB284" s="76">
        <f>STOCK[[#This Row],[Stock Actual]]*STOCK[[#This Row],[Costo total]]</f>
        <v>33.675</v>
      </c>
      <c r="AC284" s="76">
        <v>9</v>
      </c>
    </row>
    <row r="285" s="77" customFormat="1" ht="50" customHeight="1" spans="1:28">
      <c r="A285" s="77" t="s">
        <v>609</v>
      </c>
      <c r="B285" s="6"/>
      <c r="C285" s="77" t="s">
        <v>30</v>
      </c>
      <c r="D285" s="77" t="s">
        <v>42</v>
      </c>
      <c r="E285" s="77" t="s">
        <v>610</v>
      </c>
      <c r="F285" s="77" t="s">
        <v>44</v>
      </c>
      <c r="G285" s="77" t="s">
        <v>34</v>
      </c>
      <c r="H285" s="77">
        <f>STOCK[[#This Row],[Precio Final]]</f>
        <v>25</v>
      </c>
      <c r="I285" s="77">
        <f>STOCK[[#This Row],[Precio Venta Ideal (x1.5)]]</f>
        <v>19.8333333333333</v>
      </c>
      <c r="J285" s="92">
        <v>3</v>
      </c>
      <c r="K285" s="92">
        <f>SUMIFS(VENTAS[Cantidad],VENTAS[Código del producto Vendido],STOCK[[#This Row],[Code]])</f>
        <v>3</v>
      </c>
      <c r="L285" s="92">
        <f>STOCK[[#This Row],[Entradas]]-STOCK[[#This Row],[Salidas]]</f>
        <v>0</v>
      </c>
      <c r="M285" s="77">
        <f>STOCK[[#This Row],[Precio Final]]*10%</f>
        <v>2.5</v>
      </c>
      <c r="N285" s="77">
        <v>166</v>
      </c>
      <c r="O285" s="77">
        <v>18</v>
      </c>
      <c r="P285" s="77">
        <v>9.22222222222222</v>
      </c>
      <c r="Q285" s="92">
        <v>150</v>
      </c>
      <c r="R285" s="77">
        <v>10</v>
      </c>
      <c r="S285" s="77">
        <f>STOCK[[#This Row],[Peso (g)]]*STOCK[[#This Row],[Precio Envío Kilogramo (USD)]]/1000</f>
        <v>1.5</v>
      </c>
      <c r="T285" s="76">
        <f>STOCK[[#This Row],[Costo Unitario (USD)]]+STOCK[[#This Row],[Costo Envío (USD)]]+STOCK[[#This Row],[Comisión 10%]]</f>
        <v>13.2222222222222</v>
      </c>
      <c r="U285" s="77">
        <f>STOCK[[#This Row],[Costo total]]*1.5</f>
        <v>19.8333333333333</v>
      </c>
      <c r="V285" s="77">
        <v>25</v>
      </c>
      <c r="W285" s="77">
        <f>STOCK[[#This Row],[Precio Final]]-STOCK[[#This Row],[Costo total]]</f>
        <v>11.7777777777778</v>
      </c>
      <c r="X285" s="77">
        <f>STOCK[[#This Row],[Ganancia Unitaria]]*STOCK[[#This Row],[Salidas]]</f>
        <v>35.3333333333333</v>
      </c>
      <c r="AA285" s="77">
        <f>STOCK[[#This Row],[Costo total]]*STOCK[[#This Row],[Entradas]]</f>
        <v>39.6666666666667</v>
      </c>
      <c r="AB285" s="77">
        <f>STOCK[[#This Row],[Stock Actual]]*STOCK[[#This Row],[Costo total]]</f>
        <v>0</v>
      </c>
    </row>
    <row r="286" s="76" customFormat="1" ht="50" customHeight="1" spans="1:28">
      <c r="A286" s="76" t="s">
        <v>611</v>
      </c>
      <c r="B286" s="6"/>
      <c r="C286" s="76" t="s">
        <v>30</v>
      </c>
      <c r="D286" s="76" t="s">
        <v>42</v>
      </c>
      <c r="E286" s="76" t="s">
        <v>612</v>
      </c>
      <c r="F286" s="76" t="s">
        <v>44</v>
      </c>
      <c r="G286" s="76" t="s">
        <v>34</v>
      </c>
      <c r="H286" s="76">
        <f>STOCK[[#This Row],[Precio Final]]</f>
        <v>25</v>
      </c>
      <c r="I286" s="76">
        <f>STOCK[[#This Row],[Precio Venta Ideal (x1.5)]]</f>
        <v>19.8333333333333</v>
      </c>
      <c r="J286" s="91">
        <v>3</v>
      </c>
      <c r="K286" s="91">
        <f>SUMIFS(VENTAS[Cantidad],VENTAS[Código del producto Vendido],STOCK[[#This Row],[Code]])</f>
        <v>3</v>
      </c>
      <c r="L286" s="91">
        <f>STOCK[[#This Row],[Entradas]]-STOCK[[#This Row],[Salidas]]</f>
        <v>0</v>
      </c>
      <c r="M286" s="76">
        <f>STOCK[[#This Row],[Precio Final]]*10%</f>
        <v>2.5</v>
      </c>
      <c r="N286" s="76">
        <v>166</v>
      </c>
      <c r="O286" s="76">
        <v>18</v>
      </c>
      <c r="P286" s="76">
        <v>9.22222222222222</v>
      </c>
      <c r="Q286" s="91">
        <v>150</v>
      </c>
      <c r="R286" s="76">
        <v>10</v>
      </c>
      <c r="S286" s="76">
        <f>STOCK[[#This Row],[Peso (g)]]*STOCK[[#This Row],[Precio Envío Kilogramo (USD)]]/1000</f>
        <v>1.5</v>
      </c>
      <c r="T286" s="76">
        <f>STOCK[[#This Row],[Costo Unitario (USD)]]+STOCK[[#This Row],[Costo Envío (USD)]]+STOCK[[#This Row],[Comisión 10%]]</f>
        <v>13.2222222222222</v>
      </c>
      <c r="U286" s="76">
        <f>STOCK[[#This Row],[Costo total]]*1.5</f>
        <v>19.8333333333333</v>
      </c>
      <c r="V286" s="76">
        <v>25</v>
      </c>
      <c r="W286" s="76">
        <f>STOCK[[#This Row],[Precio Final]]-STOCK[[#This Row],[Costo total]]</f>
        <v>11.7777777777778</v>
      </c>
      <c r="X286" s="76">
        <f>STOCK[[#This Row],[Ganancia Unitaria]]*STOCK[[#This Row],[Salidas]]</f>
        <v>35.3333333333333</v>
      </c>
      <c r="AA286" s="76">
        <f>STOCK[[#This Row],[Costo total]]*STOCK[[#This Row],[Entradas]]</f>
        <v>39.6666666666667</v>
      </c>
      <c r="AB286" s="76">
        <f>STOCK[[#This Row],[Stock Actual]]*STOCK[[#This Row],[Costo total]]</f>
        <v>0</v>
      </c>
    </row>
    <row r="287" s="77" customFormat="1" ht="50" customHeight="1" spans="1:28">
      <c r="A287" s="77" t="s">
        <v>613</v>
      </c>
      <c r="B287" s="6"/>
      <c r="C287" s="77" t="s">
        <v>30</v>
      </c>
      <c r="D287" s="77" t="s">
        <v>173</v>
      </c>
      <c r="E287" s="77" t="s">
        <v>614</v>
      </c>
      <c r="F287" s="77" t="s">
        <v>60</v>
      </c>
      <c r="G287" s="77" t="s">
        <v>34</v>
      </c>
      <c r="H287" s="77">
        <f>STOCK[[#This Row],[Precio Final]]</f>
        <v>15</v>
      </c>
      <c r="I287" s="77">
        <f>STOCK[[#This Row],[Precio Venta Ideal (x1.5)]]</f>
        <v>10.8525</v>
      </c>
      <c r="J287" s="92">
        <v>3</v>
      </c>
      <c r="K287" s="92">
        <f>SUMIFS(VENTAS[Cantidad],VENTAS[Código del producto Vendido],STOCK[[#This Row],[Code]])</f>
        <v>3</v>
      </c>
      <c r="L287" s="92">
        <f>STOCK[[#This Row],[Entradas]]-STOCK[[#This Row],[Salidas]]</f>
        <v>0</v>
      </c>
      <c r="M287" s="77">
        <f>STOCK[[#This Row],[Precio Final]]*10%</f>
        <v>1.5</v>
      </c>
      <c r="N287" s="77">
        <v>96.75</v>
      </c>
      <c r="O287" s="77">
        <v>18</v>
      </c>
      <c r="P287" s="77">
        <v>5.375</v>
      </c>
      <c r="Q287" s="92">
        <v>45</v>
      </c>
      <c r="R287" s="77">
        <v>8</v>
      </c>
      <c r="S287" s="77">
        <f>STOCK[[#This Row],[Peso (g)]]*STOCK[[#This Row],[Precio Envío Kilogramo (USD)]]/1000</f>
        <v>0.36</v>
      </c>
      <c r="T287" s="76">
        <f>STOCK[[#This Row],[Costo Unitario (USD)]]+STOCK[[#This Row],[Costo Envío (USD)]]+STOCK[[#This Row],[Comisión 10%]]</f>
        <v>7.235</v>
      </c>
      <c r="U287" s="77">
        <f>STOCK[[#This Row],[Costo total]]*1.5</f>
        <v>10.8525</v>
      </c>
      <c r="V287" s="77">
        <v>15</v>
      </c>
      <c r="W287" s="77">
        <f>STOCK[[#This Row],[Precio Final]]-STOCK[[#This Row],[Costo total]]</f>
        <v>7.765</v>
      </c>
      <c r="X287" s="77">
        <f>STOCK[[#This Row],[Ganancia Unitaria]]*STOCK[[#This Row],[Salidas]]</f>
        <v>23.295</v>
      </c>
      <c r="AA287" s="77">
        <f>STOCK[[#This Row],[Costo total]]*STOCK[[#This Row],[Entradas]]</f>
        <v>21.705</v>
      </c>
      <c r="AB287" s="77">
        <f>STOCK[[#This Row],[Stock Actual]]*STOCK[[#This Row],[Costo total]]</f>
        <v>0</v>
      </c>
    </row>
    <row r="288" s="76" customFormat="1" ht="50" customHeight="1" spans="1:28">
      <c r="A288" s="76" t="s">
        <v>615</v>
      </c>
      <c r="B288" s="6"/>
      <c r="C288" s="76" t="s">
        <v>30</v>
      </c>
      <c r="D288" s="76" t="s">
        <v>173</v>
      </c>
      <c r="E288" s="76" t="s">
        <v>614</v>
      </c>
      <c r="F288" s="76" t="s">
        <v>38</v>
      </c>
      <c r="G288" s="76" t="s">
        <v>34</v>
      </c>
      <c r="H288" s="76">
        <f>STOCK[[#This Row],[Precio Final]]</f>
        <v>15</v>
      </c>
      <c r="I288" s="76">
        <f>STOCK[[#This Row],[Precio Venta Ideal (x1.5)]]</f>
        <v>10.8525</v>
      </c>
      <c r="J288" s="91">
        <v>3</v>
      </c>
      <c r="K288" s="91">
        <f>SUMIFS(VENTAS[Cantidad],VENTAS[Código del producto Vendido],STOCK[[#This Row],[Code]])</f>
        <v>3</v>
      </c>
      <c r="L288" s="91">
        <f>STOCK[[#This Row],[Entradas]]-STOCK[[#This Row],[Salidas]]</f>
        <v>0</v>
      </c>
      <c r="M288" s="76">
        <f>STOCK[[#This Row],[Precio Final]]*10%</f>
        <v>1.5</v>
      </c>
      <c r="N288" s="76">
        <v>96.75</v>
      </c>
      <c r="O288" s="76">
        <v>18</v>
      </c>
      <c r="P288" s="76">
        <v>5.375</v>
      </c>
      <c r="Q288" s="91">
        <v>45</v>
      </c>
      <c r="R288" s="76">
        <v>8</v>
      </c>
      <c r="S288" s="76">
        <f>STOCK[[#This Row],[Peso (g)]]*STOCK[[#This Row],[Precio Envío Kilogramo (USD)]]/1000</f>
        <v>0.36</v>
      </c>
      <c r="T288" s="76">
        <f>STOCK[[#This Row],[Costo Unitario (USD)]]+STOCK[[#This Row],[Costo Envío (USD)]]+STOCK[[#This Row],[Comisión 10%]]</f>
        <v>7.235</v>
      </c>
      <c r="U288" s="76">
        <f>STOCK[[#This Row],[Costo total]]*1.5</f>
        <v>10.8525</v>
      </c>
      <c r="V288" s="76">
        <v>15</v>
      </c>
      <c r="W288" s="76">
        <f>STOCK[[#This Row],[Precio Final]]-STOCK[[#This Row],[Costo total]]</f>
        <v>7.765</v>
      </c>
      <c r="X288" s="76">
        <f>STOCK[[#This Row],[Ganancia Unitaria]]*STOCK[[#This Row],[Salidas]]</f>
        <v>23.295</v>
      </c>
      <c r="AA288" s="76">
        <f>STOCK[[#This Row],[Costo total]]*STOCK[[#This Row],[Entradas]]</f>
        <v>21.705</v>
      </c>
      <c r="AB288" s="76">
        <f>STOCK[[#This Row],[Stock Actual]]*STOCK[[#This Row],[Costo total]]</f>
        <v>0</v>
      </c>
    </row>
    <row r="289" s="77" customFormat="1" ht="50" customHeight="1" spans="1:29">
      <c r="A289" s="77" t="s">
        <v>616</v>
      </c>
      <c r="B289" s="6"/>
      <c r="C289" s="77" t="s">
        <v>30</v>
      </c>
      <c r="D289" s="77" t="s">
        <v>350</v>
      </c>
      <c r="E289" s="77" t="s">
        <v>617</v>
      </c>
      <c r="F289" s="77" t="s">
        <v>524</v>
      </c>
      <c r="G289" s="77" t="s">
        <v>34</v>
      </c>
      <c r="H289" s="77">
        <f>STOCK[[#This Row],[Precio Final]]</f>
        <v>12</v>
      </c>
      <c r="I289" s="77">
        <f>STOCK[[#This Row],[Precio Venta Ideal (x1.5)]]</f>
        <v>8.025</v>
      </c>
      <c r="J289" s="92">
        <v>6</v>
      </c>
      <c r="K289" s="92">
        <f>SUMIFS(VENTAS[Cantidad],VENTAS[Código del producto Vendido],STOCK[[#This Row],[Code]])</f>
        <v>4</v>
      </c>
      <c r="L289" s="92">
        <f>STOCK[[#This Row],[Entradas]]-STOCK[[#This Row],[Salidas]]</f>
        <v>2</v>
      </c>
      <c r="M289" s="77">
        <f>STOCK[[#This Row],[Precio Final]]*10%</f>
        <v>1.2</v>
      </c>
      <c r="N289" s="77">
        <v>67.5</v>
      </c>
      <c r="O289" s="77">
        <v>18</v>
      </c>
      <c r="P289" s="77">
        <v>3.75</v>
      </c>
      <c r="Q289" s="92">
        <v>50</v>
      </c>
      <c r="R289" s="77">
        <v>8</v>
      </c>
      <c r="S289" s="77">
        <f>STOCK[[#This Row],[Peso (g)]]*STOCK[[#This Row],[Precio Envío Kilogramo (USD)]]/1000</f>
        <v>0.4</v>
      </c>
      <c r="T289" s="76">
        <f>STOCK[[#This Row],[Costo Unitario (USD)]]+STOCK[[#This Row],[Costo Envío (USD)]]+STOCK[[#This Row],[Comisión 10%]]</f>
        <v>5.35</v>
      </c>
      <c r="U289" s="77">
        <f>STOCK[[#This Row],[Costo total]]*1.5</f>
        <v>8.025</v>
      </c>
      <c r="V289" s="77">
        <v>12</v>
      </c>
      <c r="W289" s="77">
        <f>STOCK[[#This Row],[Precio Final]]-STOCK[[#This Row],[Costo total]]</f>
        <v>6.65</v>
      </c>
      <c r="X289" s="77">
        <f>STOCK[[#This Row],[Ganancia Unitaria]]*STOCK[[#This Row],[Salidas]]</f>
        <v>26.6</v>
      </c>
      <c r="AA289" s="77">
        <f>STOCK[[#This Row],[Costo total]]*STOCK[[#This Row],[Entradas]]</f>
        <v>32.1</v>
      </c>
      <c r="AB289" s="77">
        <f>STOCK[[#This Row],[Stock Actual]]*STOCK[[#This Row],[Costo total]]</f>
        <v>10.7</v>
      </c>
      <c r="AC289" s="77">
        <v>7</v>
      </c>
    </row>
    <row r="290" s="76" customFormat="1" ht="50" customHeight="1" spans="1:28">
      <c r="A290" s="76" t="s">
        <v>618</v>
      </c>
      <c r="B290" s="6"/>
      <c r="C290" s="76" t="s">
        <v>30</v>
      </c>
      <c r="D290" s="76" t="s">
        <v>42</v>
      </c>
      <c r="E290" s="76" t="s">
        <v>619</v>
      </c>
      <c r="F290" s="76" t="s">
        <v>38</v>
      </c>
      <c r="G290" s="76" t="s">
        <v>34</v>
      </c>
      <c r="H290" s="76">
        <f>STOCK[[#This Row],[Precio Final]]</f>
        <v>15</v>
      </c>
      <c r="I290" s="76">
        <f>STOCK[[#This Row],[Precio Venta Ideal (x1.5)]]</f>
        <v>18.3333333333333</v>
      </c>
      <c r="J290" s="91">
        <v>3</v>
      </c>
      <c r="K290" s="91">
        <f>SUMIFS(VENTAS[Cantidad],VENTAS[Código del producto Vendido],STOCK[[#This Row],[Code]])</f>
        <v>3</v>
      </c>
      <c r="L290" s="91">
        <f>STOCK[[#This Row],[Entradas]]-STOCK[[#This Row],[Salidas]]</f>
        <v>0</v>
      </c>
      <c r="M290" s="76">
        <f>STOCK[[#This Row],[Precio Final]]*10%</f>
        <v>1.5</v>
      </c>
      <c r="N290" s="76">
        <v>166</v>
      </c>
      <c r="O290" s="76">
        <v>18</v>
      </c>
      <c r="P290" s="76">
        <v>9.22222222222222</v>
      </c>
      <c r="Q290" s="91">
        <v>150</v>
      </c>
      <c r="R290" s="76">
        <v>10</v>
      </c>
      <c r="S290" s="76">
        <f>STOCK[[#This Row],[Peso (g)]]*STOCK[[#This Row],[Precio Envío Kilogramo (USD)]]/1000</f>
        <v>1.5</v>
      </c>
      <c r="T290" s="76">
        <f>STOCK[[#This Row],[Costo Unitario (USD)]]+STOCK[[#This Row],[Costo Envío (USD)]]+STOCK[[#This Row],[Comisión 10%]]</f>
        <v>12.2222222222222</v>
      </c>
      <c r="U290" s="76">
        <f>STOCK[[#This Row],[Costo total]]*1.5</f>
        <v>18.3333333333333</v>
      </c>
      <c r="V290" s="76">
        <v>15</v>
      </c>
      <c r="W290" s="76">
        <f>STOCK[[#This Row],[Precio Final]]-STOCK[[#This Row],[Costo total]]</f>
        <v>2.77777777777778</v>
      </c>
      <c r="X290" s="76">
        <f>STOCK[[#This Row],[Ganancia Unitaria]]*STOCK[[#This Row],[Salidas]]</f>
        <v>8.33333333333334</v>
      </c>
      <c r="AA290" s="76">
        <f>STOCK[[#This Row],[Costo total]]*STOCK[[#This Row],[Entradas]]</f>
        <v>36.6666666666667</v>
      </c>
      <c r="AB290" s="76">
        <f>STOCK[[#This Row],[Stock Actual]]*STOCK[[#This Row],[Costo total]]</f>
        <v>0</v>
      </c>
    </row>
    <row r="291" s="77" customFormat="1" ht="50" customHeight="1" spans="1:28">
      <c r="A291" s="77" t="s">
        <v>620</v>
      </c>
      <c r="B291" s="6"/>
      <c r="C291" s="77" t="s">
        <v>30</v>
      </c>
      <c r="D291" s="77" t="s">
        <v>42</v>
      </c>
      <c r="E291" s="77" t="s">
        <v>621</v>
      </c>
      <c r="F291" s="77" t="s">
        <v>44</v>
      </c>
      <c r="G291" s="77" t="s">
        <v>34</v>
      </c>
      <c r="H291" s="77">
        <f>STOCK[[#This Row],[Precio Final]]</f>
        <v>16</v>
      </c>
      <c r="I291" s="77">
        <f>STOCK[[#This Row],[Precio Venta Ideal (x1.5)]]</f>
        <v>18.4833333333333</v>
      </c>
      <c r="J291" s="92">
        <v>3</v>
      </c>
      <c r="K291" s="92">
        <f>SUMIFS(VENTAS[Cantidad],VENTAS[Código del producto Vendido],STOCK[[#This Row],[Code]])</f>
        <v>3</v>
      </c>
      <c r="L291" s="92">
        <f>STOCK[[#This Row],[Entradas]]-STOCK[[#This Row],[Salidas]]</f>
        <v>0</v>
      </c>
      <c r="M291" s="77">
        <f>STOCK[[#This Row],[Precio Final]]*10%</f>
        <v>1.6</v>
      </c>
      <c r="N291" s="77">
        <v>166</v>
      </c>
      <c r="O291" s="77">
        <v>18</v>
      </c>
      <c r="P291" s="77">
        <v>9.22222222222222</v>
      </c>
      <c r="Q291" s="92">
        <v>150</v>
      </c>
      <c r="R291" s="77">
        <v>10</v>
      </c>
      <c r="S291" s="77">
        <f>STOCK[[#This Row],[Peso (g)]]*STOCK[[#This Row],[Precio Envío Kilogramo (USD)]]/1000</f>
        <v>1.5</v>
      </c>
      <c r="T291" s="76">
        <f>STOCK[[#This Row],[Costo Unitario (USD)]]+STOCK[[#This Row],[Costo Envío (USD)]]+STOCK[[#This Row],[Comisión 10%]]</f>
        <v>12.3222222222222</v>
      </c>
      <c r="U291" s="77">
        <f>STOCK[[#This Row],[Costo total]]*1.5</f>
        <v>18.4833333333333</v>
      </c>
      <c r="V291" s="77">
        <v>16</v>
      </c>
      <c r="W291" s="77">
        <f>STOCK[[#This Row],[Precio Final]]-STOCK[[#This Row],[Costo total]]</f>
        <v>3.67777777777778</v>
      </c>
      <c r="X291" s="77">
        <f>STOCK[[#This Row],[Ganancia Unitaria]]*STOCK[[#This Row],[Salidas]]</f>
        <v>11.0333333333333</v>
      </c>
      <c r="AA291" s="77">
        <f>STOCK[[#This Row],[Costo total]]*STOCK[[#This Row],[Entradas]]</f>
        <v>36.9666666666667</v>
      </c>
      <c r="AB291" s="77">
        <f>STOCK[[#This Row],[Stock Actual]]*STOCK[[#This Row],[Costo total]]</f>
        <v>0</v>
      </c>
    </row>
    <row r="292" s="76" customFormat="1" ht="50" customHeight="1" spans="1:28">
      <c r="A292" s="76" t="s">
        <v>622</v>
      </c>
      <c r="B292" s="6"/>
      <c r="C292" s="76" t="s">
        <v>30</v>
      </c>
      <c r="D292" s="76" t="s">
        <v>42</v>
      </c>
      <c r="E292" s="76" t="s">
        <v>623</v>
      </c>
      <c r="F292" s="76" t="s">
        <v>44</v>
      </c>
      <c r="G292" s="76" t="s">
        <v>34</v>
      </c>
      <c r="H292" s="76">
        <f>STOCK[[#This Row],[Precio Final]]</f>
        <v>216</v>
      </c>
      <c r="I292" s="76">
        <f>STOCK[[#This Row],[Precio Venta Ideal (x1.5)]]</f>
        <v>48.4833333333333</v>
      </c>
      <c r="J292" s="91">
        <v>3</v>
      </c>
      <c r="K292" s="91">
        <f>SUMIFS(VENTAS[Cantidad],VENTAS[Código del producto Vendido],STOCK[[#This Row],[Code]])</f>
        <v>3</v>
      </c>
      <c r="L292" s="91">
        <f>STOCK[[#This Row],[Entradas]]-STOCK[[#This Row],[Salidas]]</f>
        <v>0</v>
      </c>
      <c r="M292" s="76">
        <f>STOCK[[#This Row],[Precio Final]]*10%</f>
        <v>21.6</v>
      </c>
      <c r="N292" s="76">
        <v>166</v>
      </c>
      <c r="O292" s="76">
        <v>18</v>
      </c>
      <c r="P292" s="76">
        <v>9.22222222222222</v>
      </c>
      <c r="Q292" s="91">
        <v>150</v>
      </c>
      <c r="R292" s="76">
        <v>10</v>
      </c>
      <c r="S292" s="76">
        <f>STOCK[[#This Row],[Peso (g)]]*STOCK[[#This Row],[Precio Envío Kilogramo (USD)]]/1000</f>
        <v>1.5</v>
      </c>
      <c r="T292" s="76">
        <f>STOCK[[#This Row],[Costo Unitario (USD)]]+STOCK[[#This Row],[Costo Envío (USD)]]+STOCK[[#This Row],[Comisión 10%]]</f>
        <v>32.3222222222222</v>
      </c>
      <c r="U292" s="76">
        <f>STOCK[[#This Row],[Costo total]]*1.5</f>
        <v>48.4833333333333</v>
      </c>
      <c r="V292" s="76">
        <v>216</v>
      </c>
      <c r="W292" s="76">
        <f>STOCK[[#This Row],[Precio Final]]-STOCK[[#This Row],[Costo total]]</f>
        <v>183.677777777778</v>
      </c>
      <c r="X292" s="76">
        <f>STOCK[[#This Row],[Ganancia Unitaria]]*STOCK[[#This Row],[Salidas]]</f>
        <v>551.033333333333</v>
      </c>
      <c r="AA292" s="76">
        <f>STOCK[[#This Row],[Costo total]]*STOCK[[#This Row],[Entradas]]</f>
        <v>96.9666666666667</v>
      </c>
      <c r="AB292" s="76">
        <f>STOCK[[#This Row],[Stock Actual]]*STOCK[[#This Row],[Costo total]]</f>
        <v>0</v>
      </c>
    </row>
    <row r="293" s="77" customFormat="1" ht="50" customHeight="1" spans="1:28">
      <c r="A293" s="77" t="s">
        <v>624</v>
      </c>
      <c r="B293" s="6"/>
      <c r="C293" s="77" t="s">
        <v>30</v>
      </c>
      <c r="D293" s="77" t="s">
        <v>42</v>
      </c>
      <c r="E293" s="77" t="s">
        <v>625</v>
      </c>
      <c r="F293" s="77" t="s">
        <v>44</v>
      </c>
      <c r="G293" s="77" t="s">
        <v>34</v>
      </c>
      <c r="H293" s="77">
        <f>STOCK[[#This Row],[Precio Final]]</f>
        <v>16</v>
      </c>
      <c r="I293" s="77">
        <f>STOCK[[#This Row],[Precio Venta Ideal (x1.5)]]</f>
        <v>18.4833333333333</v>
      </c>
      <c r="J293" s="92">
        <v>3</v>
      </c>
      <c r="K293" s="92">
        <f>SUMIFS(VENTAS[Cantidad],VENTAS[Código del producto Vendido],STOCK[[#This Row],[Code]])</f>
        <v>3</v>
      </c>
      <c r="L293" s="92">
        <f>STOCK[[#This Row],[Entradas]]-STOCK[[#This Row],[Salidas]]</f>
        <v>0</v>
      </c>
      <c r="M293" s="77">
        <f>STOCK[[#This Row],[Precio Final]]*10%</f>
        <v>1.6</v>
      </c>
      <c r="N293" s="77">
        <v>166</v>
      </c>
      <c r="O293" s="77">
        <v>18</v>
      </c>
      <c r="P293" s="77">
        <v>9.22222222222222</v>
      </c>
      <c r="Q293" s="92">
        <v>150</v>
      </c>
      <c r="R293" s="77">
        <v>10</v>
      </c>
      <c r="S293" s="77">
        <f>STOCK[[#This Row],[Peso (g)]]*STOCK[[#This Row],[Precio Envío Kilogramo (USD)]]/1000</f>
        <v>1.5</v>
      </c>
      <c r="T293" s="76">
        <f>STOCK[[#This Row],[Costo Unitario (USD)]]+STOCK[[#This Row],[Costo Envío (USD)]]+STOCK[[#This Row],[Comisión 10%]]</f>
        <v>12.3222222222222</v>
      </c>
      <c r="U293" s="77">
        <f>STOCK[[#This Row],[Costo total]]*1.5</f>
        <v>18.4833333333333</v>
      </c>
      <c r="V293" s="77">
        <v>16</v>
      </c>
      <c r="W293" s="77">
        <f>STOCK[[#This Row],[Precio Final]]-STOCK[[#This Row],[Costo total]]</f>
        <v>3.67777777777778</v>
      </c>
      <c r="X293" s="77">
        <f>STOCK[[#This Row],[Ganancia Unitaria]]*STOCK[[#This Row],[Salidas]]</f>
        <v>11.0333333333333</v>
      </c>
      <c r="AA293" s="77">
        <f>STOCK[[#This Row],[Costo total]]*STOCK[[#This Row],[Entradas]]</f>
        <v>36.9666666666667</v>
      </c>
      <c r="AB293" s="77">
        <f>STOCK[[#This Row],[Stock Actual]]*STOCK[[#This Row],[Costo total]]</f>
        <v>0</v>
      </c>
    </row>
    <row r="294" s="76" customFormat="1" ht="50" customHeight="1" spans="1:28">
      <c r="A294" s="76" t="s">
        <v>626</v>
      </c>
      <c r="B294" s="6"/>
      <c r="C294" s="76" t="s">
        <v>30</v>
      </c>
      <c r="D294" s="76" t="s">
        <v>42</v>
      </c>
      <c r="E294" s="76" t="s">
        <v>627</v>
      </c>
      <c r="F294" s="76" t="s">
        <v>186</v>
      </c>
      <c r="G294" s="76" t="s">
        <v>34</v>
      </c>
      <c r="H294" s="76">
        <f>STOCK[[#This Row],[Precio Final]]</f>
        <v>20</v>
      </c>
      <c r="I294" s="76">
        <f>STOCK[[#This Row],[Precio Venta Ideal (x1.5)]]</f>
        <v>19.0833333333333</v>
      </c>
      <c r="J294" s="91">
        <v>3</v>
      </c>
      <c r="K294" s="91">
        <f>SUMIFS(VENTAS[Cantidad],VENTAS[Código del producto Vendido],STOCK[[#This Row],[Code]])</f>
        <v>3</v>
      </c>
      <c r="L294" s="91">
        <f>STOCK[[#This Row],[Entradas]]-STOCK[[#This Row],[Salidas]]</f>
        <v>0</v>
      </c>
      <c r="M294" s="76">
        <f>STOCK[[#This Row],[Precio Final]]*10%</f>
        <v>2</v>
      </c>
      <c r="N294" s="76">
        <v>166</v>
      </c>
      <c r="O294" s="76">
        <v>18</v>
      </c>
      <c r="P294" s="76">
        <v>9.22222222222222</v>
      </c>
      <c r="Q294" s="91">
        <v>150</v>
      </c>
      <c r="R294" s="76">
        <v>10</v>
      </c>
      <c r="S294" s="76">
        <f>STOCK[[#This Row],[Peso (g)]]*STOCK[[#This Row],[Precio Envío Kilogramo (USD)]]/1000</f>
        <v>1.5</v>
      </c>
      <c r="T294" s="76">
        <f>STOCK[[#This Row],[Costo Unitario (USD)]]+STOCK[[#This Row],[Costo Envío (USD)]]+STOCK[[#This Row],[Comisión 10%]]</f>
        <v>12.7222222222222</v>
      </c>
      <c r="U294" s="76">
        <f>STOCK[[#This Row],[Costo total]]*1.5</f>
        <v>19.0833333333333</v>
      </c>
      <c r="V294" s="76">
        <v>20</v>
      </c>
      <c r="W294" s="76">
        <f>STOCK[[#This Row],[Precio Final]]-STOCK[[#This Row],[Costo total]]</f>
        <v>7.27777777777778</v>
      </c>
      <c r="X294" s="76">
        <f>STOCK[[#This Row],[Ganancia Unitaria]]*STOCK[[#This Row],[Salidas]]</f>
        <v>21.8333333333333</v>
      </c>
      <c r="AA294" s="76">
        <f>STOCK[[#This Row],[Costo total]]*STOCK[[#This Row],[Entradas]]</f>
        <v>38.1666666666667</v>
      </c>
      <c r="AB294" s="76">
        <f>STOCK[[#This Row],[Stock Actual]]*STOCK[[#This Row],[Costo total]]</f>
        <v>0</v>
      </c>
    </row>
    <row r="295" s="77" customFormat="1" ht="50" customHeight="1" spans="1:29">
      <c r="A295" s="77" t="s">
        <v>628</v>
      </c>
      <c r="B295" s="6"/>
      <c r="C295" s="77" t="s">
        <v>30</v>
      </c>
      <c r="D295" s="77" t="s">
        <v>215</v>
      </c>
      <c r="E295" s="77" t="s">
        <v>629</v>
      </c>
      <c r="F295" s="77" t="s">
        <v>60</v>
      </c>
      <c r="G295" s="77" t="s">
        <v>34</v>
      </c>
      <c r="H295" s="77">
        <f>STOCK[[#This Row],[Precio Final]]</f>
        <v>20</v>
      </c>
      <c r="I295" s="77">
        <f>STOCK[[#This Row],[Precio Venta Ideal (x1.5)]]</f>
        <v>19.0833333333333</v>
      </c>
      <c r="J295" s="92">
        <v>2</v>
      </c>
      <c r="K295" s="92">
        <f>SUMIFS(VENTAS[Cantidad],VENTAS[Código del producto Vendido],STOCK[[#This Row],[Code]])</f>
        <v>0</v>
      </c>
      <c r="L295" s="92">
        <f>STOCK[[#This Row],[Entradas]]-STOCK[[#This Row],[Salidas]]</f>
        <v>2</v>
      </c>
      <c r="M295" s="77">
        <f>STOCK[[#This Row],[Precio Final]]*10%</f>
        <v>2</v>
      </c>
      <c r="N295" s="77">
        <v>166</v>
      </c>
      <c r="O295" s="77">
        <v>18</v>
      </c>
      <c r="P295" s="77">
        <v>9.22222222222222</v>
      </c>
      <c r="Q295" s="92">
        <v>150</v>
      </c>
      <c r="R295" s="77">
        <v>10</v>
      </c>
      <c r="S295" s="77">
        <f>STOCK[[#This Row],[Peso (g)]]*STOCK[[#This Row],[Precio Envío Kilogramo (USD)]]/1000</f>
        <v>1.5</v>
      </c>
      <c r="T295" s="76">
        <f>STOCK[[#This Row],[Costo Unitario (USD)]]+STOCK[[#This Row],[Costo Envío (USD)]]+STOCK[[#This Row],[Comisión 10%]]</f>
        <v>12.7222222222222</v>
      </c>
      <c r="U295" s="77">
        <f>STOCK[[#This Row],[Costo total]]*1.5</f>
        <v>19.0833333333333</v>
      </c>
      <c r="V295" s="77">
        <v>20</v>
      </c>
      <c r="W295" s="77">
        <f>STOCK[[#This Row],[Precio Final]]-STOCK[[#This Row],[Costo total]]</f>
        <v>7.27777777777778</v>
      </c>
      <c r="X295" s="77">
        <f>STOCK[[#This Row],[Ganancia Unitaria]]*STOCK[[#This Row],[Salidas]]</f>
        <v>0</v>
      </c>
      <c r="AA295" s="77">
        <f>STOCK[[#This Row],[Costo total]]*STOCK[[#This Row],[Entradas]]</f>
        <v>25.4444444444444</v>
      </c>
      <c r="AB295" s="77">
        <f>STOCK[[#This Row],[Stock Actual]]*STOCK[[#This Row],[Costo total]]</f>
        <v>25.4444444444444</v>
      </c>
      <c r="AC295" s="77">
        <v>15</v>
      </c>
    </row>
    <row r="296" s="76" customFormat="1" ht="50" customHeight="1" spans="1:28">
      <c r="A296" s="76" t="s">
        <v>630</v>
      </c>
      <c r="B296" s="6"/>
      <c r="C296" s="76" t="s">
        <v>30</v>
      </c>
      <c r="D296" s="76" t="s">
        <v>42</v>
      </c>
      <c r="E296" s="76" t="s">
        <v>631</v>
      </c>
      <c r="F296" s="76" t="s">
        <v>38</v>
      </c>
      <c r="G296" s="76" t="s">
        <v>34</v>
      </c>
      <c r="H296" s="76">
        <f>STOCK[[#This Row],[Precio Final]]</f>
        <v>20</v>
      </c>
      <c r="I296" s="76">
        <f>STOCK[[#This Row],[Precio Venta Ideal (x1.5)]]</f>
        <v>19.0833333333333</v>
      </c>
      <c r="J296" s="91">
        <v>3</v>
      </c>
      <c r="K296" s="91">
        <f>SUMIFS(VENTAS[Cantidad],VENTAS[Código del producto Vendido],STOCK[[#This Row],[Code]])</f>
        <v>3</v>
      </c>
      <c r="L296" s="91">
        <f>STOCK[[#This Row],[Entradas]]-STOCK[[#This Row],[Salidas]]</f>
        <v>0</v>
      </c>
      <c r="M296" s="76">
        <f>STOCK[[#This Row],[Precio Final]]*10%</f>
        <v>2</v>
      </c>
      <c r="N296" s="76">
        <v>166</v>
      </c>
      <c r="O296" s="76">
        <v>18</v>
      </c>
      <c r="P296" s="76">
        <v>9.22222222222222</v>
      </c>
      <c r="Q296" s="91">
        <v>150</v>
      </c>
      <c r="R296" s="76">
        <v>10</v>
      </c>
      <c r="S296" s="76">
        <f>STOCK[[#This Row],[Peso (g)]]*STOCK[[#This Row],[Precio Envío Kilogramo (USD)]]/1000</f>
        <v>1.5</v>
      </c>
      <c r="T296" s="76">
        <f>STOCK[[#This Row],[Costo Unitario (USD)]]+STOCK[[#This Row],[Costo Envío (USD)]]+STOCK[[#This Row],[Comisión 10%]]</f>
        <v>12.7222222222222</v>
      </c>
      <c r="U296" s="76">
        <f>STOCK[[#This Row],[Costo total]]*1.5</f>
        <v>19.0833333333333</v>
      </c>
      <c r="V296" s="76">
        <v>20</v>
      </c>
      <c r="W296" s="76">
        <f>STOCK[[#This Row],[Precio Final]]-STOCK[[#This Row],[Costo total]]</f>
        <v>7.27777777777778</v>
      </c>
      <c r="X296" s="76">
        <f>STOCK[[#This Row],[Ganancia Unitaria]]*STOCK[[#This Row],[Salidas]]</f>
        <v>21.8333333333333</v>
      </c>
      <c r="AA296" s="76">
        <f>STOCK[[#This Row],[Costo total]]*STOCK[[#This Row],[Entradas]]</f>
        <v>38.1666666666667</v>
      </c>
      <c r="AB296" s="76">
        <f>STOCK[[#This Row],[Stock Actual]]*STOCK[[#This Row],[Costo total]]</f>
        <v>0</v>
      </c>
    </row>
    <row r="297" s="77" customFormat="1" ht="50" customHeight="1" spans="1:28">
      <c r="A297" s="77" t="s">
        <v>632</v>
      </c>
      <c r="B297" s="6"/>
      <c r="C297" s="77" t="s">
        <v>30</v>
      </c>
      <c r="D297" s="77" t="s">
        <v>42</v>
      </c>
      <c r="E297" s="77" t="s">
        <v>631</v>
      </c>
      <c r="F297" s="77" t="s">
        <v>60</v>
      </c>
      <c r="G297" s="77" t="s">
        <v>34</v>
      </c>
      <c r="H297" s="77">
        <f>STOCK[[#This Row],[Precio Final]]</f>
        <v>15</v>
      </c>
      <c r="I297" s="77">
        <f>STOCK[[#This Row],[Precio Venta Ideal (x1.5)]]</f>
        <v>18.3333333333333</v>
      </c>
      <c r="J297" s="92">
        <v>3</v>
      </c>
      <c r="K297" s="92">
        <f>SUMIFS(VENTAS[Cantidad],VENTAS[Código del producto Vendido],STOCK[[#This Row],[Code]])</f>
        <v>3</v>
      </c>
      <c r="L297" s="92">
        <f>STOCK[[#This Row],[Entradas]]-STOCK[[#This Row],[Salidas]]</f>
        <v>0</v>
      </c>
      <c r="M297" s="77">
        <f>STOCK[[#This Row],[Precio Final]]*10%</f>
        <v>1.5</v>
      </c>
      <c r="N297" s="77">
        <v>166</v>
      </c>
      <c r="O297" s="77">
        <v>18</v>
      </c>
      <c r="P297" s="77">
        <v>9.22222222222222</v>
      </c>
      <c r="Q297" s="92">
        <v>150</v>
      </c>
      <c r="R297" s="77">
        <v>10</v>
      </c>
      <c r="S297" s="77">
        <f>STOCK[[#This Row],[Peso (g)]]*STOCK[[#This Row],[Precio Envío Kilogramo (USD)]]/1000</f>
        <v>1.5</v>
      </c>
      <c r="T297" s="76">
        <f>STOCK[[#This Row],[Costo Unitario (USD)]]+STOCK[[#This Row],[Costo Envío (USD)]]+STOCK[[#This Row],[Comisión 10%]]</f>
        <v>12.2222222222222</v>
      </c>
      <c r="U297" s="77">
        <f>STOCK[[#This Row],[Costo total]]*1.5</f>
        <v>18.3333333333333</v>
      </c>
      <c r="V297" s="77">
        <v>15</v>
      </c>
      <c r="W297" s="77">
        <f>STOCK[[#This Row],[Precio Final]]-STOCK[[#This Row],[Costo total]]</f>
        <v>2.77777777777778</v>
      </c>
      <c r="X297" s="77">
        <f>STOCK[[#This Row],[Ganancia Unitaria]]*STOCK[[#This Row],[Salidas]]</f>
        <v>8.33333333333334</v>
      </c>
      <c r="AA297" s="77">
        <f>STOCK[[#This Row],[Costo total]]*STOCK[[#This Row],[Entradas]]</f>
        <v>36.6666666666667</v>
      </c>
      <c r="AB297" s="77">
        <f>STOCK[[#This Row],[Stock Actual]]*STOCK[[#This Row],[Costo total]]</f>
        <v>0</v>
      </c>
    </row>
    <row r="298" s="76" customFormat="1" ht="50" customHeight="1" spans="1:28">
      <c r="A298" s="76" t="s">
        <v>633</v>
      </c>
      <c r="B298" s="6"/>
      <c r="C298" s="76" t="s">
        <v>30</v>
      </c>
      <c r="D298" s="76" t="s">
        <v>42</v>
      </c>
      <c r="E298" s="76" t="s">
        <v>631</v>
      </c>
      <c r="F298" s="76" t="s">
        <v>44</v>
      </c>
      <c r="G298" s="76" t="s">
        <v>34</v>
      </c>
      <c r="H298" s="76">
        <f>STOCK[[#This Row],[Precio Final]]</f>
        <v>16</v>
      </c>
      <c r="I298" s="76">
        <f>STOCK[[#This Row],[Precio Venta Ideal (x1.5)]]</f>
        <v>18.4833333333333</v>
      </c>
      <c r="J298" s="91">
        <v>3</v>
      </c>
      <c r="K298" s="91">
        <f>SUMIFS(VENTAS[Cantidad],VENTAS[Código del producto Vendido],STOCK[[#This Row],[Code]])</f>
        <v>3</v>
      </c>
      <c r="L298" s="91">
        <f>STOCK[[#This Row],[Entradas]]-STOCK[[#This Row],[Salidas]]</f>
        <v>0</v>
      </c>
      <c r="M298" s="76">
        <f>STOCK[[#This Row],[Precio Final]]*10%</f>
        <v>1.6</v>
      </c>
      <c r="N298" s="76">
        <v>166</v>
      </c>
      <c r="O298" s="76">
        <v>18</v>
      </c>
      <c r="P298" s="76">
        <v>9.22222222222222</v>
      </c>
      <c r="Q298" s="91">
        <v>150</v>
      </c>
      <c r="R298" s="76">
        <v>10</v>
      </c>
      <c r="S298" s="76">
        <f>STOCK[[#This Row],[Peso (g)]]*STOCK[[#This Row],[Precio Envío Kilogramo (USD)]]/1000</f>
        <v>1.5</v>
      </c>
      <c r="T298" s="76">
        <f>STOCK[[#This Row],[Costo Unitario (USD)]]+STOCK[[#This Row],[Costo Envío (USD)]]+STOCK[[#This Row],[Comisión 10%]]</f>
        <v>12.3222222222222</v>
      </c>
      <c r="U298" s="76">
        <f>STOCK[[#This Row],[Costo total]]*1.5</f>
        <v>18.4833333333333</v>
      </c>
      <c r="V298" s="76">
        <v>16</v>
      </c>
      <c r="W298" s="76">
        <f>STOCK[[#This Row],[Precio Final]]-STOCK[[#This Row],[Costo total]]</f>
        <v>3.67777777777778</v>
      </c>
      <c r="X298" s="76">
        <f>STOCK[[#This Row],[Ganancia Unitaria]]*STOCK[[#This Row],[Salidas]]</f>
        <v>11.0333333333333</v>
      </c>
      <c r="AA298" s="76">
        <f>STOCK[[#This Row],[Costo total]]*STOCK[[#This Row],[Entradas]]</f>
        <v>36.9666666666667</v>
      </c>
      <c r="AB298" s="76">
        <f>STOCK[[#This Row],[Stock Actual]]*STOCK[[#This Row],[Costo total]]</f>
        <v>0</v>
      </c>
    </row>
    <row r="299" s="77" customFormat="1" ht="50" customHeight="1" spans="1:28">
      <c r="A299" s="77" t="s">
        <v>634</v>
      </c>
      <c r="B299" s="6"/>
      <c r="C299" s="77" t="s">
        <v>30</v>
      </c>
      <c r="D299" s="77" t="s">
        <v>42</v>
      </c>
      <c r="E299" s="77" t="s">
        <v>635</v>
      </c>
      <c r="F299" s="77" t="s">
        <v>38</v>
      </c>
      <c r="G299" s="77" t="s">
        <v>34</v>
      </c>
      <c r="H299" s="77">
        <f>STOCK[[#This Row],[Precio Final]]</f>
        <v>16</v>
      </c>
      <c r="I299" s="77">
        <f>STOCK[[#This Row],[Precio Venta Ideal (x1.5)]]</f>
        <v>18.4833333333333</v>
      </c>
      <c r="J299" s="92">
        <v>4</v>
      </c>
      <c r="K299" s="92">
        <f>SUMIFS(VENTAS[Cantidad],VENTAS[Código del producto Vendido],STOCK[[#This Row],[Code]])</f>
        <v>4</v>
      </c>
      <c r="L299" s="92">
        <f>STOCK[[#This Row],[Entradas]]-STOCK[[#This Row],[Salidas]]</f>
        <v>0</v>
      </c>
      <c r="M299" s="77">
        <f>STOCK[[#This Row],[Precio Final]]*10%</f>
        <v>1.6</v>
      </c>
      <c r="N299" s="77">
        <v>166</v>
      </c>
      <c r="O299" s="77">
        <v>18</v>
      </c>
      <c r="P299" s="77">
        <v>9.22222222222222</v>
      </c>
      <c r="Q299" s="92">
        <v>150</v>
      </c>
      <c r="R299" s="77">
        <v>10</v>
      </c>
      <c r="S299" s="77">
        <f>STOCK[[#This Row],[Peso (g)]]*STOCK[[#This Row],[Precio Envío Kilogramo (USD)]]/1000</f>
        <v>1.5</v>
      </c>
      <c r="T299" s="76">
        <f>STOCK[[#This Row],[Costo Unitario (USD)]]+STOCK[[#This Row],[Costo Envío (USD)]]+STOCK[[#This Row],[Comisión 10%]]</f>
        <v>12.3222222222222</v>
      </c>
      <c r="U299" s="77">
        <f>STOCK[[#This Row],[Costo total]]*1.5</f>
        <v>18.4833333333333</v>
      </c>
      <c r="V299" s="77">
        <v>16</v>
      </c>
      <c r="W299" s="77">
        <f>STOCK[[#This Row],[Precio Final]]-STOCK[[#This Row],[Costo total]]</f>
        <v>3.67777777777778</v>
      </c>
      <c r="X299" s="77">
        <f>STOCK[[#This Row],[Ganancia Unitaria]]*STOCK[[#This Row],[Salidas]]</f>
        <v>14.7111111111111</v>
      </c>
      <c r="AA299" s="77">
        <f>STOCK[[#This Row],[Costo total]]*STOCK[[#This Row],[Entradas]]</f>
        <v>49.2888888888889</v>
      </c>
      <c r="AB299" s="77">
        <f>STOCK[[#This Row],[Stock Actual]]*STOCK[[#This Row],[Costo total]]</f>
        <v>0</v>
      </c>
    </row>
    <row r="300" s="76" customFormat="1" ht="50" customHeight="1" spans="1:28">
      <c r="A300" s="76" t="s">
        <v>636</v>
      </c>
      <c r="B300" s="6"/>
      <c r="C300" s="76" t="s">
        <v>30</v>
      </c>
      <c r="D300" s="76" t="s">
        <v>42</v>
      </c>
      <c r="E300" s="76" t="s">
        <v>635</v>
      </c>
      <c r="F300" s="76" t="s">
        <v>60</v>
      </c>
      <c r="G300" s="76" t="s">
        <v>34</v>
      </c>
      <c r="H300" s="76">
        <f>STOCK[[#This Row],[Precio Final]]</f>
        <v>20</v>
      </c>
      <c r="I300" s="76">
        <f>STOCK[[#This Row],[Precio Venta Ideal (x1.5)]]</f>
        <v>19.0833333333333</v>
      </c>
      <c r="J300" s="91">
        <v>2</v>
      </c>
      <c r="K300" s="91">
        <f>SUMIFS(VENTAS[Cantidad],VENTAS[Código del producto Vendido],STOCK[[#This Row],[Code]])</f>
        <v>2</v>
      </c>
      <c r="L300" s="91">
        <f>STOCK[[#This Row],[Entradas]]-STOCK[[#This Row],[Salidas]]</f>
        <v>0</v>
      </c>
      <c r="M300" s="76">
        <f>STOCK[[#This Row],[Precio Final]]*10%</f>
        <v>2</v>
      </c>
      <c r="N300" s="76">
        <v>166</v>
      </c>
      <c r="O300" s="76">
        <v>18</v>
      </c>
      <c r="P300" s="76">
        <v>9.22222222222222</v>
      </c>
      <c r="Q300" s="91">
        <v>150</v>
      </c>
      <c r="R300" s="76">
        <v>10</v>
      </c>
      <c r="S300" s="76">
        <f>STOCK[[#This Row],[Peso (g)]]*STOCK[[#This Row],[Precio Envío Kilogramo (USD)]]/1000</f>
        <v>1.5</v>
      </c>
      <c r="T300" s="76">
        <f>STOCK[[#This Row],[Costo Unitario (USD)]]+STOCK[[#This Row],[Costo Envío (USD)]]+STOCK[[#This Row],[Comisión 10%]]</f>
        <v>12.7222222222222</v>
      </c>
      <c r="U300" s="76">
        <f>STOCK[[#This Row],[Costo total]]*1.5</f>
        <v>19.0833333333333</v>
      </c>
      <c r="V300" s="76">
        <v>20</v>
      </c>
      <c r="W300" s="76">
        <f>STOCK[[#This Row],[Precio Final]]-STOCK[[#This Row],[Costo total]]</f>
        <v>7.27777777777778</v>
      </c>
      <c r="X300" s="76">
        <f>STOCK[[#This Row],[Ganancia Unitaria]]*STOCK[[#This Row],[Salidas]]</f>
        <v>14.5555555555556</v>
      </c>
      <c r="AA300" s="76">
        <f>STOCK[[#This Row],[Costo total]]*STOCK[[#This Row],[Entradas]]</f>
        <v>25.4444444444444</v>
      </c>
      <c r="AB300" s="76">
        <f>STOCK[[#This Row],[Stock Actual]]*STOCK[[#This Row],[Costo total]]</f>
        <v>0</v>
      </c>
    </row>
    <row r="301" s="77" customFormat="1" ht="50" customHeight="1" spans="1:28">
      <c r="A301" s="77" t="s">
        <v>637</v>
      </c>
      <c r="B301" s="6"/>
      <c r="C301" s="77" t="s">
        <v>30</v>
      </c>
      <c r="D301" s="77" t="s">
        <v>42</v>
      </c>
      <c r="E301" s="77" t="s">
        <v>638</v>
      </c>
      <c r="F301" s="77" t="s">
        <v>44</v>
      </c>
      <c r="G301" s="77" t="s">
        <v>34</v>
      </c>
      <c r="H301" s="77">
        <f>STOCK[[#This Row],[Precio Final]]</f>
        <v>20</v>
      </c>
      <c r="I301" s="77">
        <f>STOCK[[#This Row],[Precio Venta Ideal (x1.5)]]</f>
        <v>19.0833333333333</v>
      </c>
      <c r="J301" s="92">
        <v>4</v>
      </c>
      <c r="K301" s="92">
        <f>SUMIFS(VENTAS[Cantidad],VENTAS[Código del producto Vendido],STOCK[[#This Row],[Code]])</f>
        <v>4</v>
      </c>
      <c r="L301" s="92">
        <f>STOCK[[#This Row],[Entradas]]-STOCK[[#This Row],[Salidas]]</f>
        <v>0</v>
      </c>
      <c r="M301" s="77">
        <f>STOCK[[#This Row],[Precio Final]]*10%</f>
        <v>2</v>
      </c>
      <c r="N301" s="77">
        <v>166</v>
      </c>
      <c r="O301" s="77">
        <v>18</v>
      </c>
      <c r="P301" s="77">
        <v>9.22222222222222</v>
      </c>
      <c r="Q301" s="92">
        <v>150</v>
      </c>
      <c r="R301" s="77">
        <v>10</v>
      </c>
      <c r="S301" s="77">
        <f>STOCK[[#This Row],[Peso (g)]]*STOCK[[#This Row],[Precio Envío Kilogramo (USD)]]/1000</f>
        <v>1.5</v>
      </c>
      <c r="T301" s="76">
        <f>STOCK[[#This Row],[Costo Unitario (USD)]]+STOCK[[#This Row],[Costo Envío (USD)]]+STOCK[[#This Row],[Comisión 10%]]</f>
        <v>12.7222222222222</v>
      </c>
      <c r="U301" s="77">
        <f>STOCK[[#This Row],[Costo total]]*1.5</f>
        <v>19.0833333333333</v>
      </c>
      <c r="V301" s="77">
        <v>20</v>
      </c>
      <c r="W301" s="77">
        <f>STOCK[[#This Row],[Precio Final]]-STOCK[[#This Row],[Costo total]]</f>
        <v>7.27777777777778</v>
      </c>
      <c r="X301" s="77">
        <f>STOCK[[#This Row],[Ganancia Unitaria]]*STOCK[[#This Row],[Salidas]]</f>
        <v>29.1111111111111</v>
      </c>
      <c r="AA301" s="77">
        <f>STOCK[[#This Row],[Costo total]]*STOCK[[#This Row],[Entradas]]</f>
        <v>50.8888888888889</v>
      </c>
      <c r="AB301" s="77">
        <f>STOCK[[#This Row],[Stock Actual]]*STOCK[[#This Row],[Costo total]]</f>
        <v>0</v>
      </c>
    </row>
    <row r="302" s="76" customFormat="1" ht="50" customHeight="1" spans="1:28">
      <c r="A302" s="76" t="s">
        <v>639</v>
      </c>
      <c r="B302" s="6"/>
      <c r="C302" s="76" t="s">
        <v>30</v>
      </c>
      <c r="D302" s="76" t="s">
        <v>42</v>
      </c>
      <c r="E302" s="76" t="s">
        <v>640</v>
      </c>
      <c r="F302" s="76" t="s">
        <v>60</v>
      </c>
      <c r="G302" s="76" t="s">
        <v>34</v>
      </c>
      <c r="H302" s="76">
        <f>STOCK[[#This Row],[Precio Final]]</f>
        <v>20</v>
      </c>
      <c r="I302" s="76">
        <f>STOCK[[#This Row],[Precio Venta Ideal (x1.5)]]</f>
        <v>19.0833333333333</v>
      </c>
      <c r="J302" s="91">
        <v>4</v>
      </c>
      <c r="K302" s="91">
        <f>SUMIFS(VENTAS[Cantidad],VENTAS[Código del producto Vendido],STOCK[[#This Row],[Code]])</f>
        <v>4</v>
      </c>
      <c r="L302" s="91">
        <f>STOCK[[#This Row],[Entradas]]-STOCK[[#This Row],[Salidas]]</f>
        <v>0</v>
      </c>
      <c r="M302" s="76">
        <f>STOCK[[#This Row],[Precio Final]]*10%</f>
        <v>2</v>
      </c>
      <c r="N302" s="76">
        <v>166</v>
      </c>
      <c r="O302" s="76">
        <v>18</v>
      </c>
      <c r="P302" s="76">
        <v>9.22222222222222</v>
      </c>
      <c r="Q302" s="91">
        <v>150</v>
      </c>
      <c r="R302" s="76">
        <v>10</v>
      </c>
      <c r="S302" s="76">
        <f>STOCK[[#This Row],[Peso (g)]]*STOCK[[#This Row],[Precio Envío Kilogramo (USD)]]/1000</f>
        <v>1.5</v>
      </c>
      <c r="T302" s="76">
        <f>STOCK[[#This Row],[Costo Unitario (USD)]]+STOCK[[#This Row],[Costo Envío (USD)]]+STOCK[[#This Row],[Comisión 10%]]</f>
        <v>12.7222222222222</v>
      </c>
      <c r="U302" s="76">
        <f>STOCK[[#This Row],[Costo total]]*1.5</f>
        <v>19.0833333333333</v>
      </c>
      <c r="V302" s="76">
        <v>20</v>
      </c>
      <c r="W302" s="76">
        <f>STOCK[[#This Row],[Precio Final]]-STOCK[[#This Row],[Costo total]]</f>
        <v>7.27777777777778</v>
      </c>
      <c r="X302" s="76">
        <f>STOCK[[#This Row],[Ganancia Unitaria]]*STOCK[[#This Row],[Salidas]]</f>
        <v>29.1111111111111</v>
      </c>
      <c r="AA302" s="76">
        <f>STOCK[[#This Row],[Costo total]]*STOCK[[#This Row],[Entradas]]</f>
        <v>50.8888888888889</v>
      </c>
      <c r="AB302" s="76">
        <f>STOCK[[#This Row],[Stock Actual]]*STOCK[[#This Row],[Costo total]]</f>
        <v>0</v>
      </c>
    </row>
    <row r="303" s="77" customFormat="1" ht="50" customHeight="1" spans="1:28">
      <c r="A303" s="77" t="s">
        <v>641</v>
      </c>
      <c r="B303" s="6"/>
      <c r="C303" s="77" t="s">
        <v>30</v>
      </c>
      <c r="D303" s="77" t="s">
        <v>42</v>
      </c>
      <c r="E303" s="77" t="s">
        <v>640</v>
      </c>
      <c r="F303" s="77" t="s">
        <v>38</v>
      </c>
      <c r="G303" s="77" t="s">
        <v>34</v>
      </c>
      <c r="H303" s="77">
        <f>STOCK[[#This Row],[Precio Final]]</f>
        <v>16</v>
      </c>
      <c r="I303" s="77">
        <f>STOCK[[#This Row],[Precio Venta Ideal (x1.5)]]</f>
        <v>18.4833333333333</v>
      </c>
      <c r="J303" s="92">
        <v>3</v>
      </c>
      <c r="K303" s="92">
        <f>SUMIFS(VENTAS[Cantidad],VENTAS[Código del producto Vendido],STOCK[[#This Row],[Code]])</f>
        <v>3</v>
      </c>
      <c r="L303" s="92">
        <f>STOCK[[#This Row],[Entradas]]-STOCK[[#This Row],[Salidas]]</f>
        <v>0</v>
      </c>
      <c r="M303" s="77">
        <f>STOCK[[#This Row],[Precio Final]]*10%</f>
        <v>1.6</v>
      </c>
      <c r="N303" s="77">
        <v>166</v>
      </c>
      <c r="O303" s="77">
        <v>18</v>
      </c>
      <c r="P303" s="77">
        <v>9.22222222222222</v>
      </c>
      <c r="Q303" s="92">
        <v>150</v>
      </c>
      <c r="R303" s="77">
        <v>10</v>
      </c>
      <c r="S303" s="77">
        <f>STOCK[[#This Row],[Peso (g)]]*STOCK[[#This Row],[Precio Envío Kilogramo (USD)]]/1000</f>
        <v>1.5</v>
      </c>
      <c r="T303" s="76">
        <f>STOCK[[#This Row],[Costo Unitario (USD)]]+STOCK[[#This Row],[Costo Envío (USD)]]+STOCK[[#This Row],[Comisión 10%]]</f>
        <v>12.3222222222222</v>
      </c>
      <c r="U303" s="77">
        <f>STOCK[[#This Row],[Costo total]]*1.5</f>
        <v>18.4833333333333</v>
      </c>
      <c r="V303" s="77">
        <v>16</v>
      </c>
      <c r="W303" s="77">
        <f>STOCK[[#This Row],[Precio Final]]-STOCK[[#This Row],[Costo total]]</f>
        <v>3.67777777777778</v>
      </c>
      <c r="X303" s="77">
        <f>STOCK[[#This Row],[Ganancia Unitaria]]*STOCK[[#This Row],[Salidas]]</f>
        <v>11.0333333333333</v>
      </c>
      <c r="AA303" s="77">
        <f>STOCK[[#This Row],[Costo total]]*STOCK[[#This Row],[Entradas]]</f>
        <v>36.9666666666667</v>
      </c>
      <c r="AB303" s="77">
        <f>STOCK[[#This Row],[Stock Actual]]*STOCK[[#This Row],[Costo total]]</f>
        <v>0</v>
      </c>
    </row>
    <row r="304" s="76" customFormat="1" ht="50" customHeight="1" spans="1:28">
      <c r="A304" s="76" t="s">
        <v>642</v>
      </c>
      <c r="B304" s="6"/>
      <c r="C304" s="76" t="s">
        <v>30</v>
      </c>
      <c r="D304" s="76" t="s">
        <v>42</v>
      </c>
      <c r="E304" s="76" t="s">
        <v>643</v>
      </c>
      <c r="F304" s="76" t="s">
        <v>60</v>
      </c>
      <c r="G304" s="76" t="s">
        <v>34</v>
      </c>
      <c r="H304" s="76">
        <f>STOCK[[#This Row],[Precio Final]]</f>
        <v>15</v>
      </c>
      <c r="I304" s="76">
        <f>STOCK[[#This Row],[Precio Venta Ideal (x1.5)]]</f>
        <v>18.3333333333333</v>
      </c>
      <c r="J304" s="91">
        <v>4</v>
      </c>
      <c r="K304" s="91">
        <f>SUMIFS(VENTAS[Cantidad],VENTAS[Código del producto Vendido],STOCK[[#This Row],[Code]])</f>
        <v>4</v>
      </c>
      <c r="L304" s="91">
        <f>STOCK[[#This Row],[Entradas]]-STOCK[[#This Row],[Salidas]]</f>
        <v>0</v>
      </c>
      <c r="M304" s="76">
        <f>STOCK[[#This Row],[Precio Final]]*10%</f>
        <v>1.5</v>
      </c>
      <c r="N304" s="76">
        <v>166</v>
      </c>
      <c r="O304" s="76">
        <v>18</v>
      </c>
      <c r="P304" s="76">
        <v>9.22222222222222</v>
      </c>
      <c r="Q304" s="91">
        <v>150</v>
      </c>
      <c r="R304" s="76">
        <v>10</v>
      </c>
      <c r="S304" s="76">
        <f>STOCK[[#This Row],[Peso (g)]]*STOCK[[#This Row],[Precio Envío Kilogramo (USD)]]/1000</f>
        <v>1.5</v>
      </c>
      <c r="T304" s="76">
        <f>STOCK[[#This Row],[Costo Unitario (USD)]]+STOCK[[#This Row],[Costo Envío (USD)]]+STOCK[[#This Row],[Comisión 10%]]</f>
        <v>12.2222222222222</v>
      </c>
      <c r="U304" s="76">
        <f>STOCK[[#This Row],[Costo total]]*1.5</f>
        <v>18.3333333333333</v>
      </c>
      <c r="V304" s="76">
        <v>15</v>
      </c>
      <c r="W304" s="76">
        <f>STOCK[[#This Row],[Precio Final]]-STOCK[[#This Row],[Costo total]]</f>
        <v>2.77777777777778</v>
      </c>
      <c r="X304" s="76">
        <f>STOCK[[#This Row],[Ganancia Unitaria]]*STOCK[[#This Row],[Salidas]]</f>
        <v>11.1111111111111</v>
      </c>
      <c r="AA304" s="76">
        <f>STOCK[[#This Row],[Costo total]]*STOCK[[#This Row],[Entradas]]</f>
        <v>48.8888888888889</v>
      </c>
      <c r="AB304" s="76">
        <f>STOCK[[#This Row],[Stock Actual]]*STOCK[[#This Row],[Costo total]]</f>
        <v>0</v>
      </c>
    </row>
    <row r="305" s="77" customFormat="1" ht="50" customHeight="1" spans="1:29">
      <c r="A305" s="77" t="s">
        <v>644</v>
      </c>
      <c r="B305" s="6"/>
      <c r="C305" s="77" t="s">
        <v>30</v>
      </c>
      <c r="D305" s="77" t="s">
        <v>215</v>
      </c>
      <c r="E305" s="77" t="s">
        <v>645</v>
      </c>
      <c r="F305" s="77" t="s">
        <v>38</v>
      </c>
      <c r="G305" s="77" t="s">
        <v>34</v>
      </c>
      <c r="H305" s="77">
        <f>STOCK[[#This Row],[Precio Final]]</f>
        <v>20</v>
      </c>
      <c r="I305" s="77">
        <f>STOCK[[#This Row],[Precio Venta Ideal (x1.5)]]</f>
        <v>19.0833333333333</v>
      </c>
      <c r="J305" s="92">
        <v>5</v>
      </c>
      <c r="K305" s="92">
        <f>SUMIFS(VENTAS[Cantidad],VENTAS[Código del producto Vendido],STOCK[[#This Row],[Code]])</f>
        <v>2</v>
      </c>
      <c r="L305" s="92">
        <f>STOCK[[#This Row],[Entradas]]-STOCK[[#This Row],[Salidas]]</f>
        <v>3</v>
      </c>
      <c r="M305" s="77">
        <f>STOCK[[#This Row],[Precio Final]]*10%</f>
        <v>2</v>
      </c>
      <c r="N305" s="77">
        <v>166</v>
      </c>
      <c r="O305" s="77">
        <v>18</v>
      </c>
      <c r="P305" s="77">
        <v>9.22222222222222</v>
      </c>
      <c r="Q305" s="92">
        <v>150</v>
      </c>
      <c r="R305" s="77">
        <v>10</v>
      </c>
      <c r="S305" s="77">
        <f>STOCK[[#This Row],[Peso (g)]]*STOCK[[#This Row],[Precio Envío Kilogramo (USD)]]/1000</f>
        <v>1.5</v>
      </c>
      <c r="T305" s="76">
        <f>STOCK[[#This Row],[Costo Unitario (USD)]]+STOCK[[#This Row],[Costo Envío (USD)]]+STOCK[[#This Row],[Comisión 10%]]</f>
        <v>12.7222222222222</v>
      </c>
      <c r="U305" s="77">
        <f>STOCK[[#This Row],[Costo total]]*1.5</f>
        <v>19.0833333333333</v>
      </c>
      <c r="V305" s="77">
        <v>20</v>
      </c>
      <c r="W305" s="77">
        <f>STOCK[[#This Row],[Precio Final]]-STOCK[[#This Row],[Costo total]]</f>
        <v>7.27777777777778</v>
      </c>
      <c r="X305" s="77">
        <f>STOCK[[#This Row],[Ganancia Unitaria]]*STOCK[[#This Row],[Salidas]]</f>
        <v>14.5555555555556</v>
      </c>
      <c r="AA305" s="77">
        <f>STOCK[[#This Row],[Costo total]]*STOCK[[#This Row],[Entradas]]</f>
        <v>63.6111111111111</v>
      </c>
      <c r="AB305" s="77">
        <f>STOCK[[#This Row],[Stock Actual]]*STOCK[[#This Row],[Costo total]]</f>
        <v>38.1666666666667</v>
      </c>
      <c r="AC305" s="77">
        <v>15</v>
      </c>
    </row>
    <row r="306" s="76" customFormat="1" ht="50" customHeight="1" spans="1:28">
      <c r="A306" s="76" t="s">
        <v>646</v>
      </c>
      <c r="B306" s="6"/>
      <c r="C306" s="76" t="s">
        <v>30</v>
      </c>
      <c r="D306" s="76" t="s">
        <v>42</v>
      </c>
      <c r="E306" s="76" t="s">
        <v>645</v>
      </c>
      <c r="F306" s="76" t="s">
        <v>60</v>
      </c>
      <c r="G306" s="76" t="s">
        <v>34</v>
      </c>
      <c r="H306" s="76">
        <f>STOCK[[#This Row],[Precio Final]]</f>
        <v>15</v>
      </c>
      <c r="I306" s="76">
        <f>STOCK[[#This Row],[Precio Venta Ideal (x1.5)]]</f>
        <v>18.3333333333333</v>
      </c>
      <c r="J306" s="91">
        <v>2</v>
      </c>
      <c r="K306" s="91">
        <f>SUMIFS(VENTAS[Cantidad],VENTAS[Código del producto Vendido],STOCK[[#This Row],[Code]])</f>
        <v>2</v>
      </c>
      <c r="L306" s="91">
        <f>STOCK[[#This Row],[Entradas]]-STOCK[[#This Row],[Salidas]]</f>
        <v>0</v>
      </c>
      <c r="M306" s="76">
        <f>STOCK[[#This Row],[Precio Final]]*10%</f>
        <v>1.5</v>
      </c>
      <c r="N306" s="76">
        <v>166</v>
      </c>
      <c r="O306" s="76">
        <v>18</v>
      </c>
      <c r="P306" s="76">
        <v>9.22222222222222</v>
      </c>
      <c r="Q306" s="91">
        <v>150</v>
      </c>
      <c r="R306" s="76">
        <v>10</v>
      </c>
      <c r="S306" s="76">
        <f>STOCK[[#This Row],[Peso (g)]]*STOCK[[#This Row],[Precio Envío Kilogramo (USD)]]/1000</f>
        <v>1.5</v>
      </c>
      <c r="T306" s="76">
        <f>STOCK[[#This Row],[Costo Unitario (USD)]]+STOCK[[#This Row],[Costo Envío (USD)]]+STOCK[[#This Row],[Comisión 10%]]</f>
        <v>12.2222222222222</v>
      </c>
      <c r="U306" s="76">
        <f>STOCK[[#This Row],[Costo total]]*1.5</f>
        <v>18.3333333333333</v>
      </c>
      <c r="V306" s="76">
        <v>15</v>
      </c>
      <c r="W306" s="76">
        <f>STOCK[[#This Row],[Precio Final]]-STOCK[[#This Row],[Costo total]]</f>
        <v>2.77777777777778</v>
      </c>
      <c r="X306" s="76">
        <f>STOCK[[#This Row],[Ganancia Unitaria]]*STOCK[[#This Row],[Salidas]]</f>
        <v>5.55555555555556</v>
      </c>
      <c r="AA306" s="76">
        <f>STOCK[[#This Row],[Costo total]]*STOCK[[#This Row],[Entradas]]</f>
        <v>24.4444444444444</v>
      </c>
      <c r="AB306" s="76">
        <f>STOCK[[#This Row],[Stock Actual]]*STOCK[[#This Row],[Costo total]]</f>
        <v>0</v>
      </c>
    </row>
    <row r="307" s="77" customFormat="1" ht="50" customHeight="1" spans="1:28">
      <c r="A307" s="77" t="s">
        <v>647</v>
      </c>
      <c r="B307" s="6"/>
      <c r="C307" s="77" t="s">
        <v>30</v>
      </c>
      <c r="D307" s="77" t="s">
        <v>648</v>
      </c>
      <c r="E307" s="77" t="s">
        <v>645</v>
      </c>
      <c r="F307" s="77" t="s">
        <v>44</v>
      </c>
      <c r="G307" s="77" t="s">
        <v>34</v>
      </c>
      <c r="H307" s="77">
        <f>STOCK[[#This Row],[Precio Final]]</f>
        <v>20</v>
      </c>
      <c r="I307" s="77">
        <f>STOCK[[#This Row],[Precio Venta Ideal (x1.5)]]</f>
        <v>19.0833333333333</v>
      </c>
      <c r="J307" s="92">
        <v>3</v>
      </c>
      <c r="K307" s="92">
        <f>SUMIFS(VENTAS[Cantidad],VENTAS[Código del producto Vendido],STOCK[[#This Row],[Code]])</f>
        <v>3</v>
      </c>
      <c r="L307" s="92">
        <f>STOCK[[#This Row],[Entradas]]-STOCK[[#This Row],[Salidas]]</f>
        <v>0</v>
      </c>
      <c r="M307" s="77">
        <f>STOCK[[#This Row],[Precio Final]]*10%</f>
        <v>2</v>
      </c>
      <c r="N307" s="77">
        <v>166</v>
      </c>
      <c r="O307" s="77">
        <v>18</v>
      </c>
      <c r="P307" s="77">
        <v>9.22222222222222</v>
      </c>
      <c r="Q307" s="92">
        <v>150</v>
      </c>
      <c r="R307" s="77">
        <v>10</v>
      </c>
      <c r="S307" s="77">
        <f>STOCK[[#This Row],[Peso (g)]]*STOCK[[#This Row],[Precio Envío Kilogramo (USD)]]/1000</f>
        <v>1.5</v>
      </c>
      <c r="T307" s="76">
        <f>STOCK[[#This Row],[Costo Unitario (USD)]]+STOCK[[#This Row],[Costo Envío (USD)]]+STOCK[[#This Row],[Comisión 10%]]</f>
        <v>12.7222222222222</v>
      </c>
      <c r="U307" s="77">
        <f>STOCK[[#This Row],[Costo total]]*1.5</f>
        <v>19.0833333333333</v>
      </c>
      <c r="V307" s="77">
        <v>20</v>
      </c>
      <c r="W307" s="77">
        <f>STOCK[[#This Row],[Precio Final]]-STOCK[[#This Row],[Costo total]]</f>
        <v>7.27777777777778</v>
      </c>
      <c r="X307" s="77">
        <f>STOCK[[#This Row],[Ganancia Unitaria]]*STOCK[[#This Row],[Salidas]]</f>
        <v>21.8333333333333</v>
      </c>
      <c r="AA307" s="77">
        <f>STOCK[[#This Row],[Costo total]]*STOCK[[#This Row],[Entradas]]</f>
        <v>38.1666666666667</v>
      </c>
      <c r="AB307" s="77">
        <f>STOCK[[#This Row],[Stock Actual]]*STOCK[[#This Row],[Costo total]]</f>
        <v>0</v>
      </c>
    </row>
    <row r="308" s="76" customFormat="1" ht="50" customHeight="1" spans="1:28">
      <c r="A308" s="76" t="s">
        <v>649</v>
      </c>
      <c r="B308" s="6"/>
      <c r="C308" s="76" t="s">
        <v>30</v>
      </c>
      <c r="D308" s="76" t="s">
        <v>42</v>
      </c>
      <c r="E308" s="76" t="s">
        <v>650</v>
      </c>
      <c r="F308" s="76" t="s">
        <v>44</v>
      </c>
      <c r="G308" s="76" t="s">
        <v>34</v>
      </c>
      <c r="H308" s="76">
        <f>STOCK[[#This Row],[Precio Final]]</f>
        <v>20</v>
      </c>
      <c r="I308" s="76">
        <f>STOCK[[#This Row],[Precio Venta Ideal (x1.5)]]</f>
        <v>19.0833333333333</v>
      </c>
      <c r="J308" s="91">
        <v>4</v>
      </c>
      <c r="K308" s="91">
        <f>SUMIFS(VENTAS[Cantidad],VENTAS[Código del producto Vendido],STOCK[[#This Row],[Code]])</f>
        <v>4</v>
      </c>
      <c r="L308" s="91">
        <f>STOCK[[#This Row],[Entradas]]-STOCK[[#This Row],[Salidas]]</f>
        <v>0</v>
      </c>
      <c r="M308" s="76">
        <f>STOCK[[#This Row],[Precio Final]]*10%</f>
        <v>2</v>
      </c>
      <c r="N308" s="76">
        <v>166</v>
      </c>
      <c r="O308" s="76">
        <v>18</v>
      </c>
      <c r="P308" s="76">
        <v>9.22222222222222</v>
      </c>
      <c r="Q308" s="91">
        <v>150</v>
      </c>
      <c r="R308" s="76">
        <v>10</v>
      </c>
      <c r="S308" s="76">
        <f>STOCK[[#This Row],[Peso (g)]]*STOCK[[#This Row],[Precio Envío Kilogramo (USD)]]/1000</f>
        <v>1.5</v>
      </c>
      <c r="T308" s="76">
        <f>STOCK[[#This Row],[Costo Unitario (USD)]]+STOCK[[#This Row],[Costo Envío (USD)]]+STOCK[[#This Row],[Comisión 10%]]</f>
        <v>12.7222222222222</v>
      </c>
      <c r="U308" s="76">
        <f>STOCK[[#This Row],[Costo total]]*1.5</f>
        <v>19.0833333333333</v>
      </c>
      <c r="V308" s="76">
        <v>20</v>
      </c>
      <c r="W308" s="76">
        <f>STOCK[[#This Row],[Precio Final]]-STOCK[[#This Row],[Costo total]]</f>
        <v>7.27777777777778</v>
      </c>
      <c r="X308" s="76">
        <f>STOCK[[#This Row],[Ganancia Unitaria]]*STOCK[[#This Row],[Salidas]]</f>
        <v>29.1111111111111</v>
      </c>
      <c r="AA308" s="76">
        <f>STOCK[[#This Row],[Costo total]]*STOCK[[#This Row],[Entradas]]</f>
        <v>50.8888888888889</v>
      </c>
      <c r="AB308" s="76">
        <f>STOCK[[#This Row],[Stock Actual]]*STOCK[[#This Row],[Costo total]]</f>
        <v>0</v>
      </c>
    </row>
    <row r="309" s="77" customFormat="1" ht="50" customHeight="1" spans="1:28">
      <c r="A309" s="77" t="s">
        <v>651</v>
      </c>
      <c r="B309" s="6"/>
      <c r="C309" s="77" t="s">
        <v>30</v>
      </c>
      <c r="D309" s="77" t="s">
        <v>42</v>
      </c>
      <c r="E309" s="77" t="s">
        <v>652</v>
      </c>
      <c r="F309" s="77" t="s">
        <v>44</v>
      </c>
      <c r="G309" s="77" t="s">
        <v>34</v>
      </c>
      <c r="H309" s="77">
        <f>STOCK[[#This Row],[Precio Final]]</f>
        <v>20</v>
      </c>
      <c r="I309" s="77">
        <f>STOCK[[#This Row],[Precio Venta Ideal (x1.5)]]</f>
        <v>19.0833333333333</v>
      </c>
      <c r="J309" s="92">
        <v>4</v>
      </c>
      <c r="K309" s="92">
        <f>SUMIFS(VENTAS[Cantidad],VENTAS[Código del producto Vendido],STOCK[[#This Row],[Code]])</f>
        <v>4</v>
      </c>
      <c r="L309" s="92">
        <f>STOCK[[#This Row],[Entradas]]-STOCK[[#This Row],[Salidas]]</f>
        <v>0</v>
      </c>
      <c r="M309" s="77">
        <f>STOCK[[#This Row],[Precio Final]]*10%</f>
        <v>2</v>
      </c>
      <c r="N309" s="77">
        <v>166</v>
      </c>
      <c r="O309" s="77">
        <v>18</v>
      </c>
      <c r="P309" s="77">
        <v>9.22222222222222</v>
      </c>
      <c r="Q309" s="92">
        <v>150</v>
      </c>
      <c r="R309" s="77">
        <v>10</v>
      </c>
      <c r="S309" s="77">
        <f>STOCK[[#This Row],[Peso (g)]]*STOCK[[#This Row],[Precio Envío Kilogramo (USD)]]/1000</f>
        <v>1.5</v>
      </c>
      <c r="T309" s="76">
        <f>STOCK[[#This Row],[Costo Unitario (USD)]]+STOCK[[#This Row],[Costo Envío (USD)]]+STOCK[[#This Row],[Comisión 10%]]</f>
        <v>12.7222222222222</v>
      </c>
      <c r="U309" s="77">
        <f>STOCK[[#This Row],[Costo total]]*1.5</f>
        <v>19.0833333333333</v>
      </c>
      <c r="V309" s="77">
        <v>20</v>
      </c>
      <c r="W309" s="77">
        <f>STOCK[[#This Row],[Precio Final]]-STOCK[[#This Row],[Costo total]]</f>
        <v>7.27777777777778</v>
      </c>
      <c r="X309" s="77">
        <f>STOCK[[#This Row],[Ganancia Unitaria]]*STOCK[[#This Row],[Salidas]]</f>
        <v>29.1111111111111</v>
      </c>
      <c r="AA309" s="77">
        <f>STOCK[[#This Row],[Costo total]]*STOCK[[#This Row],[Entradas]]</f>
        <v>50.8888888888889</v>
      </c>
      <c r="AB309" s="77">
        <f>STOCK[[#This Row],[Stock Actual]]*STOCK[[#This Row],[Costo total]]</f>
        <v>0</v>
      </c>
    </row>
    <row r="310" s="76" customFormat="1" ht="50" customHeight="1" spans="1:28">
      <c r="A310" s="76" t="s">
        <v>653</v>
      </c>
      <c r="B310" s="6"/>
      <c r="C310" s="76" t="s">
        <v>30</v>
      </c>
      <c r="D310" s="76" t="s">
        <v>42</v>
      </c>
      <c r="E310" s="76" t="s">
        <v>654</v>
      </c>
      <c r="F310" s="76" t="s">
        <v>44</v>
      </c>
      <c r="G310" s="76" t="s">
        <v>34</v>
      </c>
      <c r="H310" s="76">
        <f>STOCK[[#This Row],[Precio Final]]</f>
        <v>20</v>
      </c>
      <c r="I310" s="76">
        <f>STOCK[[#This Row],[Precio Venta Ideal (x1.5)]]</f>
        <v>19.0833333333333</v>
      </c>
      <c r="J310" s="91">
        <v>4</v>
      </c>
      <c r="K310" s="91">
        <f>SUMIFS(VENTAS[Cantidad],VENTAS[Código del producto Vendido],STOCK[[#This Row],[Code]])</f>
        <v>4</v>
      </c>
      <c r="L310" s="91">
        <f>STOCK[[#This Row],[Entradas]]-STOCK[[#This Row],[Salidas]]</f>
        <v>0</v>
      </c>
      <c r="M310" s="76">
        <f>STOCK[[#This Row],[Precio Final]]*10%</f>
        <v>2</v>
      </c>
      <c r="N310" s="76">
        <v>166</v>
      </c>
      <c r="O310" s="76">
        <v>18</v>
      </c>
      <c r="P310" s="76">
        <v>9.22222222222222</v>
      </c>
      <c r="Q310" s="91">
        <v>150</v>
      </c>
      <c r="R310" s="76">
        <v>10</v>
      </c>
      <c r="S310" s="76">
        <f>STOCK[[#This Row],[Peso (g)]]*STOCK[[#This Row],[Precio Envío Kilogramo (USD)]]/1000</f>
        <v>1.5</v>
      </c>
      <c r="T310" s="76">
        <f>STOCK[[#This Row],[Costo Unitario (USD)]]+STOCK[[#This Row],[Costo Envío (USD)]]+STOCK[[#This Row],[Comisión 10%]]</f>
        <v>12.7222222222222</v>
      </c>
      <c r="U310" s="76">
        <f>STOCK[[#This Row],[Costo total]]*1.5</f>
        <v>19.0833333333333</v>
      </c>
      <c r="V310" s="76">
        <v>20</v>
      </c>
      <c r="W310" s="76">
        <f>STOCK[[#This Row],[Precio Final]]-STOCK[[#This Row],[Costo total]]</f>
        <v>7.27777777777778</v>
      </c>
      <c r="X310" s="76">
        <f>STOCK[[#This Row],[Ganancia Unitaria]]*STOCK[[#This Row],[Salidas]]</f>
        <v>29.1111111111111</v>
      </c>
      <c r="AA310" s="76">
        <f>STOCK[[#This Row],[Costo total]]*STOCK[[#This Row],[Entradas]]</f>
        <v>50.8888888888889</v>
      </c>
      <c r="AB310" s="76">
        <f>STOCK[[#This Row],[Stock Actual]]*STOCK[[#This Row],[Costo total]]</f>
        <v>0</v>
      </c>
    </row>
    <row r="311" s="77" customFormat="1" ht="50" customHeight="1" spans="1:28">
      <c r="A311" s="77" t="s">
        <v>655</v>
      </c>
      <c r="B311" s="6"/>
      <c r="C311" s="77" t="s">
        <v>30</v>
      </c>
      <c r="D311" s="77" t="s">
        <v>42</v>
      </c>
      <c r="E311" s="77" t="s">
        <v>656</v>
      </c>
      <c r="F311" s="77" t="s">
        <v>44</v>
      </c>
      <c r="G311" s="77" t="s">
        <v>34</v>
      </c>
      <c r="H311" s="77">
        <f>STOCK[[#This Row],[Precio Final]]</f>
        <v>20</v>
      </c>
      <c r="I311" s="77">
        <f>STOCK[[#This Row],[Precio Venta Ideal (x1.5)]]</f>
        <v>19.0833333333333</v>
      </c>
      <c r="J311" s="92">
        <v>4</v>
      </c>
      <c r="K311" s="92">
        <f>SUMIFS(VENTAS[Cantidad],VENTAS[Código del producto Vendido],STOCK[[#This Row],[Code]])</f>
        <v>4</v>
      </c>
      <c r="L311" s="92">
        <f>STOCK[[#This Row],[Entradas]]-STOCK[[#This Row],[Salidas]]</f>
        <v>0</v>
      </c>
      <c r="M311" s="77">
        <f>STOCK[[#This Row],[Precio Final]]*10%</f>
        <v>2</v>
      </c>
      <c r="N311" s="77">
        <v>166</v>
      </c>
      <c r="O311" s="77">
        <v>18</v>
      </c>
      <c r="P311" s="77">
        <v>9.22222222222222</v>
      </c>
      <c r="Q311" s="92">
        <v>150</v>
      </c>
      <c r="R311" s="77">
        <v>10</v>
      </c>
      <c r="S311" s="77">
        <f>STOCK[[#This Row],[Peso (g)]]*STOCK[[#This Row],[Precio Envío Kilogramo (USD)]]/1000</f>
        <v>1.5</v>
      </c>
      <c r="T311" s="76">
        <f>STOCK[[#This Row],[Costo Unitario (USD)]]+STOCK[[#This Row],[Costo Envío (USD)]]+STOCK[[#This Row],[Comisión 10%]]</f>
        <v>12.7222222222222</v>
      </c>
      <c r="U311" s="77">
        <f>STOCK[[#This Row],[Costo total]]*1.5</f>
        <v>19.0833333333333</v>
      </c>
      <c r="V311" s="77">
        <v>20</v>
      </c>
      <c r="W311" s="77">
        <f>STOCK[[#This Row],[Precio Final]]-STOCK[[#This Row],[Costo total]]</f>
        <v>7.27777777777778</v>
      </c>
      <c r="X311" s="77">
        <f>STOCK[[#This Row],[Ganancia Unitaria]]*STOCK[[#This Row],[Salidas]]</f>
        <v>29.1111111111111</v>
      </c>
      <c r="AA311" s="77">
        <f>STOCK[[#This Row],[Costo total]]*STOCK[[#This Row],[Entradas]]</f>
        <v>50.8888888888889</v>
      </c>
      <c r="AB311" s="77">
        <f>STOCK[[#This Row],[Stock Actual]]*STOCK[[#This Row],[Costo total]]</f>
        <v>0</v>
      </c>
    </row>
    <row r="312" s="76" customFormat="1" ht="50" customHeight="1" spans="1:28">
      <c r="A312" s="76" t="s">
        <v>657</v>
      </c>
      <c r="B312" s="6"/>
      <c r="C312" s="76" t="s">
        <v>30</v>
      </c>
      <c r="D312" s="76" t="s">
        <v>42</v>
      </c>
      <c r="E312" s="76" t="s">
        <v>658</v>
      </c>
      <c r="F312" s="76" t="s">
        <v>44</v>
      </c>
      <c r="G312" s="76" t="s">
        <v>34</v>
      </c>
      <c r="H312" s="76">
        <f>STOCK[[#This Row],[Precio Final]]</f>
        <v>18</v>
      </c>
      <c r="I312" s="76">
        <f>STOCK[[#This Row],[Precio Venta Ideal (x1.5)]]</f>
        <v>18.7833333333333</v>
      </c>
      <c r="J312" s="91">
        <v>4</v>
      </c>
      <c r="K312" s="91">
        <f>SUMIFS(VENTAS[Cantidad],VENTAS[Código del producto Vendido],STOCK[[#This Row],[Code]])</f>
        <v>4</v>
      </c>
      <c r="L312" s="91">
        <f>STOCK[[#This Row],[Entradas]]-STOCK[[#This Row],[Salidas]]</f>
        <v>0</v>
      </c>
      <c r="M312" s="76">
        <f>STOCK[[#This Row],[Precio Final]]*10%</f>
        <v>1.8</v>
      </c>
      <c r="N312" s="76">
        <v>166</v>
      </c>
      <c r="O312" s="76">
        <v>18</v>
      </c>
      <c r="P312" s="76">
        <v>9.22222222222222</v>
      </c>
      <c r="Q312" s="91">
        <v>150</v>
      </c>
      <c r="R312" s="76">
        <v>10</v>
      </c>
      <c r="S312" s="76">
        <f>STOCK[[#This Row],[Peso (g)]]*STOCK[[#This Row],[Precio Envío Kilogramo (USD)]]/1000</f>
        <v>1.5</v>
      </c>
      <c r="T312" s="76">
        <f>STOCK[[#This Row],[Costo Unitario (USD)]]+STOCK[[#This Row],[Costo Envío (USD)]]+STOCK[[#This Row],[Comisión 10%]]</f>
        <v>12.5222222222222</v>
      </c>
      <c r="U312" s="76">
        <f>STOCK[[#This Row],[Costo total]]*1.5</f>
        <v>18.7833333333333</v>
      </c>
      <c r="V312" s="76">
        <v>18</v>
      </c>
      <c r="W312" s="76">
        <f>STOCK[[#This Row],[Precio Final]]-STOCK[[#This Row],[Costo total]]</f>
        <v>5.47777777777778</v>
      </c>
      <c r="X312" s="76">
        <f>STOCK[[#This Row],[Ganancia Unitaria]]*STOCK[[#This Row],[Salidas]]</f>
        <v>21.9111111111111</v>
      </c>
      <c r="AA312" s="76">
        <f>STOCK[[#This Row],[Costo total]]*STOCK[[#This Row],[Entradas]]</f>
        <v>50.0888888888889</v>
      </c>
      <c r="AB312" s="76">
        <f>STOCK[[#This Row],[Stock Actual]]*STOCK[[#This Row],[Costo total]]</f>
        <v>0</v>
      </c>
    </row>
    <row r="313" s="77" customFormat="1" ht="50" customHeight="1" spans="1:28">
      <c r="A313" s="77" t="s">
        <v>659</v>
      </c>
      <c r="B313" s="6"/>
      <c r="C313" s="77" t="s">
        <v>30</v>
      </c>
      <c r="D313" s="77" t="s">
        <v>42</v>
      </c>
      <c r="E313" s="77" t="s">
        <v>660</v>
      </c>
      <c r="F313" s="77" t="s">
        <v>60</v>
      </c>
      <c r="G313" s="77" t="s">
        <v>34</v>
      </c>
      <c r="H313" s="77">
        <f>STOCK[[#This Row],[Precio Final]]</f>
        <v>18</v>
      </c>
      <c r="I313" s="77">
        <f>STOCK[[#This Row],[Precio Venta Ideal (x1.5)]]</f>
        <v>18.7833333333333</v>
      </c>
      <c r="J313" s="92">
        <v>4</v>
      </c>
      <c r="K313" s="92">
        <f>SUMIFS(VENTAS[Cantidad],VENTAS[Código del producto Vendido],STOCK[[#This Row],[Code]])</f>
        <v>4</v>
      </c>
      <c r="L313" s="92">
        <f>STOCK[[#This Row],[Entradas]]-STOCK[[#This Row],[Salidas]]</f>
        <v>0</v>
      </c>
      <c r="M313" s="77">
        <f>STOCK[[#This Row],[Precio Final]]*10%</f>
        <v>1.8</v>
      </c>
      <c r="N313" s="77">
        <v>166</v>
      </c>
      <c r="O313" s="77">
        <v>18</v>
      </c>
      <c r="P313" s="77">
        <v>9.22222222222222</v>
      </c>
      <c r="Q313" s="92">
        <v>150</v>
      </c>
      <c r="R313" s="77">
        <v>10</v>
      </c>
      <c r="S313" s="77">
        <f>STOCK[[#This Row],[Peso (g)]]*STOCK[[#This Row],[Precio Envío Kilogramo (USD)]]/1000</f>
        <v>1.5</v>
      </c>
      <c r="T313" s="76">
        <f>STOCK[[#This Row],[Costo Unitario (USD)]]+STOCK[[#This Row],[Costo Envío (USD)]]+STOCK[[#This Row],[Comisión 10%]]</f>
        <v>12.5222222222222</v>
      </c>
      <c r="U313" s="77">
        <f>STOCK[[#This Row],[Costo total]]*1.5</f>
        <v>18.7833333333333</v>
      </c>
      <c r="V313" s="77">
        <v>18</v>
      </c>
      <c r="W313" s="77">
        <f>STOCK[[#This Row],[Precio Final]]-STOCK[[#This Row],[Costo total]]</f>
        <v>5.47777777777778</v>
      </c>
      <c r="X313" s="77">
        <f>STOCK[[#This Row],[Ganancia Unitaria]]*STOCK[[#This Row],[Salidas]]</f>
        <v>21.9111111111111</v>
      </c>
      <c r="AA313" s="77">
        <f>STOCK[[#This Row],[Costo total]]*STOCK[[#This Row],[Entradas]]</f>
        <v>50.0888888888889</v>
      </c>
      <c r="AB313" s="77">
        <f>STOCK[[#This Row],[Stock Actual]]*STOCK[[#This Row],[Costo total]]</f>
        <v>0</v>
      </c>
    </row>
    <row r="314" s="76" customFormat="1" ht="50" customHeight="1" spans="1:29">
      <c r="A314" s="76" t="s">
        <v>661</v>
      </c>
      <c r="B314" s="6"/>
      <c r="C314" s="76" t="s">
        <v>30</v>
      </c>
      <c r="D314" s="76" t="s">
        <v>293</v>
      </c>
      <c r="E314" s="76" t="s">
        <v>662</v>
      </c>
      <c r="F314" s="76" t="s">
        <v>38</v>
      </c>
      <c r="G314" s="76" t="s">
        <v>34</v>
      </c>
      <c r="H314" s="76">
        <f>STOCK[[#This Row],[Precio Final]]</f>
        <v>12</v>
      </c>
      <c r="I314" s="76">
        <f>STOCK[[#This Row],[Precio Venta Ideal (x1.5)]]</f>
        <v>9.15250000000001</v>
      </c>
      <c r="J314" s="91">
        <v>3</v>
      </c>
      <c r="K314" s="91">
        <f>SUMIFS(VENTAS[Cantidad],VENTAS[Código del producto Vendido],STOCK[[#This Row],[Code]])</f>
        <v>3</v>
      </c>
      <c r="L314" s="91">
        <f>STOCK[[#This Row],[Entradas]]-STOCK[[#This Row],[Salidas]]</f>
        <v>0</v>
      </c>
      <c r="M314" s="76">
        <f>STOCK[[#This Row],[Precio Final]]*10%</f>
        <v>1.2</v>
      </c>
      <c r="N314" s="76">
        <v>81.75</v>
      </c>
      <c r="O314" s="76">
        <v>18</v>
      </c>
      <c r="P314" s="76">
        <v>4.54166666666667</v>
      </c>
      <c r="Q314" s="91">
        <v>45</v>
      </c>
      <c r="R314" s="76">
        <v>8</v>
      </c>
      <c r="S314" s="76">
        <f>STOCK[[#This Row],[Peso (g)]]*STOCK[[#This Row],[Precio Envío Kilogramo (USD)]]/1000</f>
        <v>0.36</v>
      </c>
      <c r="T314" s="76">
        <f>STOCK[[#This Row],[Costo Unitario (USD)]]+STOCK[[#This Row],[Costo Envío (USD)]]+STOCK[[#This Row],[Comisión 10%]]</f>
        <v>6.10166666666667</v>
      </c>
      <c r="U314" s="76">
        <f>STOCK[[#This Row],[Costo total]]*1.5</f>
        <v>9.15250000000001</v>
      </c>
      <c r="V314" s="76">
        <v>12</v>
      </c>
      <c r="W314" s="76">
        <f>STOCK[[#This Row],[Precio Final]]-STOCK[[#This Row],[Costo total]]</f>
        <v>5.89833333333333</v>
      </c>
      <c r="X314" s="76">
        <f>STOCK[[#This Row],[Ganancia Unitaria]]*STOCK[[#This Row],[Salidas]]</f>
        <v>17.695</v>
      </c>
      <c r="AA314" s="76">
        <f>STOCK[[#This Row],[Costo total]]*STOCK[[#This Row],[Entradas]]</f>
        <v>18.305</v>
      </c>
      <c r="AB314" s="76">
        <f>STOCK[[#This Row],[Stock Actual]]*STOCK[[#This Row],[Costo total]]</f>
        <v>0</v>
      </c>
      <c r="AC314" s="76">
        <v>9</v>
      </c>
    </row>
    <row r="315" s="77" customFormat="1" ht="50" customHeight="1" spans="1:28">
      <c r="A315" s="77" t="s">
        <v>663</v>
      </c>
      <c r="B315" s="6"/>
      <c r="C315" s="77" t="s">
        <v>30</v>
      </c>
      <c r="D315" s="77" t="s">
        <v>173</v>
      </c>
      <c r="E315" s="77" t="s">
        <v>662</v>
      </c>
      <c r="F315" s="77" t="s">
        <v>60</v>
      </c>
      <c r="G315" s="77" t="s">
        <v>34</v>
      </c>
      <c r="H315" s="77">
        <f>STOCK[[#This Row],[Precio Final]]</f>
        <v>8</v>
      </c>
      <c r="I315" s="77">
        <f>STOCK[[#This Row],[Precio Venta Ideal (x1.5)]]</f>
        <v>8.55250000000001</v>
      </c>
      <c r="J315" s="92">
        <v>3</v>
      </c>
      <c r="K315" s="92">
        <f>SUMIFS(VENTAS[Cantidad],VENTAS[Código del producto Vendido],STOCK[[#This Row],[Code]])</f>
        <v>3</v>
      </c>
      <c r="L315" s="92">
        <f>STOCK[[#This Row],[Entradas]]-STOCK[[#This Row],[Salidas]]</f>
        <v>0</v>
      </c>
      <c r="M315" s="77">
        <f>STOCK[[#This Row],[Precio Final]]*10%</f>
        <v>0.8</v>
      </c>
      <c r="N315" s="77">
        <v>81.75</v>
      </c>
      <c r="O315" s="77">
        <v>18</v>
      </c>
      <c r="P315" s="77">
        <v>4.54166666666667</v>
      </c>
      <c r="Q315" s="92">
        <v>45</v>
      </c>
      <c r="R315" s="77">
        <v>8</v>
      </c>
      <c r="S315" s="77">
        <f>STOCK[[#This Row],[Peso (g)]]*STOCK[[#This Row],[Precio Envío Kilogramo (USD)]]/1000</f>
        <v>0.36</v>
      </c>
      <c r="T315" s="76">
        <f>STOCK[[#This Row],[Costo Unitario (USD)]]+STOCK[[#This Row],[Costo Envío (USD)]]+STOCK[[#This Row],[Comisión 10%]]</f>
        <v>5.70166666666667</v>
      </c>
      <c r="U315" s="77">
        <f>STOCK[[#This Row],[Costo total]]*1.5</f>
        <v>8.55250000000001</v>
      </c>
      <c r="V315" s="77">
        <v>8</v>
      </c>
      <c r="W315" s="77">
        <f>STOCK[[#This Row],[Precio Final]]-STOCK[[#This Row],[Costo total]]</f>
        <v>2.29833333333333</v>
      </c>
      <c r="X315" s="77">
        <f>STOCK[[#This Row],[Ganancia Unitaria]]*STOCK[[#This Row],[Salidas]]</f>
        <v>6.89499999999999</v>
      </c>
      <c r="AA315" s="77">
        <f>STOCK[[#This Row],[Costo total]]*STOCK[[#This Row],[Entradas]]</f>
        <v>17.105</v>
      </c>
      <c r="AB315" s="77">
        <f>STOCK[[#This Row],[Stock Actual]]*STOCK[[#This Row],[Costo total]]</f>
        <v>0</v>
      </c>
    </row>
    <row r="316" s="76" customFormat="1" ht="50" customHeight="1" spans="1:28">
      <c r="A316" s="76" t="s">
        <v>664</v>
      </c>
      <c r="B316" s="6"/>
      <c r="C316" s="76" t="s">
        <v>30</v>
      </c>
      <c r="D316" s="76" t="s">
        <v>173</v>
      </c>
      <c r="E316" s="76" t="s">
        <v>662</v>
      </c>
      <c r="F316" s="76" t="s">
        <v>44</v>
      </c>
      <c r="G316" s="76" t="s">
        <v>34</v>
      </c>
      <c r="H316" s="76">
        <f>STOCK[[#This Row],[Precio Final]]</f>
        <v>8</v>
      </c>
      <c r="I316" s="76">
        <f>STOCK[[#This Row],[Precio Venta Ideal (x1.5)]]</f>
        <v>8.55250000000001</v>
      </c>
      <c r="J316" s="91">
        <v>3</v>
      </c>
      <c r="K316" s="91">
        <f>SUMIFS(VENTAS[Cantidad],VENTAS[Código del producto Vendido],STOCK[[#This Row],[Code]])</f>
        <v>3</v>
      </c>
      <c r="L316" s="91">
        <f>STOCK[[#This Row],[Entradas]]-STOCK[[#This Row],[Salidas]]</f>
        <v>0</v>
      </c>
      <c r="M316" s="76">
        <f>STOCK[[#This Row],[Precio Final]]*10%</f>
        <v>0.8</v>
      </c>
      <c r="N316" s="76">
        <v>81.75</v>
      </c>
      <c r="O316" s="76">
        <v>18</v>
      </c>
      <c r="P316" s="76">
        <v>4.54166666666667</v>
      </c>
      <c r="Q316" s="91">
        <v>45</v>
      </c>
      <c r="R316" s="76">
        <v>8</v>
      </c>
      <c r="S316" s="76">
        <f>STOCK[[#This Row],[Peso (g)]]*STOCK[[#This Row],[Precio Envío Kilogramo (USD)]]/1000</f>
        <v>0.36</v>
      </c>
      <c r="T316" s="76">
        <f>STOCK[[#This Row],[Costo Unitario (USD)]]+STOCK[[#This Row],[Costo Envío (USD)]]+STOCK[[#This Row],[Comisión 10%]]</f>
        <v>5.70166666666667</v>
      </c>
      <c r="U316" s="76">
        <f>STOCK[[#This Row],[Costo total]]*1.5</f>
        <v>8.55250000000001</v>
      </c>
      <c r="V316" s="76">
        <v>8</v>
      </c>
      <c r="W316" s="76">
        <f>STOCK[[#This Row],[Precio Final]]-STOCK[[#This Row],[Costo total]]</f>
        <v>2.29833333333333</v>
      </c>
      <c r="X316" s="76">
        <f>STOCK[[#This Row],[Ganancia Unitaria]]*STOCK[[#This Row],[Salidas]]</f>
        <v>6.89499999999999</v>
      </c>
      <c r="AA316" s="76">
        <f>STOCK[[#This Row],[Costo total]]*STOCK[[#This Row],[Entradas]]</f>
        <v>17.105</v>
      </c>
      <c r="AB316" s="76">
        <f>STOCK[[#This Row],[Stock Actual]]*STOCK[[#This Row],[Costo total]]</f>
        <v>0</v>
      </c>
    </row>
    <row r="317" s="77" customFormat="1" ht="50" customHeight="1" spans="1:28">
      <c r="A317" s="77" t="s">
        <v>665</v>
      </c>
      <c r="B317" s="6"/>
      <c r="C317" s="77" t="s">
        <v>30</v>
      </c>
      <c r="D317" s="77" t="s">
        <v>173</v>
      </c>
      <c r="E317" s="77" t="s">
        <v>666</v>
      </c>
      <c r="F317" s="77" t="s">
        <v>47</v>
      </c>
      <c r="G317" s="77" t="s">
        <v>34</v>
      </c>
      <c r="H317" s="77">
        <f>STOCK[[#This Row],[Precio Final]]</f>
        <v>9</v>
      </c>
      <c r="I317" s="77">
        <f>STOCK[[#This Row],[Precio Venta Ideal (x1.5)]]</f>
        <v>9.515</v>
      </c>
      <c r="J317" s="92">
        <v>3</v>
      </c>
      <c r="K317" s="92">
        <f>SUMIFS(VENTAS[Cantidad],VENTAS[Código del producto Vendido],STOCK[[#This Row],[Code]])</f>
        <v>3</v>
      </c>
      <c r="L317" s="92">
        <f>STOCK[[#This Row],[Entradas]]-STOCK[[#This Row],[Salidas]]</f>
        <v>0</v>
      </c>
      <c r="M317" s="77">
        <f>STOCK[[#This Row],[Precio Final]]*10%</f>
        <v>0.9</v>
      </c>
      <c r="N317" s="77">
        <v>91.5</v>
      </c>
      <c r="O317" s="77">
        <v>18</v>
      </c>
      <c r="P317" s="77">
        <v>5.08333333333333</v>
      </c>
      <c r="Q317" s="92">
        <v>45</v>
      </c>
      <c r="R317" s="77">
        <v>8</v>
      </c>
      <c r="S317" s="77">
        <f>STOCK[[#This Row],[Peso (g)]]*STOCK[[#This Row],[Precio Envío Kilogramo (USD)]]/1000</f>
        <v>0.36</v>
      </c>
      <c r="T317" s="76">
        <f>STOCK[[#This Row],[Costo Unitario (USD)]]+STOCK[[#This Row],[Costo Envío (USD)]]+STOCK[[#This Row],[Comisión 10%]]</f>
        <v>6.34333333333333</v>
      </c>
      <c r="U317" s="77">
        <f>STOCK[[#This Row],[Costo total]]*1.5</f>
        <v>9.515</v>
      </c>
      <c r="V317" s="77">
        <v>9</v>
      </c>
      <c r="W317" s="77">
        <f>STOCK[[#This Row],[Precio Final]]-STOCK[[#This Row],[Costo total]]</f>
        <v>2.65666666666667</v>
      </c>
      <c r="X317" s="77">
        <f>STOCK[[#This Row],[Ganancia Unitaria]]*STOCK[[#This Row],[Salidas]]</f>
        <v>7.97000000000001</v>
      </c>
      <c r="AA317" s="77">
        <f>STOCK[[#This Row],[Costo total]]*STOCK[[#This Row],[Entradas]]</f>
        <v>19.03</v>
      </c>
      <c r="AB317" s="77">
        <f>STOCK[[#This Row],[Stock Actual]]*STOCK[[#This Row],[Costo total]]</f>
        <v>0</v>
      </c>
    </row>
    <row r="318" s="76" customFormat="1" ht="50" customHeight="1" spans="1:28">
      <c r="A318" s="76" t="s">
        <v>667</v>
      </c>
      <c r="B318" s="6"/>
      <c r="C318" s="76" t="s">
        <v>30</v>
      </c>
      <c r="D318" s="76" t="s">
        <v>173</v>
      </c>
      <c r="E318" s="76" t="s">
        <v>668</v>
      </c>
      <c r="F318" s="76" t="s">
        <v>60</v>
      </c>
      <c r="G318" s="76" t="s">
        <v>34</v>
      </c>
      <c r="H318" s="76">
        <f>STOCK[[#This Row],[Precio Final]]</f>
        <v>9</v>
      </c>
      <c r="I318" s="76">
        <f>STOCK[[#This Row],[Precio Venta Ideal (x1.5)]]</f>
        <v>9.515</v>
      </c>
      <c r="J318" s="91">
        <v>3</v>
      </c>
      <c r="K318" s="91">
        <f>SUMIFS(VENTAS[Cantidad],VENTAS[Código del producto Vendido],STOCK[[#This Row],[Code]])</f>
        <v>3</v>
      </c>
      <c r="L318" s="91">
        <f>STOCK[[#This Row],[Entradas]]-STOCK[[#This Row],[Salidas]]</f>
        <v>0</v>
      </c>
      <c r="M318" s="76">
        <f>STOCK[[#This Row],[Precio Final]]*10%</f>
        <v>0.9</v>
      </c>
      <c r="N318" s="76">
        <v>91.5</v>
      </c>
      <c r="O318" s="76">
        <v>18</v>
      </c>
      <c r="P318" s="76">
        <v>5.08333333333333</v>
      </c>
      <c r="Q318" s="91">
        <v>45</v>
      </c>
      <c r="R318" s="76">
        <v>8</v>
      </c>
      <c r="S318" s="76">
        <f>STOCK[[#This Row],[Peso (g)]]*STOCK[[#This Row],[Precio Envío Kilogramo (USD)]]/1000</f>
        <v>0.36</v>
      </c>
      <c r="T318" s="76">
        <f>STOCK[[#This Row],[Costo Unitario (USD)]]+STOCK[[#This Row],[Costo Envío (USD)]]+STOCK[[#This Row],[Comisión 10%]]</f>
        <v>6.34333333333333</v>
      </c>
      <c r="U318" s="76">
        <f>STOCK[[#This Row],[Costo total]]*1.5</f>
        <v>9.515</v>
      </c>
      <c r="V318" s="76">
        <v>9</v>
      </c>
      <c r="W318" s="76">
        <f>STOCK[[#This Row],[Precio Final]]-STOCK[[#This Row],[Costo total]]</f>
        <v>2.65666666666667</v>
      </c>
      <c r="X318" s="76">
        <f>STOCK[[#This Row],[Ganancia Unitaria]]*STOCK[[#This Row],[Salidas]]</f>
        <v>7.97000000000001</v>
      </c>
      <c r="AA318" s="76">
        <f>STOCK[[#This Row],[Costo total]]*STOCK[[#This Row],[Entradas]]</f>
        <v>19.03</v>
      </c>
      <c r="AB318" s="76">
        <f>STOCK[[#This Row],[Stock Actual]]*STOCK[[#This Row],[Costo total]]</f>
        <v>0</v>
      </c>
    </row>
    <row r="319" s="77" customFormat="1" ht="50" customHeight="1" spans="1:28">
      <c r="A319" s="77" t="s">
        <v>669</v>
      </c>
      <c r="B319" s="6"/>
      <c r="C319" s="77" t="s">
        <v>30</v>
      </c>
      <c r="D319" s="77" t="s">
        <v>173</v>
      </c>
      <c r="E319" s="77" t="s">
        <v>670</v>
      </c>
      <c r="F319" s="77" t="s">
        <v>38</v>
      </c>
      <c r="G319" s="77" t="s">
        <v>34</v>
      </c>
      <c r="H319" s="77">
        <f>STOCK[[#This Row],[Precio Final]]</f>
        <v>9</v>
      </c>
      <c r="I319" s="77">
        <f>STOCK[[#This Row],[Precio Venta Ideal (x1.5)]]</f>
        <v>9.515</v>
      </c>
      <c r="J319" s="92">
        <v>3</v>
      </c>
      <c r="K319" s="92">
        <f>SUMIFS(VENTAS[Cantidad],VENTAS[Código del producto Vendido],STOCK[[#This Row],[Code]])</f>
        <v>3</v>
      </c>
      <c r="L319" s="92">
        <f>STOCK[[#This Row],[Entradas]]-STOCK[[#This Row],[Salidas]]</f>
        <v>0</v>
      </c>
      <c r="M319" s="77">
        <f>STOCK[[#This Row],[Precio Final]]*10%</f>
        <v>0.9</v>
      </c>
      <c r="N319" s="77">
        <v>91.5</v>
      </c>
      <c r="O319" s="77">
        <v>18</v>
      </c>
      <c r="P319" s="77">
        <v>5.08333333333333</v>
      </c>
      <c r="Q319" s="92">
        <v>45</v>
      </c>
      <c r="R319" s="77">
        <v>8</v>
      </c>
      <c r="S319" s="77">
        <f>STOCK[[#This Row],[Peso (g)]]*STOCK[[#This Row],[Precio Envío Kilogramo (USD)]]/1000</f>
        <v>0.36</v>
      </c>
      <c r="T319" s="76">
        <f>STOCK[[#This Row],[Costo Unitario (USD)]]+STOCK[[#This Row],[Costo Envío (USD)]]+STOCK[[#This Row],[Comisión 10%]]</f>
        <v>6.34333333333333</v>
      </c>
      <c r="U319" s="77">
        <f>STOCK[[#This Row],[Costo total]]*1.5</f>
        <v>9.515</v>
      </c>
      <c r="V319" s="77">
        <v>9</v>
      </c>
      <c r="W319" s="77">
        <f>STOCK[[#This Row],[Precio Final]]-STOCK[[#This Row],[Costo total]]</f>
        <v>2.65666666666667</v>
      </c>
      <c r="X319" s="77">
        <f>STOCK[[#This Row],[Ganancia Unitaria]]*STOCK[[#This Row],[Salidas]]</f>
        <v>7.97000000000001</v>
      </c>
      <c r="AA319" s="77">
        <f>STOCK[[#This Row],[Costo total]]*STOCK[[#This Row],[Entradas]]</f>
        <v>19.03</v>
      </c>
      <c r="AB319" s="77">
        <f>STOCK[[#This Row],[Stock Actual]]*STOCK[[#This Row],[Costo total]]</f>
        <v>0</v>
      </c>
    </row>
    <row r="320" s="76" customFormat="1" ht="50" customHeight="1" spans="1:29">
      <c r="A320" s="76" t="s">
        <v>671</v>
      </c>
      <c r="B320" s="6"/>
      <c r="C320" s="76" t="s">
        <v>30</v>
      </c>
      <c r="D320" s="76" t="s">
        <v>293</v>
      </c>
      <c r="E320" s="76" t="s">
        <v>672</v>
      </c>
      <c r="F320" s="76" t="s">
        <v>60</v>
      </c>
      <c r="G320" s="76" t="s">
        <v>34</v>
      </c>
      <c r="H320" s="76">
        <f>STOCK[[#This Row],[Precio Final]]</f>
        <v>12</v>
      </c>
      <c r="I320" s="76">
        <f>STOCK[[#This Row],[Precio Venta Ideal (x1.5)]]</f>
        <v>9.7025</v>
      </c>
      <c r="J320" s="91">
        <v>3</v>
      </c>
      <c r="K320" s="91">
        <f>SUMIFS(VENTAS[Cantidad],VENTAS[Código del producto Vendido],STOCK[[#This Row],[Code]])</f>
        <v>1</v>
      </c>
      <c r="L320" s="91">
        <f>STOCK[[#This Row],[Entradas]]-STOCK[[#This Row],[Salidas]]</f>
        <v>2</v>
      </c>
      <c r="M320" s="76">
        <f>STOCK[[#This Row],[Precio Final]]*10%</f>
        <v>1.2</v>
      </c>
      <c r="N320" s="76">
        <v>88.35</v>
      </c>
      <c r="O320" s="76">
        <v>18</v>
      </c>
      <c r="P320" s="76">
        <v>4.90833333333333</v>
      </c>
      <c r="Q320" s="91">
        <v>45</v>
      </c>
      <c r="R320" s="76">
        <v>8</v>
      </c>
      <c r="S320" s="76">
        <f>STOCK[[#This Row],[Peso (g)]]*STOCK[[#This Row],[Precio Envío Kilogramo (USD)]]/1000</f>
        <v>0.36</v>
      </c>
      <c r="T320" s="76">
        <f>STOCK[[#This Row],[Costo Unitario (USD)]]+STOCK[[#This Row],[Costo Envío (USD)]]+STOCK[[#This Row],[Comisión 10%]]</f>
        <v>6.46833333333333</v>
      </c>
      <c r="U320" s="76">
        <f>STOCK[[#This Row],[Costo total]]*1.5</f>
        <v>9.7025</v>
      </c>
      <c r="V320" s="76">
        <v>12</v>
      </c>
      <c r="W320" s="76">
        <f>STOCK[[#This Row],[Precio Final]]-STOCK[[#This Row],[Costo total]]</f>
        <v>5.53166666666667</v>
      </c>
      <c r="X320" s="76">
        <f>STOCK[[#This Row],[Ganancia Unitaria]]*STOCK[[#This Row],[Salidas]]</f>
        <v>5.53166666666667</v>
      </c>
      <c r="AA320" s="76">
        <f>STOCK[[#This Row],[Costo total]]*STOCK[[#This Row],[Entradas]]</f>
        <v>19.405</v>
      </c>
      <c r="AB320" s="76">
        <f>STOCK[[#This Row],[Stock Actual]]*STOCK[[#This Row],[Costo total]]</f>
        <v>12.9366666666667</v>
      </c>
      <c r="AC320" s="76">
        <v>9</v>
      </c>
    </row>
    <row r="321" s="77" customFormat="1" ht="50" customHeight="1" spans="1:28">
      <c r="A321" s="77" t="s">
        <v>673</v>
      </c>
      <c r="B321" s="6"/>
      <c r="C321" s="77" t="s">
        <v>30</v>
      </c>
      <c r="D321" s="77" t="s">
        <v>246</v>
      </c>
      <c r="E321" s="77" t="s">
        <v>672</v>
      </c>
      <c r="F321" s="77" t="s">
        <v>47</v>
      </c>
      <c r="G321" s="77" t="s">
        <v>34</v>
      </c>
      <c r="H321" s="77">
        <f>STOCK[[#This Row],[Precio Final]]</f>
        <v>9</v>
      </c>
      <c r="I321" s="77">
        <f>STOCK[[#This Row],[Precio Venta Ideal (x1.5)]]</f>
        <v>9.2525</v>
      </c>
      <c r="J321" s="92">
        <v>3</v>
      </c>
      <c r="K321" s="92">
        <f>SUMIFS(VENTAS[Cantidad],VENTAS[Código del producto Vendido],STOCK[[#This Row],[Code]])</f>
        <v>3</v>
      </c>
      <c r="L321" s="92">
        <f>STOCK[[#This Row],[Entradas]]-STOCK[[#This Row],[Salidas]]</f>
        <v>0</v>
      </c>
      <c r="M321" s="77">
        <f>STOCK[[#This Row],[Precio Final]]*10%</f>
        <v>0.9</v>
      </c>
      <c r="N321" s="77">
        <v>88.35</v>
      </c>
      <c r="O321" s="77">
        <v>18</v>
      </c>
      <c r="P321" s="77">
        <v>4.90833333333333</v>
      </c>
      <c r="Q321" s="92">
        <v>45</v>
      </c>
      <c r="R321" s="77">
        <v>8</v>
      </c>
      <c r="S321" s="77">
        <f>STOCK[[#This Row],[Peso (g)]]*STOCK[[#This Row],[Precio Envío Kilogramo (USD)]]/1000</f>
        <v>0.36</v>
      </c>
      <c r="T321" s="76">
        <f>STOCK[[#This Row],[Costo Unitario (USD)]]+STOCK[[#This Row],[Costo Envío (USD)]]+STOCK[[#This Row],[Comisión 10%]]</f>
        <v>6.16833333333333</v>
      </c>
      <c r="U321" s="77">
        <f>STOCK[[#This Row],[Costo total]]*1.5</f>
        <v>9.2525</v>
      </c>
      <c r="V321" s="77">
        <v>9</v>
      </c>
      <c r="W321" s="77">
        <f>STOCK[[#This Row],[Precio Final]]-STOCK[[#This Row],[Costo total]]</f>
        <v>2.83166666666667</v>
      </c>
      <c r="X321" s="77">
        <f>STOCK[[#This Row],[Ganancia Unitaria]]*STOCK[[#This Row],[Salidas]]</f>
        <v>8.49500000000001</v>
      </c>
      <c r="AA321" s="77">
        <f>STOCK[[#This Row],[Costo total]]*STOCK[[#This Row],[Entradas]]</f>
        <v>18.505</v>
      </c>
      <c r="AB321" s="77">
        <f>STOCK[[#This Row],[Stock Actual]]*STOCK[[#This Row],[Costo total]]</f>
        <v>0</v>
      </c>
    </row>
    <row r="322" s="76" customFormat="1" ht="50" customHeight="1" spans="1:28">
      <c r="A322" s="76" t="s">
        <v>674</v>
      </c>
      <c r="B322" s="6"/>
      <c r="C322" s="76" t="s">
        <v>30</v>
      </c>
      <c r="D322" s="76" t="s">
        <v>42</v>
      </c>
      <c r="E322" s="76" t="s">
        <v>675</v>
      </c>
      <c r="F322" s="76" t="s">
        <v>60</v>
      </c>
      <c r="G322" s="76" t="s">
        <v>34</v>
      </c>
      <c r="H322" s="76">
        <f>STOCK[[#This Row],[Precio Final]]</f>
        <v>18</v>
      </c>
      <c r="I322" s="76">
        <f>STOCK[[#This Row],[Precio Venta Ideal (x1.5)]]</f>
        <v>18.7833333333333</v>
      </c>
      <c r="J322" s="91">
        <v>4</v>
      </c>
      <c r="K322" s="91">
        <f>SUMIFS(VENTAS[Cantidad],VENTAS[Código del producto Vendido],STOCK[[#This Row],[Code]])</f>
        <v>4</v>
      </c>
      <c r="L322" s="91">
        <f>STOCK[[#This Row],[Entradas]]-STOCK[[#This Row],[Salidas]]</f>
        <v>0</v>
      </c>
      <c r="M322" s="76">
        <f>STOCK[[#This Row],[Precio Final]]*10%</f>
        <v>1.8</v>
      </c>
      <c r="N322" s="76">
        <v>166</v>
      </c>
      <c r="O322" s="76">
        <v>18</v>
      </c>
      <c r="P322" s="76">
        <v>9.22222222222222</v>
      </c>
      <c r="Q322" s="91">
        <v>150</v>
      </c>
      <c r="R322" s="76">
        <v>10</v>
      </c>
      <c r="S322" s="76">
        <f>STOCK[[#This Row],[Peso (g)]]*STOCK[[#This Row],[Precio Envío Kilogramo (USD)]]/1000</f>
        <v>1.5</v>
      </c>
      <c r="T322" s="76">
        <f>STOCK[[#This Row],[Costo Unitario (USD)]]+STOCK[[#This Row],[Costo Envío (USD)]]+STOCK[[#This Row],[Comisión 10%]]</f>
        <v>12.5222222222222</v>
      </c>
      <c r="U322" s="76">
        <f>STOCK[[#This Row],[Costo total]]*1.5</f>
        <v>18.7833333333333</v>
      </c>
      <c r="V322" s="76">
        <v>18</v>
      </c>
      <c r="W322" s="76">
        <f>STOCK[[#This Row],[Precio Final]]-STOCK[[#This Row],[Costo total]]</f>
        <v>5.47777777777778</v>
      </c>
      <c r="X322" s="76">
        <f>STOCK[[#This Row],[Ganancia Unitaria]]*STOCK[[#This Row],[Salidas]]</f>
        <v>21.9111111111111</v>
      </c>
      <c r="AA322" s="76">
        <f>STOCK[[#This Row],[Costo total]]*STOCK[[#This Row],[Entradas]]</f>
        <v>50.0888888888889</v>
      </c>
      <c r="AB322" s="76">
        <f>STOCK[[#This Row],[Stock Actual]]*STOCK[[#This Row],[Costo total]]</f>
        <v>0</v>
      </c>
    </row>
    <row r="323" s="77" customFormat="1" ht="50" customHeight="1" spans="1:29">
      <c r="A323" s="77" t="s">
        <v>676</v>
      </c>
      <c r="B323" s="6"/>
      <c r="C323" s="77" t="s">
        <v>30</v>
      </c>
      <c r="D323" s="77" t="s">
        <v>293</v>
      </c>
      <c r="E323" s="77" t="s">
        <v>677</v>
      </c>
      <c r="F323" s="77" t="s">
        <v>47</v>
      </c>
      <c r="G323" s="77" t="s">
        <v>34</v>
      </c>
      <c r="H323" s="77">
        <f>STOCK[[#This Row],[Precio Final]]</f>
        <v>12</v>
      </c>
      <c r="I323" s="77">
        <f>STOCK[[#This Row],[Precio Venta Ideal (x1.5)]]</f>
        <v>13.09</v>
      </c>
      <c r="J323" s="92">
        <v>4</v>
      </c>
      <c r="K323" s="92">
        <f>SUMIFS(VENTAS[Cantidad],VENTAS[Código del producto Vendido],STOCK[[#This Row],[Code]])</f>
        <v>2</v>
      </c>
      <c r="L323" s="92">
        <f>STOCK[[#This Row],[Entradas]]-STOCK[[#This Row],[Salidas]]</f>
        <v>2</v>
      </c>
      <c r="M323" s="77">
        <f>STOCK[[#This Row],[Precio Final]]*10%</f>
        <v>1.2</v>
      </c>
      <c r="N323" s="77">
        <v>129</v>
      </c>
      <c r="O323" s="77">
        <v>18</v>
      </c>
      <c r="P323" s="77">
        <v>7.16666666666667</v>
      </c>
      <c r="Q323" s="92">
        <v>45</v>
      </c>
      <c r="R323" s="77">
        <v>8</v>
      </c>
      <c r="S323" s="77">
        <f>STOCK[[#This Row],[Peso (g)]]*STOCK[[#This Row],[Precio Envío Kilogramo (USD)]]/1000</f>
        <v>0.36</v>
      </c>
      <c r="T323" s="76">
        <f>STOCK[[#This Row],[Costo Unitario (USD)]]+STOCK[[#This Row],[Costo Envío (USD)]]+STOCK[[#This Row],[Comisión 10%]]</f>
        <v>8.72666666666667</v>
      </c>
      <c r="U323" s="77">
        <f>STOCK[[#This Row],[Costo total]]*1.5</f>
        <v>13.09</v>
      </c>
      <c r="V323" s="77">
        <v>12</v>
      </c>
      <c r="W323" s="77">
        <f>STOCK[[#This Row],[Precio Final]]-STOCK[[#This Row],[Costo total]]</f>
        <v>3.27333333333333</v>
      </c>
      <c r="X323" s="77">
        <f>STOCK[[#This Row],[Ganancia Unitaria]]*STOCK[[#This Row],[Salidas]]</f>
        <v>6.54666666666666</v>
      </c>
      <c r="AA323" s="77">
        <f>STOCK[[#This Row],[Costo total]]*STOCK[[#This Row],[Entradas]]</f>
        <v>34.9066666666667</v>
      </c>
      <c r="AB323" s="77">
        <f>STOCK[[#This Row],[Stock Actual]]*STOCK[[#This Row],[Costo total]]</f>
        <v>17.4533333333333</v>
      </c>
      <c r="AC323" s="77">
        <v>10</v>
      </c>
    </row>
    <row r="324" s="76" customFormat="1" ht="50" customHeight="1" spans="1:29">
      <c r="A324" s="76" t="s">
        <v>678</v>
      </c>
      <c r="B324" s="6"/>
      <c r="C324" s="76" t="s">
        <v>30</v>
      </c>
      <c r="D324" s="76" t="s">
        <v>679</v>
      </c>
      <c r="E324" s="76" t="s">
        <v>677</v>
      </c>
      <c r="F324" s="76" t="s">
        <v>44</v>
      </c>
      <c r="G324" s="76" t="s">
        <v>34</v>
      </c>
      <c r="H324" s="76">
        <f>STOCK[[#This Row],[Precio Final]]</f>
        <v>12</v>
      </c>
      <c r="I324" s="76">
        <f>STOCK[[#This Row],[Precio Venta Ideal (x1.5)]]</f>
        <v>13.09</v>
      </c>
      <c r="J324" s="91">
        <v>4</v>
      </c>
      <c r="K324" s="91">
        <f>SUMIFS(VENTAS[Cantidad],VENTAS[Código del producto Vendido],STOCK[[#This Row],[Code]])</f>
        <v>2</v>
      </c>
      <c r="L324" s="91">
        <f>STOCK[[#This Row],[Entradas]]-STOCK[[#This Row],[Salidas]]</f>
        <v>2</v>
      </c>
      <c r="M324" s="76">
        <f>STOCK[[#This Row],[Precio Final]]*10%</f>
        <v>1.2</v>
      </c>
      <c r="N324" s="76">
        <v>129</v>
      </c>
      <c r="O324" s="76">
        <v>18</v>
      </c>
      <c r="P324" s="76">
        <v>7.16666666666667</v>
      </c>
      <c r="Q324" s="91">
        <v>45</v>
      </c>
      <c r="R324" s="76">
        <v>8</v>
      </c>
      <c r="S324" s="76">
        <f>STOCK[[#This Row],[Peso (g)]]*STOCK[[#This Row],[Precio Envío Kilogramo (USD)]]/1000</f>
        <v>0.36</v>
      </c>
      <c r="T324" s="76">
        <f>STOCK[[#This Row],[Costo Unitario (USD)]]+STOCK[[#This Row],[Costo Envío (USD)]]+STOCK[[#This Row],[Comisión 10%]]</f>
        <v>8.72666666666667</v>
      </c>
      <c r="U324" s="76">
        <f>STOCK[[#This Row],[Costo total]]*1.5</f>
        <v>13.09</v>
      </c>
      <c r="V324" s="76">
        <v>12</v>
      </c>
      <c r="W324" s="76">
        <f>STOCK[[#This Row],[Precio Final]]-STOCK[[#This Row],[Costo total]]</f>
        <v>3.27333333333333</v>
      </c>
      <c r="X324" s="76">
        <f>STOCK[[#This Row],[Ganancia Unitaria]]*STOCK[[#This Row],[Salidas]]</f>
        <v>6.54666666666666</v>
      </c>
      <c r="AA324" s="76">
        <f>STOCK[[#This Row],[Costo total]]*STOCK[[#This Row],[Entradas]]</f>
        <v>34.9066666666667</v>
      </c>
      <c r="AB324" s="76">
        <f>STOCK[[#This Row],[Stock Actual]]*STOCK[[#This Row],[Costo total]]</f>
        <v>17.4533333333333</v>
      </c>
      <c r="AC324" s="76">
        <v>10</v>
      </c>
    </row>
    <row r="325" s="77" customFormat="1" ht="50" customHeight="1" spans="1:28">
      <c r="A325" s="77" t="s">
        <v>680</v>
      </c>
      <c r="B325" s="6"/>
      <c r="C325" s="77" t="s">
        <v>30</v>
      </c>
      <c r="D325" s="77" t="s">
        <v>42</v>
      </c>
      <c r="E325" s="77" t="s">
        <v>681</v>
      </c>
      <c r="F325" s="77" t="s">
        <v>44</v>
      </c>
      <c r="G325" s="77" t="s">
        <v>34</v>
      </c>
      <c r="H325" s="77">
        <f>STOCK[[#This Row],[Precio Final]]</f>
        <v>20</v>
      </c>
      <c r="I325" s="77">
        <f>STOCK[[#This Row],[Precio Venta Ideal (x1.5)]]</f>
        <v>19.0833333333333</v>
      </c>
      <c r="J325" s="92">
        <v>3</v>
      </c>
      <c r="K325" s="92">
        <f>SUMIFS(VENTAS[Cantidad],VENTAS[Código del producto Vendido],STOCK[[#This Row],[Code]])</f>
        <v>3</v>
      </c>
      <c r="L325" s="92">
        <f>STOCK[[#This Row],[Entradas]]-STOCK[[#This Row],[Salidas]]</f>
        <v>0</v>
      </c>
      <c r="M325" s="77">
        <f>STOCK[[#This Row],[Precio Final]]*10%</f>
        <v>2</v>
      </c>
      <c r="N325" s="77">
        <v>166</v>
      </c>
      <c r="O325" s="77">
        <v>18</v>
      </c>
      <c r="P325" s="77">
        <v>9.22222222222222</v>
      </c>
      <c r="Q325" s="92">
        <v>150</v>
      </c>
      <c r="R325" s="77">
        <v>10</v>
      </c>
      <c r="S325" s="77">
        <f>STOCK[[#This Row],[Peso (g)]]*STOCK[[#This Row],[Precio Envío Kilogramo (USD)]]/1000</f>
        <v>1.5</v>
      </c>
      <c r="T325" s="76">
        <f>STOCK[[#This Row],[Costo Unitario (USD)]]+STOCK[[#This Row],[Costo Envío (USD)]]+STOCK[[#This Row],[Comisión 10%]]</f>
        <v>12.7222222222222</v>
      </c>
      <c r="U325" s="77">
        <f>STOCK[[#This Row],[Costo total]]*1.5</f>
        <v>19.0833333333333</v>
      </c>
      <c r="V325" s="77">
        <v>20</v>
      </c>
      <c r="W325" s="77">
        <f>STOCK[[#This Row],[Precio Final]]-STOCK[[#This Row],[Costo total]]</f>
        <v>7.27777777777778</v>
      </c>
      <c r="X325" s="77">
        <f>STOCK[[#This Row],[Ganancia Unitaria]]*STOCK[[#This Row],[Salidas]]</f>
        <v>21.8333333333333</v>
      </c>
      <c r="AA325" s="77">
        <f>STOCK[[#This Row],[Costo total]]*STOCK[[#This Row],[Entradas]]</f>
        <v>38.1666666666667</v>
      </c>
      <c r="AB325" s="77">
        <f>STOCK[[#This Row],[Stock Actual]]*STOCK[[#This Row],[Costo total]]</f>
        <v>0</v>
      </c>
    </row>
    <row r="326" s="76" customFormat="1" ht="50" customHeight="1" spans="1:28">
      <c r="A326" s="76" t="s">
        <v>682</v>
      </c>
      <c r="B326" s="6"/>
      <c r="C326" s="76" t="s">
        <v>30</v>
      </c>
      <c r="D326" s="76" t="s">
        <v>42</v>
      </c>
      <c r="E326" s="76" t="s">
        <v>683</v>
      </c>
      <c r="F326" s="76" t="s">
        <v>47</v>
      </c>
      <c r="G326" s="76" t="s">
        <v>34</v>
      </c>
      <c r="H326" s="76">
        <f>STOCK[[#This Row],[Precio Final]]</f>
        <v>20</v>
      </c>
      <c r="I326" s="76">
        <f>STOCK[[#This Row],[Precio Venta Ideal (x1.5)]]</f>
        <v>19.0833333333333</v>
      </c>
      <c r="J326" s="91">
        <v>3</v>
      </c>
      <c r="K326" s="91">
        <f>SUMIFS(VENTAS[Cantidad],VENTAS[Código del producto Vendido],STOCK[[#This Row],[Code]])</f>
        <v>3</v>
      </c>
      <c r="L326" s="91">
        <f>STOCK[[#This Row],[Entradas]]-STOCK[[#This Row],[Salidas]]</f>
        <v>0</v>
      </c>
      <c r="M326" s="76">
        <f>STOCK[[#This Row],[Precio Final]]*10%</f>
        <v>2</v>
      </c>
      <c r="N326" s="76">
        <v>166</v>
      </c>
      <c r="O326" s="76">
        <v>18</v>
      </c>
      <c r="P326" s="76">
        <v>9.22222222222222</v>
      </c>
      <c r="Q326" s="91">
        <v>150</v>
      </c>
      <c r="R326" s="76">
        <v>10</v>
      </c>
      <c r="S326" s="76">
        <f>STOCK[[#This Row],[Peso (g)]]*STOCK[[#This Row],[Precio Envío Kilogramo (USD)]]/1000</f>
        <v>1.5</v>
      </c>
      <c r="T326" s="76">
        <f>STOCK[[#This Row],[Costo Unitario (USD)]]+STOCK[[#This Row],[Costo Envío (USD)]]+STOCK[[#This Row],[Comisión 10%]]</f>
        <v>12.7222222222222</v>
      </c>
      <c r="U326" s="76">
        <f>STOCK[[#This Row],[Costo total]]*1.5</f>
        <v>19.0833333333333</v>
      </c>
      <c r="V326" s="76">
        <v>20</v>
      </c>
      <c r="W326" s="76">
        <f>STOCK[[#This Row],[Precio Final]]-STOCK[[#This Row],[Costo total]]</f>
        <v>7.27777777777778</v>
      </c>
      <c r="X326" s="76">
        <f>STOCK[[#This Row],[Ganancia Unitaria]]*STOCK[[#This Row],[Salidas]]</f>
        <v>21.8333333333333</v>
      </c>
      <c r="AA326" s="76">
        <f>STOCK[[#This Row],[Costo total]]*STOCK[[#This Row],[Entradas]]</f>
        <v>38.1666666666667</v>
      </c>
      <c r="AB326" s="76">
        <f>STOCK[[#This Row],[Stock Actual]]*STOCK[[#This Row],[Costo total]]</f>
        <v>0</v>
      </c>
    </row>
    <row r="327" s="77" customFormat="1" ht="50" customHeight="1" spans="1:28">
      <c r="A327" s="77" t="s">
        <v>684</v>
      </c>
      <c r="B327" s="6"/>
      <c r="C327" s="77" t="s">
        <v>30</v>
      </c>
      <c r="D327" s="77" t="s">
        <v>173</v>
      </c>
      <c r="E327" s="77" t="s">
        <v>685</v>
      </c>
      <c r="F327" s="77" t="s">
        <v>44</v>
      </c>
      <c r="G327" s="77" t="s">
        <v>34</v>
      </c>
      <c r="H327" s="77">
        <f>STOCK[[#This Row],[Precio Final]]</f>
        <v>9</v>
      </c>
      <c r="I327" s="77">
        <f>STOCK[[#This Row],[Precio Venta Ideal (x1.5)]]</f>
        <v>9.2525</v>
      </c>
      <c r="J327" s="92">
        <v>3</v>
      </c>
      <c r="K327" s="92">
        <f>SUMIFS(VENTAS[Cantidad],VENTAS[Código del producto Vendido],STOCK[[#This Row],[Code]])</f>
        <v>3</v>
      </c>
      <c r="L327" s="92">
        <f>STOCK[[#This Row],[Entradas]]-STOCK[[#This Row],[Salidas]]</f>
        <v>0</v>
      </c>
      <c r="M327" s="77">
        <f>STOCK[[#This Row],[Precio Final]]*10%</f>
        <v>0.9</v>
      </c>
      <c r="N327" s="77">
        <v>88.35</v>
      </c>
      <c r="O327" s="77">
        <v>18</v>
      </c>
      <c r="P327" s="77">
        <v>4.90833333333333</v>
      </c>
      <c r="Q327" s="92">
        <v>45</v>
      </c>
      <c r="R327" s="77">
        <v>8</v>
      </c>
      <c r="S327" s="77">
        <f>STOCK[[#This Row],[Peso (g)]]*STOCK[[#This Row],[Precio Envío Kilogramo (USD)]]/1000</f>
        <v>0.36</v>
      </c>
      <c r="T327" s="76">
        <f>STOCK[[#This Row],[Costo Unitario (USD)]]+STOCK[[#This Row],[Costo Envío (USD)]]+STOCK[[#This Row],[Comisión 10%]]</f>
        <v>6.16833333333333</v>
      </c>
      <c r="U327" s="77">
        <f>STOCK[[#This Row],[Costo total]]*1.5</f>
        <v>9.2525</v>
      </c>
      <c r="V327" s="77">
        <v>9</v>
      </c>
      <c r="W327" s="77">
        <f>STOCK[[#This Row],[Precio Final]]-STOCK[[#This Row],[Costo total]]</f>
        <v>2.83166666666667</v>
      </c>
      <c r="X327" s="77">
        <f>STOCK[[#This Row],[Ganancia Unitaria]]*STOCK[[#This Row],[Salidas]]</f>
        <v>8.49500000000001</v>
      </c>
      <c r="AA327" s="77">
        <f>STOCK[[#This Row],[Costo total]]*STOCK[[#This Row],[Entradas]]</f>
        <v>18.505</v>
      </c>
      <c r="AB327" s="77">
        <f>STOCK[[#This Row],[Stock Actual]]*STOCK[[#This Row],[Costo total]]</f>
        <v>0</v>
      </c>
    </row>
    <row r="328" s="76" customFormat="1" ht="50" customHeight="1" spans="1:29">
      <c r="A328" s="76" t="s">
        <v>686</v>
      </c>
      <c r="B328" s="6"/>
      <c r="C328" s="76" t="s">
        <v>30</v>
      </c>
      <c r="D328" s="76" t="s">
        <v>215</v>
      </c>
      <c r="E328" s="76" t="s">
        <v>687</v>
      </c>
      <c r="F328" s="76" t="s">
        <v>47</v>
      </c>
      <c r="G328" s="76" t="s">
        <v>34</v>
      </c>
      <c r="H328" s="76">
        <f>STOCK[[#This Row],[Precio Final]]</f>
        <v>20</v>
      </c>
      <c r="I328" s="76">
        <f>STOCK[[#This Row],[Precio Venta Ideal (x1.5)]]</f>
        <v>19.25</v>
      </c>
      <c r="J328" s="91">
        <v>2</v>
      </c>
      <c r="K328" s="91">
        <f>SUMIFS(VENTAS[Cantidad],VENTAS[Código del producto Vendido],STOCK[[#This Row],[Code]])</f>
        <v>0</v>
      </c>
      <c r="L328" s="91">
        <f>STOCK[[#This Row],[Entradas]]-STOCK[[#This Row],[Salidas]]</f>
        <v>2</v>
      </c>
      <c r="M328" s="76">
        <f>STOCK[[#This Row],[Precio Final]]*10%</f>
        <v>2</v>
      </c>
      <c r="N328" s="76">
        <v>123</v>
      </c>
      <c r="O328" s="76">
        <v>18</v>
      </c>
      <c r="P328" s="76">
        <v>6.83333333333333</v>
      </c>
      <c r="Q328" s="91">
        <v>500</v>
      </c>
      <c r="R328" s="76">
        <v>8</v>
      </c>
      <c r="S328" s="76">
        <f>STOCK[[#This Row],[Peso (g)]]*STOCK[[#This Row],[Precio Envío Kilogramo (USD)]]/1000</f>
        <v>4</v>
      </c>
      <c r="T328" s="76">
        <f>STOCK[[#This Row],[Costo Unitario (USD)]]+STOCK[[#This Row],[Costo Envío (USD)]]+STOCK[[#This Row],[Comisión 10%]]</f>
        <v>12.8333333333333</v>
      </c>
      <c r="U328" s="76">
        <f>STOCK[[#This Row],[Costo total]]*1.5</f>
        <v>19.25</v>
      </c>
      <c r="V328" s="76">
        <v>20</v>
      </c>
      <c r="W328" s="76">
        <f>STOCK[[#This Row],[Precio Final]]-STOCK[[#This Row],[Costo total]]</f>
        <v>7.16666666666667</v>
      </c>
      <c r="X328" s="76">
        <f>STOCK[[#This Row],[Ganancia Unitaria]]*STOCK[[#This Row],[Salidas]]</f>
        <v>0</v>
      </c>
      <c r="AA328" s="76">
        <f>STOCK[[#This Row],[Costo total]]*STOCK[[#This Row],[Entradas]]</f>
        <v>25.6666666666667</v>
      </c>
      <c r="AB328" s="76">
        <f>STOCK[[#This Row],[Stock Actual]]*STOCK[[#This Row],[Costo total]]</f>
        <v>25.6666666666667</v>
      </c>
      <c r="AC328" s="76">
        <v>18</v>
      </c>
    </row>
    <row r="329" s="77" customFormat="1" ht="50" customHeight="1" spans="1:29">
      <c r="A329" s="77" t="s">
        <v>688</v>
      </c>
      <c r="B329" s="6"/>
      <c r="C329" s="77" t="s">
        <v>30</v>
      </c>
      <c r="D329" s="77" t="s">
        <v>195</v>
      </c>
      <c r="E329" s="77" t="s">
        <v>689</v>
      </c>
      <c r="F329" s="77" t="s">
        <v>60</v>
      </c>
      <c r="G329" s="77" t="s">
        <v>34</v>
      </c>
      <c r="H329" s="77">
        <f>STOCK[[#This Row],[Precio Final]]</f>
        <v>15</v>
      </c>
      <c r="I329" s="77">
        <f>STOCK[[#This Row],[Precio Venta Ideal (x1.5)]]</f>
        <v>12.825</v>
      </c>
      <c r="J329" s="92">
        <v>2</v>
      </c>
      <c r="K329" s="92">
        <f>SUMIFS(VENTAS[Cantidad],VENTAS[Código del producto Vendido],STOCK[[#This Row],[Code]])</f>
        <v>0</v>
      </c>
      <c r="L329" s="92">
        <f>STOCK[[#This Row],[Entradas]]-STOCK[[#This Row],[Salidas]]</f>
        <v>2</v>
      </c>
      <c r="M329" s="77">
        <f>STOCK[[#This Row],[Precio Final]]*10%</f>
        <v>1.5</v>
      </c>
      <c r="N329" s="77">
        <v>81</v>
      </c>
      <c r="O329" s="77">
        <v>18</v>
      </c>
      <c r="P329" s="77">
        <v>4.5</v>
      </c>
      <c r="Q329" s="92">
        <v>150</v>
      </c>
      <c r="R329" s="77">
        <v>17</v>
      </c>
      <c r="S329" s="77">
        <f>STOCK[[#This Row],[Peso (g)]]*STOCK[[#This Row],[Precio Envío Kilogramo (USD)]]/1000</f>
        <v>2.55</v>
      </c>
      <c r="T329" s="76">
        <f>STOCK[[#This Row],[Costo Unitario (USD)]]+STOCK[[#This Row],[Costo Envío (USD)]]+STOCK[[#This Row],[Comisión 10%]]</f>
        <v>8.55</v>
      </c>
      <c r="U329" s="77">
        <f>STOCK[[#This Row],[Costo total]]*1.5</f>
        <v>12.825</v>
      </c>
      <c r="V329" s="77">
        <v>15</v>
      </c>
      <c r="W329" s="77">
        <f>STOCK[[#This Row],[Precio Final]]-STOCK[[#This Row],[Costo total]]</f>
        <v>6.45</v>
      </c>
      <c r="X329" s="77">
        <f>STOCK[[#This Row],[Ganancia Unitaria]]*STOCK[[#This Row],[Salidas]]</f>
        <v>0</v>
      </c>
      <c r="AA329" s="77">
        <f>STOCK[[#This Row],[Costo total]]*STOCK[[#This Row],[Entradas]]</f>
        <v>17.1</v>
      </c>
      <c r="AB329" s="77">
        <f>STOCK[[#This Row],[Stock Actual]]*STOCK[[#This Row],[Costo total]]</f>
        <v>17.1</v>
      </c>
      <c r="AC329" s="77">
        <v>12</v>
      </c>
    </row>
    <row r="330" s="76" customFormat="1" ht="50" customHeight="1" spans="1:28">
      <c r="A330" s="76" t="s">
        <v>690</v>
      </c>
      <c r="B330" s="6"/>
      <c r="C330" s="76" t="s">
        <v>30</v>
      </c>
      <c r="D330" s="76" t="s">
        <v>42</v>
      </c>
      <c r="E330" s="76" t="s">
        <v>691</v>
      </c>
      <c r="F330" s="76" t="s">
        <v>38</v>
      </c>
      <c r="G330" s="76" t="s">
        <v>34</v>
      </c>
      <c r="H330" s="76">
        <f>STOCK[[#This Row],[Precio Final]]</f>
        <v>11</v>
      </c>
      <c r="I330" s="76">
        <f>STOCK[[#This Row],[Precio Venta Ideal (x1.5)]]</f>
        <v>11.975</v>
      </c>
      <c r="J330" s="91">
        <v>2</v>
      </c>
      <c r="K330" s="91">
        <f>SUMIFS(VENTAS[Cantidad],VENTAS[Código del producto Vendido],STOCK[[#This Row],[Code]])</f>
        <v>2</v>
      </c>
      <c r="L330" s="91">
        <f>STOCK[[#This Row],[Entradas]]-STOCK[[#This Row],[Salidas]]</f>
        <v>0</v>
      </c>
      <c r="M330" s="76">
        <f>STOCK[[#This Row],[Precio Final]]*10%</f>
        <v>1.1</v>
      </c>
      <c r="N330" s="76">
        <v>78</v>
      </c>
      <c r="O330" s="76">
        <v>18</v>
      </c>
      <c r="P330" s="76">
        <v>4.33333333333333</v>
      </c>
      <c r="Q330" s="91">
        <v>150</v>
      </c>
      <c r="R330" s="76">
        <v>17</v>
      </c>
      <c r="S330" s="76">
        <f>STOCK[[#This Row],[Peso (g)]]*STOCK[[#This Row],[Precio Envío Kilogramo (USD)]]/1000</f>
        <v>2.55</v>
      </c>
      <c r="T330" s="76">
        <f>STOCK[[#This Row],[Costo Unitario (USD)]]+STOCK[[#This Row],[Costo Envío (USD)]]+STOCK[[#This Row],[Comisión 10%]]</f>
        <v>7.98333333333333</v>
      </c>
      <c r="U330" s="76">
        <f>STOCK[[#This Row],[Costo total]]*1.5</f>
        <v>11.975</v>
      </c>
      <c r="V330" s="76">
        <v>11</v>
      </c>
      <c r="W330" s="76">
        <f>STOCK[[#This Row],[Precio Final]]-STOCK[[#This Row],[Costo total]]</f>
        <v>3.01666666666667</v>
      </c>
      <c r="X330" s="76">
        <f>STOCK[[#This Row],[Ganancia Unitaria]]*STOCK[[#This Row],[Salidas]]</f>
        <v>6.03333333333334</v>
      </c>
      <c r="AA330" s="76">
        <f>STOCK[[#This Row],[Costo total]]*STOCK[[#This Row],[Entradas]]</f>
        <v>15.9666666666667</v>
      </c>
      <c r="AB330" s="76">
        <f>STOCK[[#This Row],[Stock Actual]]*STOCK[[#This Row],[Costo total]]</f>
        <v>0</v>
      </c>
    </row>
    <row r="331" s="77" customFormat="1" ht="50" customHeight="1" spans="1:28">
      <c r="A331" s="77" t="s">
        <v>692</v>
      </c>
      <c r="B331" s="6"/>
      <c r="C331" s="77" t="s">
        <v>30</v>
      </c>
      <c r="D331" s="77" t="s">
        <v>42</v>
      </c>
      <c r="E331" s="77" t="s">
        <v>693</v>
      </c>
      <c r="F331" s="77" t="s">
        <v>60</v>
      </c>
      <c r="G331" s="77" t="s">
        <v>34</v>
      </c>
      <c r="H331" s="77">
        <f>STOCK[[#This Row],[Precio Final]]</f>
        <v>5</v>
      </c>
      <c r="I331" s="77">
        <f>STOCK[[#This Row],[Precio Venta Ideal (x1.5)]]</f>
        <v>11.4083333333333</v>
      </c>
      <c r="J331" s="92">
        <v>2</v>
      </c>
      <c r="K331" s="92">
        <f>SUMIFS(VENTAS[Cantidad],VENTAS[Código del producto Vendido],STOCK[[#This Row],[Code]])</f>
        <v>2</v>
      </c>
      <c r="L331" s="92">
        <f>STOCK[[#This Row],[Entradas]]-STOCK[[#This Row],[Salidas]]</f>
        <v>0</v>
      </c>
      <c r="M331" s="77">
        <f>STOCK[[#This Row],[Precio Final]]*10%</f>
        <v>0.5</v>
      </c>
      <c r="N331" s="77">
        <v>82</v>
      </c>
      <c r="O331" s="77">
        <v>18</v>
      </c>
      <c r="P331" s="77">
        <v>4.55555555555556</v>
      </c>
      <c r="Q331" s="92">
        <v>150</v>
      </c>
      <c r="R331" s="77">
        <v>17</v>
      </c>
      <c r="S331" s="77">
        <f>STOCK[[#This Row],[Peso (g)]]*STOCK[[#This Row],[Precio Envío Kilogramo (USD)]]/1000</f>
        <v>2.55</v>
      </c>
      <c r="T331" s="76">
        <f>STOCK[[#This Row],[Costo Unitario (USD)]]+STOCK[[#This Row],[Costo Envío (USD)]]+STOCK[[#This Row],[Comisión 10%]]</f>
        <v>7.60555555555556</v>
      </c>
      <c r="U331" s="77">
        <f>STOCK[[#This Row],[Costo total]]*1.5</f>
        <v>11.4083333333333</v>
      </c>
      <c r="V331" s="77">
        <v>5</v>
      </c>
      <c r="W331" s="77">
        <f>STOCK[[#This Row],[Precio Final]]-STOCK[[#This Row],[Costo total]]</f>
        <v>-2.60555555555556</v>
      </c>
      <c r="X331" s="77">
        <f>STOCK[[#This Row],[Ganancia Unitaria]]*STOCK[[#This Row],[Salidas]]</f>
        <v>-5.21111111111112</v>
      </c>
      <c r="AA331" s="77">
        <f>STOCK[[#This Row],[Costo total]]*STOCK[[#This Row],[Entradas]]</f>
        <v>15.2111111111111</v>
      </c>
      <c r="AB331" s="77">
        <f>STOCK[[#This Row],[Stock Actual]]*STOCK[[#This Row],[Costo total]]</f>
        <v>0</v>
      </c>
    </row>
    <row r="332" s="76" customFormat="1" ht="50" customHeight="1" spans="1:28">
      <c r="A332" s="76" t="s">
        <v>694</v>
      </c>
      <c r="B332" s="6"/>
      <c r="C332" s="76" t="s">
        <v>30</v>
      </c>
      <c r="D332" s="76" t="s">
        <v>42</v>
      </c>
      <c r="E332" s="76" t="s">
        <v>695</v>
      </c>
      <c r="F332" s="76" t="s">
        <v>210</v>
      </c>
      <c r="G332" s="76" t="s">
        <v>34</v>
      </c>
      <c r="H332" s="76">
        <f>STOCK[[#This Row],[Precio Final]]</f>
        <v>10</v>
      </c>
      <c r="I332" s="76">
        <f>STOCK[[#This Row],[Precio Venta Ideal (x1.5)]]</f>
        <v>12.1583333333333</v>
      </c>
      <c r="J332" s="91">
        <v>2</v>
      </c>
      <c r="K332" s="91">
        <f>SUMIFS(VENTAS[Cantidad],VENTAS[Código del producto Vendido],STOCK[[#This Row],[Code]])</f>
        <v>2</v>
      </c>
      <c r="L332" s="91">
        <f>STOCK[[#This Row],[Entradas]]-STOCK[[#This Row],[Salidas]]</f>
        <v>0</v>
      </c>
      <c r="M332" s="76">
        <f>STOCK[[#This Row],[Precio Final]]*10%</f>
        <v>1</v>
      </c>
      <c r="N332" s="76">
        <v>82</v>
      </c>
      <c r="O332" s="76">
        <v>18</v>
      </c>
      <c r="P332" s="76">
        <v>4.55555555555556</v>
      </c>
      <c r="Q332" s="91">
        <v>150</v>
      </c>
      <c r="R332" s="76">
        <v>17</v>
      </c>
      <c r="S332" s="76">
        <f>STOCK[[#This Row],[Peso (g)]]*STOCK[[#This Row],[Precio Envío Kilogramo (USD)]]/1000</f>
        <v>2.55</v>
      </c>
      <c r="T332" s="76">
        <f>STOCK[[#This Row],[Costo Unitario (USD)]]+STOCK[[#This Row],[Costo Envío (USD)]]+STOCK[[#This Row],[Comisión 10%]]</f>
        <v>8.10555555555556</v>
      </c>
      <c r="U332" s="76">
        <f>STOCK[[#This Row],[Costo total]]*1.5</f>
        <v>12.1583333333333</v>
      </c>
      <c r="V332" s="76">
        <v>10</v>
      </c>
      <c r="W332" s="76">
        <f>STOCK[[#This Row],[Precio Final]]-STOCK[[#This Row],[Costo total]]</f>
        <v>1.89444444444444</v>
      </c>
      <c r="X332" s="76">
        <f>STOCK[[#This Row],[Ganancia Unitaria]]*STOCK[[#This Row],[Salidas]]</f>
        <v>3.78888888888888</v>
      </c>
      <c r="AA332" s="76">
        <f>STOCK[[#This Row],[Costo total]]*STOCK[[#This Row],[Entradas]]</f>
        <v>16.2111111111111</v>
      </c>
      <c r="AB332" s="76">
        <f>STOCK[[#This Row],[Stock Actual]]*STOCK[[#This Row],[Costo total]]</f>
        <v>0</v>
      </c>
    </row>
    <row r="333" s="77" customFormat="1" ht="50" customHeight="1" spans="1:28">
      <c r="A333" s="77" t="s">
        <v>696</v>
      </c>
      <c r="B333" s="6"/>
      <c r="C333" s="77" t="s">
        <v>30</v>
      </c>
      <c r="D333" s="77" t="s">
        <v>42</v>
      </c>
      <c r="E333" s="77" t="s">
        <v>697</v>
      </c>
      <c r="F333" s="77" t="s">
        <v>38</v>
      </c>
      <c r="G333" s="77" t="s">
        <v>34</v>
      </c>
      <c r="H333" s="77">
        <f>STOCK[[#This Row],[Precio Final]]</f>
        <v>10</v>
      </c>
      <c r="I333" s="77">
        <f>STOCK[[#This Row],[Precio Venta Ideal (x1.5)]]</f>
        <v>12.1583333333333</v>
      </c>
      <c r="J333" s="92">
        <v>2</v>
      </c>
      <c r="K333" s="92">
        <f>SUMIFS(VENTAS[Cantidad],VENTAS[Código del producto Vendido],STOCK[[#This Row],[Code]])</f>
        <v>2</v>
      </c>
      <c r="L333" s="92">
        <f>STOCK[[#This Row],[Entradas]]-STOCK[[#This Row],[Salidas]]</f>
        <v>0</v>
      </c>
      <c r="M333" s="77">
        <f>STOCK[[#This Row],[Precio Final]]*10%</f>
        <v>1</v>
      </c>
      <c r="N333" s="77">
        <v>82</v>
      </c>
      <c r="O333" s="77">
        <v>18</v>
      </c>
      <c r="P333" s="77">
        <v>4.55555555555556</v>
      </c>
      <c r="Q333" s="92">
        <v>150</v>
      </c>
      <c r="R333" s="77">
        <v>17</v>
      </c>
      <c r="S333" s="77">
        <f>STOCK[[#This Row],[Peso (g)]]*STOCK[[#This Row],[Precio Envío Kilogramo (USD)]]/1000</f>
        <v>2.55</v>
      </c>
      <c r="T333" s="76">
        <f>STOCK[[#This Row],[Costo Unitario (USD)]]+STOCK[[#This Row],[Costo Envío (USD)]]+STOCK[[#This Row],[Comisión 10%]]</f>
        <v>8.10555555555556</v>
      </c>
      <c r="U333" s="77">
        <f>STOCK[[#This Row],[Costo total]]*1.5</f>
        <v>12.1583333333333</v>
      </c>
      <c r="V333" s="77">
        <v>10</v>
      </c>
      <c r="W333" s="77">
        <f>STOCK[[#This Row],[Precio Final]]-STOCK[[#This Row],[Costo total]]</f>
        <v>1.89444444444444</v>
      </c>
      <c r="X333" s="77">
        <f>STOCK[[#This Row],[Ganancia Unitaria]]*STOCK[[#This Row],[Salidas]]</f>
        <v>3.78888888888888</v>
      </c>
      <c r="AA333" s="77">
        <f>STOCK[[#This Row],[Costo total]]*STOCK[[#This Row],[Entradas]]</f>
        <v>16.2111111111111</v>
      </c>
      <c r="AB333" s="77">
        <f>STOCK[[#This Row],[Stock Actual]]*STOCK[[#This Row],[Costo total]]</f>
        <v>0</v>
      </c>
    </row>
    <row r="334" s="76" customFormat="1" ht="50" customHeight="1" spans="1:29">
      <c r="A334" s="76" t="s">
        <v>698</v>
      </c>
      <c r="B334" s="6"/>
      <c r="C334" s="76" t="s">
        <v>30</v>
      </c>
      <c r="D334" s="76" t="s">
        <v>215</v>
      </c>
      <c r="E334" s="76" t="s">
        <v>699</v>
      </c>
      <c r="F334" s="76" t="s">
        <v>47</v>
      </c>
      <c r="G334" s="76" t="s">
        <v>34</v>
      </c>
      <c r="H334" s="76">
        <f>STOCK[[#This Row],[Precio Final]]</f>
        <v>15</v>
      </c>
      <c r="I334" s="76">
        <f>STOCK[[#This Row],[Precio Venta Ideal (x1.5)]]</f>
        <v>12.9083333333333</v>
      </c>
      <c r="J334" s="91">
        <v>2</v>
      </c>
      <c r="K334" s="91">
        <f>SUMIFS(VENTAS[Cantidad],VENTAS[Código del producto Vendido],STOCK[[#This Row],[Code]])</f>
        <v>0</v>
      </c>
      <c r="L334" s="91">
        <f>STOCK[[#This Row],[Entradas]]-STOCK[[#This Row],[Salidas]]</f>
        <v>2</v>
      </c>
      <c r="M334" s="76">
        <f>STOCK[[#This Row],[Precio Final]]*10%</f>
        <v>1.5</v>
      </c>
      <c r="N334" s="76">
        <v>82</v>
      </c>
      <c r="O334" s="76">
        <v>18</v>
      </c>
      <c r="P334" s="76">
        <v>4.55555555555556</v>
      </c>
      <c r="Q334" s="91">
        <v>150</v>
      </c>
      <c r="R334" s="76">
        <v>17</v>
      </c>
      <c r="S334" s="76">
        <f>STOCK[[#This Row],[Peso (g)]]*STOCK[[#This Row],[Precio Envío Kilogramo (USD)]]/1000</f>
        <v>2.55</v>
      </c>
      <c r="T334" s="76">
        <f>STOCK[[#This Row],[Costo Unitario (USD)]]+STOCK[[#This Row],[Costo Envío (USD)]]+STOCK[[#This Row],[Comisión 10%]]</f>
        <v>8.60555555555556</v>
      </c>
      <c r="U334" s="76">
        <f>STOCK[[#This Row],[Costo total]]*1.5</f>
        <v>12.9083333333333</v>
      </c>
      <c r="V334" s="76">
        <v>15</v>
      </c>
      <c r="W334" s="76">
        <f>STOCK[[#This Row],[Precio Final]]-STOCK[[#This Row],[Costo total]]</f>
        <v>6.39444444444444</v>
      </c>
      <c r="X334" s="76">
        <f>STOCK[[#This Row],[Ganancia Unitaria]]*STOCK[[#This Row],[Salidas]]</f>
        <v>0</v>
      </c>
      <c r="AA334" s="76">
        <f>STOCK[[#This Row],[Costo total]]*STOCK[[#This Row],[Entradas]]</f>
        <v>17.2111111111111</v>
      </c>
      <c r="AB334" s="76">
        <f>STOCK[[#This Row],[Stock Actual]]*STOCK[[#This Row],[Costo total]]</f>
        <v>17.2111111111111</v>
      </c>
      <c r="AC334" s="76">
        <v>12</v>
      </c>
    </row>
    <row r="335" s="77" customFormat="1" ht="50" customHeight="1" spans="1:28">
      <c r="A335" s="77" t="s">
        <v>700</v>
      </c>
      <c r="B335" s="6"/>
      <c r="C335" s="77" t="s">
        <v>30</v>
      </c>
      <c r="D335" s="77" t="s">
        <v>42</v>
      </c>
      <c r="E335" s="77" t="s">
        <v>701</v>
      </c>
      <c r="F335" s="77" t="s">
        <v>38</v>
      </c>
      <c r="G335" s="77" t="s">
        <v>702</v>
      </c>
      <c r="H335" s="77">
        <f>STOCK[[#This Row],[Precio Final]]</f>
        <v>18</v>
      </c>
      <c r="I335" s="77">
        <f>STOCK[[#This Row],[Precio Venta Ideal (x1.5)]]</f>
        <v>28.305</v>
      </c>
      <c r="J335" s="92">
        <v>1</v>
      </c>
      <c r="K335" s="92">
        <f>SUMIFS(VENTAS[Cantidad],VENTAS[Código del producto Vendido],STOCK[[#This Row],[Code]])</f>
        <v>1</v>
      </c>
      <c r="L335" s="92">
        <f>STOCK[[#This Row],[Entradas]]-STOCK[[#This Row],[Salidas]]</f>
        <v>0</v>
      </c>
      <c r="M335" s="77">
        <f>STOCK[[#This Row],[Precio Final]]*10%</f>
        <v>1.8</v>
      </c>
      <c r="N335" s="77">
        <v>248</v>
      </c>
      <c r="O335" s="77">
        <v>18</v>
      </c>
      <c r="P335" s="77">
        <v>15.57</v>
      </c>
      <c r="Q335" s="92">
        <v>150</v>
      </c>
      <c r="R335" s="77">
        <v>10</v>
      </c>
      <c r="S335" s="77">
        <f>STOCK[[#This Row],[Peso (g)]]*STOCK[[#This Row],[Precio Envío Kilogramo (USD)]]/1000</f>
        <v>1.5</v>
      </c>
      <c r="T335" s="76">
        <f>STOCK[[#This Row],[Costo Unitario (USD)]]+STOCK[[#This Row],[Costo Envío (USD)]]+STOCK[[#This Row],[Comisión 10%]]</f>
        <v>18.87</v>
      </c>
      <c r="U335" s="77">
        <f>STOCK[[#This Row],[Costo total]]*1.5</f>
        <v>28.305</v>
      </c>
      <c r="V335" s="77">
        <v>18</v>
      </c>
      <c r="W335" s="77">
        <f>STOCK[[#This Row],[Precio Final]]-STOCK[[#This Row],[Costo total]]</f>
        <v>-0.870000000000001</v>
      </c>
      <c r="X335" s="77">
        <f>STOCK[[#This Row],[Ganancia Unitaria]]*STOCK[[#This Row],[Salidas]]</f>
        <v>-0.870000000000001</v>
      </c>
      <c r="AA335" s="77">
        <f>STOCK[[#This Row],[Costo total]]*STOCK[[#This Row],[Entradas]]</f>
        <v>18.87</v>
      </c>
      <c r="AB335" s="77">
        <f>STOCK[[#This Row],[Stock Actual]]*STOCK[[#This Row],[Costo total]]</f>
        <v>0</v>
      </c>
    </row>
    <row r="336" s="76" customFormat="1" ht="50" customHeight="1" spans="1:29">
      <c r="A336" s="76" t="s">
        <v>703</v>
      </c>
      <c r="B336" s="6"/>
      <c r="C336" s="76" t="s">
        <v>30</v>
      </c>
      <c r="D336" s="76" t="s">
        <v>704</v>
      </c>
      <c r="E336" s="76" t="s">
        <v>705</v>
      </c>
      <c r="F336" s="76" t="s">
        <v>38</v>
      </c>
      <c r="G336" s="76" t="s">
        <v>702</v>
      </c>
      <c r="H336" s="76">
        <f>STOCK[[#This Row],[Precio Final]]</f>
        <v>15</v>
      </c>
      <c r="I336" s="76">
        <f>STOCK[[#This Row],[Precio Venta Ideal (x1.5)]]</f>
        <v>14.85</v>
      </c>
      <c r="J336" s="91">
        <v>1</v>
      </c>
      <c r="K336" s="91">
        <f>SUMIFS(VENTAS[Cantidad],VENTAS[Código del producto Vendido],STOCK[[#This Row],[Code]])</f>
        <v>0</v>
      </c>
      <c r="L336" s="91">
        <f>STOCK[[#This Row],[Entradas]]-STOCK[[#This Row],[Salidas]]</f>
        <v>1</v>
      </c>
      <c r="M336" s="76">
        <f>STOCK[[#This Row],[Precio Final]]*10%</f>
        <v>1.5</v>
      </c>
      <c r="N336" s="76">
        <v>129</v>
      </c>
      <c r="O336" s="76">
        <v>18</v>
      </c>
      <c r="P336" s="76">
        <v>8</v>
      </c>
      <c r="Q336" s="91">
        <v>40</v>
      </c>
      <c r="R336" s="76">
        <v>10</v>
      </c>
      <c r="S336" s="76">
        <f>STOCK[[#This Row],[Peso (g)]]*STOCK[[#This Row],[Precio Envío Kilogramo (USD)]]/1000</f>
        <v>0.4</v>
      </c>
      <c r="T336" s="76">
        <f>STOCK[[#This Row],[Costo Unitario (USD)]]+STOCK[[#This Row],[Costo Envío (USD)]]+STOCK[[#This Row],[Comisión 10%]]</f>
        <v>9.9</v>
      </c>
      <c r="U336" s="76">
        <f>STOCK[[#This Row],[Costo total]]*1.5</f>
        <v>14.85</v>
      </c>
      <c r="V336" s="76">
        <v>15</v>
      </c>
      <c r="W336" s="76">
        <f>STOCK[[#This Row],[Precio Final]]-STOCK[[#This Row],[Costo total]]</f>
        <v>5.1</v>
      </c>
      <c r="X336" s="76">
        <f>STOCK[[#This Row],[Ganancia Unitaria]]*STOCK[[#This Row],[Salidas]]</f>
        <v>0</v>
      </c>
      <c r="AA336" s="76">
        <f>STOCK[[#This Row],[Costo total]]*STOCK[[#This Row],[Entradas]]</f>
        <v>9.9</v>
      </c>
      <c r="AB336" s="76">
        <f>STOCK[[#This Row],[Stock Actual]]*STOCK[[#This Row],[Costo total]]</f>
        <v>9.9</v>
      </c>
      <c r="AC336" s="76">
        <v>12</v>
      </c>
    </row>
    <row r="337" s="77" customFormat="1" ht="50" customHeight="1" spans="1:28">
      <c r="A337" s="77" t="s">
        <v>706</v>
      </c>
      <c r="B337" s="6"/>
      <c r="C337" s="77" t="s">
        <v>30</v>
      </c>
      <c r="D337" s="77" t="s">
        <v>173</v>
      </c>
      <c r="E337" s="77" t="s">
        <v>707</v>
      </c>
      <c r="F337" s="77" t="s">
        <v>38</v>
      </c>
      <c r="G337" s="77" t="s">
        <v>702</v>
      </c>
      <c r="H337" s="77">
        <f>STOCK[[#This Row],[Precio Final]]</f>
        <v>17</v>
      </c>
      <c r="I337" s="77">
        <f>STOCK[[#This Row],[Precio Venta Ideal (x1.5)]]</f>
        <v>19.65</v>
      </c>
      <c r="J337" s="92">
        <v>1</v>
      </c>
      <c r="K337" s="92">
        <f>SUMIFS(VENTAS[Cantidad],VENTAS[Código del producto Vendido],STOCK[[#This Row],[Code]])</f>
        <v>1</v>
      </c>
      <c r="L337" s="92">
        <f>STOCK[[#This Row],[Entradas]]-STOCK[[#This Row],[Salidas]]</f>
        <v>0</v>
      </c>
      <c r="M337" s="77">
        <f>STOCK[[#This Row],[Precio Final]]*10%</f>
        <v>1.7</v>
      </c>
      <c r="N337" s="77">
        <v>198</v>
      </c>
      <c r="O337" s="77">
        <v>18</v>
      </c>
      <c r="P337" s="77">
        <v>11</v>
      </c>
      <c r="Q337" s="92">
        <v>40</v>
      </c>
      <c r="R337" s="77">
        <v>10</v>
      </c>
      <c r="S337" s="77">
        <f>STOCK[[#This Row],[Peso (g)]]*STOCK[[#This Row],[Precio Envío Kilogramo (USD)]]/1000</f>
        <v>0.4</v>
      </c>
      <c r="T337" s="76">
        <f>STOCK[[#This Row],[Costo Unitario (USD)]]+STOCK[[#This Row],[Costo Envío (USD)]]+STOCK[[#This Row],[Comisión 10%]]</f>
        <v>13.1</v>
      </c>
      <c r="U337" s="77">
        <f>STOCK[[#This Row],[Costo total]]*1.5</f>
        <v>19.65</v>
      </c>
      <c r="V337" s="77">
        <v>17</v>
      </c>
      <c r="W337" s="77">
        <f>STOCK[[#This Row],[Precio Final]]-STOCK[[#This Row],[Costo total]]</f>
        <v>3.9</v>
      </c>
      <c r="X337" s="77">
        <f>STOCK[[#This Row],[Ganancia Unitaria]]*STOCK[[#This Row],[Salidas]]</f>
        <v>3.9</v>
      </c>
      <c r="AA337" s="77">
        <f>STOCK[[#This Row],[Costo total]]*STOCK[[#This Row],[Entradas]]</f>
        <v>13.1</v>
      </c>
      <c r="AB337" s="77">
        <f>STOCK[[#This Row],[Stock Actual]]*STOCK[[#This Row],[Costo total]]</f>
        <v>0</v>
      </c>
    </row>
    <row r="338" s="76" customFormat="1" ht="50" customHeight="1" spans="1:29">
      <c r="A338" s="76" t="s">
        <v>708</v>
      </c>
      <c r="B338" s="6"/>
      <c r="C338" s="76" t="s">
        <v>30</v>
      </c>
      <c r="D338" s="76" t="s">
        <v>709</v>
      </c>
      <c r="E338" s="76" t="s">
        <v>710</v>
      </c>
      <c r="F338" s="76" t="s">
        <v>38</v>
      </c>
      <c r="G338" s="76" t="s">
        <v>702</v>
      </c>
      <c r="H338" s="76">
        <f>STOCK[[#This Row],[Precio Final]]</f>
        <v>50</v>
      </c>
      <c r="I338" s="76">
        <f>STOCK[[#This Row],[Precio Venta Ideal (x1.5)]]</f>
        <v>54.1666666666667</v>
      </c>
      <c r="J338" s="91">
        <v>1</v>
      </c>
      <c r="K338" s="91">
        <f>SUMIFS(VENTAS[Cantidad],VENTAS[Código del producto Vendido],STOCK[[#This Row],[Code]])</f>
        <v>0</v>
      </c>
      <c r="L338" s="91">
        <f>STOCK[[#This Row],[Entradas]]-STOCK[[#This Row],[Salidas]]</f>
        <v>1</v>
      </c>
      <c r="M338" s="76">
        <f>STOCK[[#This Row],[Precio Final]]*10%</f>
        <v>5</v>
      </c>
      <c r="N338" s="76">
        <v>497</v>
      </c>
      <c r="O338" s="76">
        <v>18</v>
      </c>
      <c r="P338" s="76">
        <v>27.6111111111111</v>
      </c>
      <c r="Q338" s="91">
        <v>350</v>
      </c>
      <c r="R338" s="76">
        <v>10</v>
      </c>
      <c r="S338" s="76">
        <f>STOCK[[#This Row],[Peso (g)]]*STOCK[[#This Row],[Precio Envío Kilogramo (USD)]]/1000</f>
        <v>3.5</v>
      </c>
      <c r="T338" s="76">
        <f>STOCK[[#This Row],[Costo Unitario (USD)]]+STOCK[[#This Row],[Costo Envío (USD)]]+STOCK[[#This Row],[Comisión 10%]]</f>
        <v>36.1111111111111</v>
      </c>
      <c r="U338" s="76">
        <f>STOCK[[#This Row],[Costo total]]*1.5</f>
        <v>54.1666666666667</v>
      </c>
      <c r="V338" s="76">
        <v>50</v>
      </c>
      <c r="W338" s="76">
        <f>STOCK[[#This Row],[Precio Final]]-STOCK[[#This Row],[Costo total]]</f>
        <v>13.8888888888889</v>
      </c>
      <c r="X338" s="76">
        <f>STOCK[[#This Row],[Ganancia Unitaria]]*STOCK[[#This Row],[Salidas]]</f>
        <v>0</v>
      </c>
      <c r="AA338" s="76">
        <f>STOCK[[#This Row],[Costo total]]*STOCK[[#This Row],[Entradas]]</f>
        <v>36.1111111111111</v>
      </c>
      <c r="AB338" s="76">
        <f>STOCK[[#This Row],[Stock Actual]]*STOCK[[#This Row],[Costo total]]</f>
        <v>36.1111111111111</v>
      </c>
      <c r="AC338" s="76">
        <v>40</v>
      </c>
    </row>
    <row r="339" s="77" customFormat="1" ht="50" customHeight="1" spans="1:29">
      <c r="A339" s="77" t="s">
        <v>711</v>
      </c>
      <c r="B339" s="6"/>
      <c r="C339" s="77" t="s">
        <v>30</v>
      </c>
      <c r="D339" s="76" t="s">
        <v>712</v>
      </c>
      <c r="E339" s="77" t="s">
        <v>713</v>
      </c>
      <c r="F339" s="77" t="s">
        <v>714</v>
      </c>
      <c r="G339" s="77" t="s">
        <v>702</v>
      </c>
      <c r="H339" s="77">
        <f>STOCK[[#This Row],[Precio Final]]</f>
        <v>20</v>
      </c>
      <c r="I339" s="77">
        <f>STOCK[[#This Row],[Precio Venta Ideal (x1.5)]]</f>
        <v>22.4166666666667</v>
      </c>
      <c r="J339" s="92">
        <v>2</v>
      </c>
      <c r="K339" s="92">
        <f>SUMIFS(VENTAS[Cantidad],VENTAS[Código del producto Vendido],STOCK[[#This Row],[Code]])</f>
        <v>0</v>
      </c>
      <c r="L339" s="92">
        <f>STOCK[[#This Row],[Entradas]]-STOCK[[#This Row],[Salidas]]</f>
        <v>2</v>
      </c>
      <c r="M339" s="77">
        <f>STOCK[[#This Row],[Precio Final]]*10%</f>
        <v>2</v>
      </c>
      <c r="N339" s="77">
        <v>170</v>
      </c>
      <c r="O339" s="77">
        <v>18</v>
      </c>
      <c r="P339" s="77">
        <v>9.44444444444444</v>
      </c>
      <c r="Q339" s="92">
        <v>350</v>
      </c>
      <c r="R339" s="77">
        <v>10</v>
      </c>
      <c r="S339" s="77">
        <f>STOCK[[#This Row],[Peso (g)]]*STOCK[[#This Row],[Precio Envío Kilogramo (USD)]]/1000</f>
        <v>3.5</v>
      </c>
      <c r="T339" s="76">
        <f>STOCK[[#This Row],[Costo Unitario (USD)]]+STOCK[[#This Row],[Costo Envío (USD)]]+STOCK[[#This Row],[Comisión 10%]]</f>
        <v>14.9444444444444</v>
      </c>
      <c r="U339" s="77">
        <f>STOCK[[#This Row],[Costo total]]*1.5</f>
        <v>22.4166666666667</v>
      </c>
      <c r="V339" s="77">
        <v>20</v>
      </c>
      <c r="W339" s="77">
        <f>STOCK[[#This Row],[Precio Final]]-STOCK[[#This Row],[Costo total]]</f>
        <v>5.05555555555556</v>
      </c>
      <c r="X339" s="77">
        <f>STOCK[[#This Row],[Ganancia Unitaria]]*STOCK[[#This Row],[Salidas]]</f>
        <v>0</v>
      </c>
      <c r="AA339" s="77">
        <f>STOCK[[#This Row],[Costo total]]*STOCK[[#This Row],[Entradas]]</f>
        <v>29.8888888888889</v>
      </c>
      <c r="AB339" s="77">
        <f>STOCK[[#This Row],[Stock Actual]]*STOCK[[#This Row],[Costo total]]</f>
        <v>29.8888888888889</v>
      </c>
      <c r="AC339" s="77">
        <v>18</v>
      </c>
    </row>
    <row r="340" s="76" customFormat="1" ht="50" customHeight="1" spans="1:29">
      <c r="A340" s="76" t="s">
        <v>715</v>
      </c>
      <c r="B340" s="6"/>
      <c r="C340" s="76" t="s">
        <v>30</v>
      </c>
      <c r="D340" s="76" t="s">
        <v>712</v>
      </c>
      <c r="E340" s="76" t="s">
        <v>713</v>
      </c>
      <c r="F340" s="76" t="s">
        <v>60</v>
      </c>
      <c r="G340" s="76" t="s">
        <v>702</v>
      </c>
      <c r="H340" s="76">
        <f>STOCK[[#This Row],[Precio Final]]</f>
        <v>20</v>
      </c>
      <c r="I340" s="76">
        <f>STOCK[[#This Row],[Precio Venta Ideal (x1.5)]]</f>
        <v>22.4166666666667</v>
      </c>
      <c r="J340" s="91">
        <v>3</v>
      </c>
      <c r="K340" s="91">
        <f>SUMIFS(VENTAS[Cantidad],VENTAS[Código del producto Vendido],STOCK[[#This Row],[Code]])</f>
        <v>1</v>
      </c>
      <c r="L340" s="91">
        <f>STOCK[[#This Row],[Entradas]]-STOCK[[#This Row],[Salidas]]</f>
        <v>2</v>
      </c>
      <c r="M340" s="76">
        <f>STOCK[[#This Row],[Precio Final]]*10%</f>
        <v>2</v>
      </c>
      <c r="N340" s="76">
        <v>170</v>
      </c>
      <c r="O340" s="76">
        <v>18</v>
      </c>
      <c r="P340" s="76">
        <v>9.44444444444444</v>
      </c>
      <c r="Q340" s="91">
        <v>350</v>
      </c>
      <c r="R340" s="76">
        <v>10</v>
      </c>
      <c r="S340" s="76">
        <f>STOCK[[#This Row],[Peso (g)]]*STOCK[[#This Row],[Precio Envío Kilogramo (USD)]]/1000</f>
        <v>3.5</v>
      </c>
      <c r="T340" s="76">
        <f>STOCK[[#This Row],[Costo Unitario (USD)]]+STOCK[[#This Row],[Costo Envío (USD)]]+STOCK[[#This Row],[Comisión 10%]]</f>
        <v>14.9444444444444</v>
      </c>
      <c r="U340" s="76">
        <f>STOCK[[#This Row],[Costo total]]*1.5</f>
        <v>22.4166666666667</v>
      </c>
      <c r="V340" s="76">
        <v>20</v>
      </c>
      <c r="W340" s="76">
        <f>STOCK[[#This Row],[Precio Final]]-STOCK[[#This Row],[Costo total]]</f>
        <v>5.05555555555556</v>
      </c>
      <c r="X340" s="76">
        <f>STOCK[[#This Row],[Ganancia Unitaria]]*STOCK[[#This Row],[Salidas]]</f>
        <v>5.05555555555556</v>
      </c>
      <c r="AA340" s="76">
        <f>STOCK[[#This Row],[Costo total]]*STOCK[[#This Row],[Entradas]]</f>
        <v>44.8333333333333</v>
      </c>
      <c r="AB340" s="76">
        <f>STOCK[[#This Row],[Stock Actual]]*STOCK[[#This Row],[Costo total]]</f>
        <v>29.8888888888889</v>
      </c>
      <c r="AC340" s="76">
        <v>18</v>
      </c>
    </row>
    <row r="341" s="77" customFormat="1" ht="50" customHeight="1" spans="1:28">
      <c r="A341" s="77" t="s">
        <v>716</v>
      </c>
      <c r="B341" s="6"/>
      <c r="C341" s="77" t="s">
        <v>30</v>
      </c>
      <c r="D341" s="77" t="s">
        <v>42</v>
      </c>
      <c r="E341" s="77" t="s">
        <v>717</v>
      </c>
      <c r="F341" s="77" t="s">
        <v>718</v>
      </c>
      <c r="G341" s="77" t="s">
        <v>702</v>
      </c>
      <c r="H341" s="77">
        <f>STOCK[[#This Row],[Precio Final]]</f>
        <v>15</v>
      </c>
      <c r="I341" s="77">
        <f>STOCK[[#This Row],[Precio Venta Ideal (x1.5)]]</f>
        <v>10.8333333333333</v>
      </c>
      <c r="J341" s="92">
        <v>4</v>
      </c>
      <c r="K341" s="92">
        <f>SUMIFS(VENTAS[Cantidad],VENTAS[Código del producto Vendido],STOCK[[#This Row],[Code]])</f>
        <v>4</v>
      </c>
      <c r="L341" s="92">
        <f>STOCK[[#This Row],[Entradas]]-STOCK[[#This Row],[Salidas]]</f>
        <v>0</v>
      </c>
      <c r="M341" s="77">
        <f>STOCK[[#This Row],[Precio Final]]*10%</f>
        <v>1.5</v>
      </c>
      <c r="N341" s="77">
        <v>85</v>
      </c>
      <c r="O341" s="77">
        <v>18</v>
      </c>
      <c r="P341" s="77">
        <v>4.72222222222222</v>
      </c>
      <c r="Q341" s="92">
        <v>100</v>
      </c>
      <c r="R341" s="77">
        <v>10</v>
      </c>
      <c r="S341" s="77">
        <f>STOCK[[#This Row],[Peso (g)]]*STOCK[[#This Row],[Precio Envío Kilogramo (USD)]]/1000</f>
        <v>1</v>
      </c>
      <c r="T341" s="76">
        <f>STOCK[[#This Row],[Costo Unitario (USD)]]+STOCK[[#This Row],[Costo Envío (USD)]]+STOCK[[#This Row],[Comisión 10%]]</f>
        <v>7.22222222222222</v>
      </c>
      <c r="U341" s="77">
        <f>STOCK[[#This Row],[Costo total]]*1.5</f>
        <v>10.8333333333333</v>
      </c>
      <c r="V341" s="77">
        <v>15</v>
      </c>
      <c r="W341" s="77">
        <f>STOCK[[#This Row],[Precio Final]]-STOCK[[#This Row],[Costo total]]</f>
        <v>7.77777777777778</v>
      </c>
      <c r="X341" s="77">
        <f>STOCK[[#This Row],[Ganancia Unitaria]]*STOCK[[#This Row],[Salidas]]</f>
        <v>31.1111111111111</v>
      </c>
      <c r="AA341" s="77">
        <f>STOCK[[#This Row],[Costo total]]*STOCK[[#This Row],[Entradas]]</f>
        <v>28.8888888888889</v>
      </c>
      <c r="AB341" s="77">
        <f>STOCK[[#This Row],[Stock Actual]]*STOCK[[#This Row],[Costo total]]</f>
        <v>0</v>
      </c>
    </row>
    <row r="342" s="76" customFormat="1" ht="50" customHeight="1" spans="1:28">
      <c r="A342" s="76" t="s">
        <v>719</v>
      </c>
      <c r="B342" s="6"/>
      <c r="C342" s="76" t="s">
        <v>30</v>
      </c>
      <c r="D342" s="76" t="s">
        <v>173</v>
      </c>
      <c r="E342" s="76" t="s">
        <v>720</v>
      </c>
      <c r="F342" s="76" t="s">
        <v>44</v>
      </c>
      <c r="G342" s="76" t="s">
        <v>702</v>
      </c>
      <c r="H342" s="76">
        <f>STOCK[[#This Row],[Precio Final]]</f>
        <v>9</v>
      </c>
      <c r="I342" s="76">
        <f>STOCK[[#This Row],[Precio Venta Ideal (x1.5)]]</f>
        <v>8.88333333333333</v>
      </c>
      <c r="J342" s="91">
        <v>2</v>
      </c>
      <c r="K342" s="91">
        <f>SUMIFS(VENTAS[Cantidad],VENTAS[Código del producto Vendido],STOCK[[#This Row],[Code]])</f>
        <v>2</v>
      </c>
      <c r="L342" s="91">
        <f>STOCK[[#This Row],[Entradas]]-STOCK[[#This Row],[Salidas]]</f>
        <v>0</v>
      </c>
      <c r="M342" s="76">
        <f>STOCK[[#This Row],[Precio Final]]*10%</f>
        <v>0.9</v>
      </c>
      <c r="N342" s="76">
        <v>85</v>
      </c>
      <c r="O342" s="76">
        <v>18</v>
      </c>
      <c r="P342" s="76">
        <v>4.72222222222222</v>
      </c>
      <c r="Q342" s="91">
        <v>30</v>
      </c>
      <c r="R342" s="76">
        <v>10</v>
      </c>
      <c r="S342" s="76">
        <f>STOCK[[#This Row],[Peso (g)]]*STOCK[[#This Row],[Precio Envío Kilogramo (USD)]]/1000</f>
        <v>0.3</v>
      </c>
      <c r="T342" s="76">
        <f>STOCK[[#This Row],[Costo Unitario (USD)]]+STOCK[[#This Row],[Costo Envío (USD)]]+STOCK[[#This Row],[Comisión 10%]]</f>
        <v>5.92222222222222</v>
      </c>
      <c r="U342" s="76">
        <f>STOCK[[#This Row],[Costo total]]*1.5</f>
        <v>8.88333333333333</v>
      </c>
      <c r="V342" s="76">
        <v>9</v>
      </c>
      <c r="W342" s="76">
        <f>STOCK[[#This Row],[Precio Final]]-STOCK[[#This Row],[Costo total]]</f>
        <v>3.07777777777778</v>
      </c>
      <c r="X342" s="76">
        <f>STOCK[[#This Row],[Ganancia Unitaria]]*STOCK[[#This Row],[Salidas]]</f>
        <v>6.15555555555556</v>
      </c>
      <c r="AA342" s="76">
        <f>STOCK[[#This Row],[Costo total]]*STOCK[[#This Row],[Entradas]]</f>
        <v>11.8444444444444</v>
      </c>
      <c r="AB342" s="76">
        <f>STOCK[[#This Row],[Stock Actual]]*STOCK[[#This Row],[Costo total]]</f>
        <v>0</v>
      </c>
    </row>
    <row r="343" s="77" customFormat="1" ht="50" customHeight="1" spans="1:28">
      <c r="A343" s="77" t="s">
        <v>721</v>
      </c>
      <c r="B343" s="6"/>
      <c r="C343" s="77" t="s">
        <v>30</v>
      </c>
      <c r="D343" s="77" t="s">
        <v>173</v>
      </c>
      <c r="E343" s="77" t="s">
        <v>720</v>
      </c>
      <c r="F343" s="77" t="s">
        <v>60</v>
      </c>
      <c r="G343" s="77" t="s">
        <v>702</v>
      </c>
      <c r="H343" s="77">
        <f>STOCK[[#This Row],[Precio Final]]</f>
        <v>9</v>
      </c>
      <c r="I343" s="77">
        <f>STOCK[[#This Row],[Precio Venta Ideal (x1.5)]]</f>
        <v>8.88333333333333</v>
      </c>
      <c r="J343" s="92">
        <v>5</v>
      </c>
      <c r="K343" s="92">
        <f>SUMIFS(VENTAS[Cantidad],VENTAS[Código del producto Vendido],STOCK[[#This Row],[Code]])</f>
        <v>5</v>
      </c>
      <c r="L343" s="92">
        <f>STOCK[[#This Row],[Entradas]]-STOCK[[#This Row],[Salidas]]</f>
        <v>0</v>
      </c>
      <c r="M343" s="77">
        <f>STOCK[[#This Row],[Precio Final]]*10%</f>
        <v>0.9</v>
      </c>
      <c r="N343" s="77">
        <v>85</v>
      </c>
      <c r="O343" s="77">
        <v>18</v>
      </c>
      <c r="P343" s="77">
        <v>4.72222222222222</v>
      </c>
      <c r="Q343" s="92">
        <v>30</v>
      </c>
      <c r="R343" s="77">
        <v>10</v>
      </c>
      <c r="S343" s="77">
        <f>STOCK[[#This Row],[Peso (g)]]*STOCK[[#This Row],[Precio Envío Kilogramo (USD)]]/1000</f>
        <v>0.3</v>
      </c>
      <c r="T343" s="76">
        <f>STOCK[[#This Row],[Costo Unitario (USD)]]+STOCK[[#This Row],[Costo Envío (USD)]]+STOCK[[#This Row],[Comisión 10%]]</f>
        <v>5.92222222222222</v>
      </c>
      <c r="U343" s="77">
        <f>STOCK[[#This Row],[Costo total]]*1.5</f>
        <v>8.88333333333333</v>
      </c>
      <c r="V343" s="77">
        <v>9</v>
      </c>
      <c r="W343" s="77">
        <f>STOCK[[#This Row],[Precio Final]]-STOCK[[#This Row],[Costo total]]</f>
        <v>3.07777777777778</v>
      </c>
      <c r="X343" s="77">
        <f>STOCK[[#This Row],[Ganancia Unitaria]]*STOCK[[#This Row],[Salidas]]</f>
        <v>15.3888888888889</v>
      </c>
      <c r="AA343" s="77">
        <f>STOCK[[#This Row],[Costo total]]*STOCK[[#This Row],[Entradas]]</f>
        <v>29.6111111111111</v>
      </c>
      <c r="AB343" s="77">
        <f>STOCK[[#This Row],[Stock Actual]]*STOCK[[#This Row],[Costo total]]</f>
        <v>0</v>
      </c>
    </row>
    <row r="344" s="76" customFormat="1" ht="50" customHeight="1" spans="1:28">
      <c r="A344" s="76" t="s">
        <v>722</v>
      </c>
      <c r="B344" s="6"/>
      <c r="C344" s="76" t="s">
        <v>30</v>
      </c>
      <c r="D344" s="76" t="s">
        <v>173</v>
      </c>
      <c r="E344" s="76" t="s">
        <v>720</v>
      </c>
      <c r="F344" s="76" t="s">
        <v>44</v>
      </c>
      <c r="G344" s="76" t="s">
        <v>702</v>
      </c>
      <c r="H344" s="76">
        <f>STOCK[[#This Row],[Precio Final]]</f>
        <v>9</v>
      </c>
      <c r="I344" s="76">
        <f>STOCK[[#This Row],[Precio Venta Ideal (x1.5)]]</f>
        <v>8.88333333333333</v>
      </c>
      <c r="J344" s="91">
        <v>1</v>
      </c>
      <c r="K344" s="91">
        <f>SUMIFS(VENTAS[Cantidad],VENTAS[Código del producto Vendido],STOCK[[#This Row],[Code]])</f>
        <v>1</v>
      </c>
      <c r="L344" s="91">
        <f>STOCK[[#This Row],[Entradas]]-STOCK[[#This Row],[Salidas]]</f>
        <v>0</v>
      </c>
      <c r="M344" s="76">
        <f>STOCK[[#This Row],[Precio Final]]*10%</f>
        <v>0.9</v>
      </c>
      <c r="N344" s="76">
        <v>85</v>
      </c>
      <c r="O344" s="76">
        <v>18</v>
      </c>
      <c r="P344" s="76">
        <v>4.72222222222222</v>
      </c>
      <c r="Q344" s="91">
        <v>30</v>
      </c>
      <c r="R344" s="76">
        <v>10</v>
      </c>
      <c r="S344" s="76">
        <f>STOCK[[#This Row],[Peso (g)]]*STOCK[[#This Row],[Precio Envío Kilogramo (USD)]]/1000</f>
        <v>0.3</v>
      </c>
      <c r="T344" s="76">
        <f>STOCK[[#This Row],[Costo Unitario (USD)]]+STOCK[[#This Row],[Costo Envío (USD)]]+STOCK[[#This Row],[Comisión 10%]]</f>
        <v>5.92222222222222</v>
      </c>
      <c r="U344" s="76">
        <f>STOCK[[#This Row],[Costo total]]*1.5</f>
        <v>8.88333333333333</v>
      </c>
      <c r="V344" s="76">
        <v>9</v>
      </c>
      <c r="W344" s="76">
        <f>STOCK[[#This Row],[Precio Final]]-STOCK[[#This Row],[Costo total]]</f>
        <v>3.07777777777778</v>
      </c>
      <c r="X344" s="76">
        <f>STOCK[[#This Row],[Ganancia Unitaria]]*STOCK[[#This Row],[Salidas]]</f>
        <v>3.07777777777778</v>
      </c>
      <c r="AA344" s="76">
        <f>STOCK[[#This Row],[Costo total]]*STOCK[[#This Row],[Entradas]]</f>
        <v>5.92222222222222</v>
      </c>
      <c r="AB344" s="76">
        <f>STOCK[[#This Row],[Stock Actual]]*STOCK[[#This Row],[Costo total]]</f>
        <v>0</v>
      </c>
    </row>
    <row r="345" s="77" customFormat="1" ht="50" customHeight="1" spans="1:28">
      <c r="A345" s="77" t="s">
        <v>723</v>
      </c>
      <c r="B345" s="6"/>
      <c r="C345" s="77" t="s">
        <v>30</v>
      </c>
      <c r="D345" s="77" t="s">
        <v>724</v>
      </c>
      <c r="E345" s="77" t="s">
        <v>725</v>
      </c>
      <c r="F345" s="77" t="s">
        <v>524</v>
      </c>
      <c r="G345" s="77" t="s">
        <v>702</v>
      </c>
      <c r="H345" s="77">
        <f>STOCK[[#This Row],[Precio Final]]</f>
        <v>12</v>
      </c>
      <c r="I345" s="77">
        <f>STOCK[[#This Row],[Precio Venta Ideal (x1.5)]]</f>
        <v>9.3</v>
      </c>
      <c r="J345" s="92">
        <v>2</v>
      </c>
      <c r="K345" s="92">
        <f>SUMIFS(VENTAS[Cantidad],VENTAS[Código del producto Vendido],STOCK[[#This Row],[Code]])</f>
        <v>0</v>
      </c>
      <c r="L345" s="92">
        <f>STOCK[[#This Row],[Entradas]]-STOCK[[#This Row],[Salidas]]</f>
        <v>2</v>
      </c>
      <c r="M345" s="77">
        <f>STOCK[[#This Row],[Precio Final]]*10%</f>
        <v>1.2</v>
      </c>
      <c r="N345" s="77">
        <v>0</v>
      </c>
      <c r="O345" s="77">
        <v>0</v>
      </c>
      <c r="P345" s="77">
        <v>5</v>
      </c>
      <c r="Q345" s="92">
        <v>0</v>
      </c>
      <c r="R345" s="77">
        <v>0</v>
      </c>
      <c r="S345" s="77">
        <f>STOCK[[#This Row],[Peso (g)]]*STOCK[[#This Row],[Precio Envío Kilogramo (USD)]]/1000</f>
        <v>0</v>
      </c>
      <c r="T345" s="76">
        <f>STOCK[[#This Row],[Costo Unitario (USD)]]+STOCK[[#This Row],[Costo Envío (USD)]]+STOCK[[#This Row],[Comisión 10%]]</f>
        <v>6.2</v>
      </c>
      <c r="U345" s="77">
        <f>STOCK[[#This Row],[Costo total]]*1.5</f>
        <v>9.3</v>
      </c>
      <c r="V345" s="77">
        <v>12</v>
      </c>
      <c r="W345" s="77">
        <f>STOCK[[#This Row],[Precio Final]]-STOCK[[#This Row],[Costo total]]</f>
        <v>5.8</v>
      </c>
      <c r="X345" s="77">
        <f>STOCK[[#This Row],[Ganancia Unitaria]]*STOCK[[#This Row],[Salidas]]</f>
        <v>0</v>
      </c>
      <c r="AA345" s="77">
        <f>STOCK[[#This Row],[Costo total]]*STOCK[[#This Row],[Entradas]]</f>
        <v>12.4</v>
      </c>
      <c r="AB345" s="77">
        <f>STOCK[[#This Row],[Stock Actual]]*STOCK[[#This Row],[Costo total]]</f>
        <v>12.4</v>
      </c>
    </row>
    <row r="346" s="76" customFormat="1" ht="50" customHeight="1" spans="1:28">
      <c r="A346" s="76" t="s">
        <v>726</v>
      </c>
      <c r="B346" s="6"/>
      <c r="C346" s="76" t="s">
        <v>30</v>
      </c>
      <c r="D346" s="76" t="s">
        <v>173</v>
      </c>
      <c r="E346" s="76" t="s">
        <v>720</v>
      </c>
      <c r="F346" s="76" t="s">
        <v>60</v>
      </c>
      <c r="G346" s="76" t="s">
        <v>702</v>
      </c>
      <c r="H346" s="76">
        <f>STOCK[[#This Row],[Precio Final]]</f>
        <v>9</v>
      </c>
      <c r="I346" s="76">
        <f>STOCK[[#This Row],[Precio Venta Ideal (x1.5)]]</f>
        <v>8.88333333333333</v>
      </c>
      <c r="J346" s="91">
        <v>12</v>
      </c>
      <c r="K346" s="91">
        <f>SUMIFS(VENTAS[Cantidad],VENTAS[Código del producto Vendido],STOCK[[#This Row],[Code]])</f>
        <v>12</v>
      </c>
      <c r="L346" s="91">
        <f>STOCK[[#This Row],[Entradas]]-STOCK[[#This Row],[Salidas]]</f>
        <v>0</v>
      </c>
      <c r="M346" s="76">
        <f>STOCK[[#This Row],[Precio Final]]*10%</f>
        <v>0.9</v>
      </c>
      <c r="N346" s="76">
        <v>85</v>
      </c>
      <c r="O346" s="76">
        <v>18</v>
      </c>
      <c r="P346" s="76">
        <v>4.72222222222222</v>
      </c>
      <c r="Q346" s="91">
        <v>30</v>
      </c>
      <c r="R346" s="76">
        <v>10</v>
      </c>
      <c r="S346" s="76">
        <f>STOCK[[#This Row],[Peso (g)]]*STOCK[[#This Row],[Precio Envío Kilogramo (USD)]]/1000</f>
        <v>0.3</v>
      </c>
      <c r="T346" s="76">
        <f>STOCK[[#This Row],[Costo Unitario (USD)]]+STOCK[[#This Row],[Costo Envío (USD)]]+STOCK[[#This Row],[Comisión 10%]]</f>
        <v>5.92222222222222</v>
      </c>
      <c r="U346" s="76">
        <f>STOCK[[#This Row],[Costo total]]*1.5</f>
        <v>8.88333333333333</v>
      </c>
      <c r="V346" s="76">
        <v>9</v>
      </c>
      <c r="W346" s="76">
        <f>STOCK[[#This Row],[Precio Final]]-STOCK[[#This Row],[Costo total]]</f>
        <v>3.07777777777778</v>
      </c>
      <c r="X346" s="76">
        <f>STOCK[[#This Row],[Ganancia Unitaria]]*STOCK[[#This Row],[Salidas]]</f>
        <v>36.9333333333334</v>
      </c>
      <c r="AA346" s="76">
        <f>STOCK[[#This Row],[Costo total]]*STOCK[[#This Row],[Entradas]]</f>
        <v>71.0666666666666</v>
      </c>
      <c r="AB346" s="76">
        <f>STOCK[[#This Row],[Stock Actual]]*STOCK[[#This Row],[Costo total]]</f>
        <v>0</v>
      </c>
    </row>
    <row r="347" s="77" customFormat="1" ht="50" customHeight="1" spans="1:28">
      <c r="A347" s="77" t="s">
        <v>727</v>
      </c>
      <c r="B347" s="6"/>
      <c r="C347" s="77" t="s">
        <v>30</v>
      </c>
      <c r="D347" s="77" t="s">
        <v>42</v>
      </c>
      <c r="E347" s="77" t="s">
        <v>728</v>
      </c>
      <c r="F347" s="77" t="s">
        <v>60</v>
      </c>
      <c r="G347" s="77" t="s">
        <v>702</v>
      </c>
      <c r="H347" s="77">
        <f>STOCK[[#This Row],[Precio Final]]</f>
        <v>19</v>
      </c>
      <c r="I347" s="77">
        <f>STOCK[[#This Row],[Precio Venta Ideal (x1.5)]]</f>
        <v>20.7666666666667</v>
      </c>
      <c r="J347" s="92">
        <v>1</v>
      </c>
      <c r="K347" s="92">
        <f>SUMIFS(VENTAS[Cantidad],VENTAS[Código del producto Vendido],STOCK[[#This Row],[Code]])</f>
        <v>1</v>
      </c>
      <c r="L347" s="92">
        <f>STOCK[[#This Row],[Entradas]]-STOCK[[#This Row],[Salidas]]</f>
        <v>0</v>
      </c>
      <c r="M347" s="77">
        <f>STOCK[[#This Row],[Precio Final]]*10%</f>
        <v>1.9</v>
      </c>
      <c r="N347" s="77">
        <v>170</v>
      </c>
      <c r="O347" s="77">
        <v>18</v>
      </c>
      <c r="P347" s="77">
        <v>9.44444444444444</v>
      </c>
      <c r="Q347" s="92">
        <v>250</v>
      </c>
      <c r="R347" s="77">
        <v>10</v>
      </c>
      <c r="S347" s="77">
        <f>STOCK[[#This Row],[Peso (g)]]*STOCK[[#This Row],[Precio Envío Kilogramo (USD)]]/1000</f>
        <v>2.5</v>
      </c>
      <c r="T347" s="76">
        <f>STOCK[[#This Row],[Costo Unitario (USD)]]+STOCK[[#This Row],[Costo Envío (USD)]]+STOCK[[#This Row],[Comisión 10%]]</f>
        <v>13.8444444444444</v>
      </c>
      <c r="U347" s="77">
        <f>STOCK[[#This Row],[Costo total]]*1.5</f>
        <v>20.7666666666667</v>
      </c>
      <c r="V347" s="77">
        <v>19</v>
      </c>
      <c r="W347" s="77">
        <f>STOCK[[#This Row],[Precio Final]]-STOCK[[#This Row],[Costo total]]</f>
        <v>5.15555555555556</v>
      </c>
      <c r="X347" s="77">
        <f>STOCK[[#This Row],[Ganancia Unitaria]]*STOCK[[#This Row],[Salidas]]</f>
        <v>5.15555555555556</v>
      </c>
      <c r="AA347" s="77">
        <f>STOCK[[#This Row],[Costo total]]*STOCK[[#This Row],[Entradas]]</f>
        <v>13.8444444444444</v>
      </c>
      <c r="AB347" s="77">
        <f>STOCK[[#This Row],[Stock Actual]]*STOCK[[#This Row],[Costo total]]</f>
        <v>0</v>
      </c>
    </row>
    <row r="348" s="76" customFormat="1" ht="50" customHeight="1" spans="1:28">
      <c r="A348" s="76" t="s">
        <v>729</v>
      </c>
      <c r="B348" s="6"/>
      <c r="C348" s="76" t="s">
        <v>30</v>
      </c>
      <c r="D348" s="76" t="s">
        <v>42</v>
      </c>
      <c r="E348" s="76" t="s">
        <v>730</v>
      </c>
      <c r="F348" s="76" t="s">
        <v>731</v>
      </c>
      <c r="G348" s="76" t="s">
        <v>702</v>
      </c>
      <c r="H348" s="76">
        <f>STOCK[[#This Row],[Precio Final]]</f>
        <v>20</v>
      </c>
      <c r="I348" s="76">
        <f>STOCK[[#This Row],[Precio Venta Ideal (x1.5)]]</f>
        <v>20.9166666666667</v>
      </c>
      <c r="J348" s="91">
        <v>2</v>
      </c>
      <c r="K348" s="91">
        <f>SUMIFS(VENTAS[Cantidad],VENTAS[Código del producto Vendido],STOCK[[#This Row],[Code]])</f>
        <v>2</v>
      </c>
      <c r="L348" s="91">
        <f>STOCK[[#This Row],[Entradas]]-STOCK[[#This Row],[Salidas]]</f>
        <v>0</v>
      </c>
      <c r="M348" s="76">
        <f>STOCK[[#This Row],[Precio Final]]*10%</f>
        <v>2</v>
      </c>
      <c r="N348" s="76">
        <v>170</v>
      </c>
      <c r="O348" s="76">
        <v>18</v>
      </c>
      <c r="P348" s="76">
        <v>9.44444444444444</v>
      </c>
      <c r="Q348" s="91">
        <v>250</v>
      </c>
      <c r="R348" s="76">
        <v>10</v>
      </c>
      <c r="S348" s="76">
        <f>STOCK[[#This Row],[Peso (g)]]*STOCK[[#This Row],[Precio Envío Kilogramo (USD)]]/1000</f>
        <v>2.5</v>
      </c>
      <c r="T348" s="76">
        <f>STOCK[[#This Row],[Costo Unitario (USD)]]+STOCK[[#This Row],[Costo Envío (USD)]]+STOCK[[#This Row],[Comisión 10%]]</f>
        <v>13.9444444444444</v>
      </c>
      <c r="U348" s="76">
        <f>STOCK[[#This Row],[Costo total]]*1.5</f>
        <v>20.9166666666667</v>
      </c>
      <c r="V348" s="76">
        <v>20</v>
      </c>
      <c r="W348" s="76">
        <f>STOCK[[#This Row],[Precio Final]]-STOCK[[#This Row],[Costo total]]</f>
        <v>6.05555555555556</v>
      </c>
      <c r="X348" s="76">
        <f>STOCK[[#This Row],[Ganancia Unitaria]]*STOCK[[#This Row],[Salidas]]</f>
        <v>12.1111111111111</v>
      </c>
      <c r="AA348" s="76">
        <f>STOCK[[#This Row],[Costo total]]*STOCK[[#This Row],[Entradas]]</f>
        <v>27.8888888888889</v>
      </c>
      <c r="AB348" s="76">
        <f>STOCK[[#This Row],[Stock Actual]]*STOCK[[#This Row],[Costo total]]</f>
        <v>0</v>
      </c>
    </row>
    <row r="349" s="77" customFormat="1" ht="50" customHeight="1" spans="1:29">
      <c r="A349" s="77" t="s">
        <v>732</v>
      </c>
      <c r="B349" s="6"/>
      <c r="C349" s="77" t="s">
        <v>30</v>
      </c>
      <c r="D349" s="76" t="s">
        <v>733</v>
      </c>
      <c r="E349" s="77" t="s">
        <v>734</v>
      </c>
      <c r="F349" s="77" t="s">
        <v>60</v>
      </c>
      <c r="G349" s="77" t="s">
        <v>702</v>
      </c>
      <c r="H349" s="77">
        <f>STOCK[[#This Row],[Precio Final]]</f>
        <v>20</v>
      </c>
      <c r="I349" s="77">
        <f>STOCK[[#This Row],[Precio Venta Ideal (x1.5)]]</f>
        <v>20.9166666666667</v>
      </c>
      <c r="J349" s="92">
        <v>3</v>
      </c>
      <c r="K349" s="92">
        <f>SUMIFS(VENTAS[Cantidad],VENTAS[Código del producto Vendido],STOCK[[#This Row],[Code]])</f>
        <v>2</v>
      </c>
      <c r="L349" s="92">
        <f>STOCK[[#This Row],[Entradas]]-STOCK[[#This Row],[Salidas]]</f>
        <v>1</v>
      </c>
      <c r="M349" s="77">
        <f>STOCK[[#This Row],[Precio Final]]*10%</f>
        <v>2</v>
      </c>
      <c r="N349" s="77">
        <v>170</v>
      </c>
      <c r="O349" s="77">
        <v>18</v>
      </c>
      <c r="P349" s="77">
        <v>9.44444444444444</v>
      </c>
      <c r="Q349" s="92">
        <v>250</v>
      </c>
      <c r="R349" s="77">
        <v>10</v>
      </c>
      <c r="S349" s="77">
        <f>STOCK[[#This Row],[Peso (g)]]*STOCK[[#This Row],[Precio Envío Kilogramo (USD)]]/1000</f>
        <v>2.5</v>
      </c>
      <c r="T349" s="76">
        <f>STOCK[[#This Row],[Costo Unitario (USD)]]+STOCK[[#This Row],[Costo Envío (USD)]]+STOCK[[#This Row],[Comisión 10%]]</f>
        <v>13.9444444444444</v>
      </c>
      <c r="U349" s="77">
        <f>STOCK[[#This Row],[Costo total]]*1.5</f>
        <v>20.9166666666667</v>
      </c>
      <c r="V349" s="77">
        <v>20</v>
      </c>
      <c r="W349" s="77">
        <f>STOCK[[#This Row],[Precio Final]]-STOCK[[#This Row],[Costo total]]</f>
        <v>6.05555555555556</v>
      </c>
      <c r="X349" s="77">
        <f>STOCK[[#This Row],[Ganancia Unitaria]]*STOCK[[#This Row],[Salidas]]</f>
        <v>12.1111111111111</v>
      </c>
      <c r="AA349" s="77">
        <f>STOCK[[#This Row],[Costo total]]*STOCK[[#This Row],[Entradas]]</f>
        <v>41.8333333333333</v>
      </c>
      <c r="AB349" s="77">
        <f>STOCK[[#This Row],[Stock Actual]]*STOCK[[#This Row],[Costo total]]</f>
        <v>13.9444444444444</v>
      </c>
      <c r="AC349" s="77">
        <v>18</v>
      </c>
    </row>
    <row r="350" s="76" customFormat="1" ht="50" customHeight="1" spans="1:29">
      <c r="A350" s="76" t="s">
        <v>735</v>
      </c>
      <c r="B350" s="6"/>
      <c r="C350" s="76" t="s">
        <v>30</v>
      </c>
      <c r="D350" s="76" t="s">
        <v>733</v>
      </c>
      <c r="E350" s="76" t="s">
        <v>734</v>
      </c>
      <c r="F350" s="76" t="s">
        <v>47</v>
      </c>
      <c r="G350" s="76" t="s">
        <v>702</v>
      </c>
      <c r="H350" s="76">
        <f>STOCK[[#This Row],[Precio Final]]</f>
        <v>20</v>
      </c>
      <c r="I350" s="76">
        <f>STOCK[[#This Row],[Precio Venta Ideal (x1.5)]]</f>
        <v>20.9166666666667</v>
      </c>
      <c r="J350" s="91">
        <v>3</v>
      </c>
      <c r="K350" s="91">
        <f>SUMIFS(VENTAS[Cantidad],VENTAS[Código del producto Vendido],STOCK[[#This Row],[Code]])</f>
        <v>1</v>
      </c>
      <c r="L350" s="91">
        <f>STOCK[[#This Row],[Entradas]]-STOCK[[#This Row],[Salidas]]</f>
        <v>2</v>
      </c>
      <c r="M350" s="76">
        <f>STOCK[[#This Row],[Precio Final]]*10%</f>
        <v>2</v>
      </c>
      <c r="N350" s="76">
        <v>170</v>
      </c>
      <c r="O350" s="76">
        <v>18</v>
      </c>
      <c r="P350" s="76">
        <v>9.44444444444444</v>
      </c>
      <c r="Q350" s="91">
        <v>250</v>
      </c>
      <c r="R350" s="76">
        <v>10</v>
      </c>
      <c r="S350" s="76">
        <f>STOCK[[#This Row],[Peso (g)]]*STOCK[[#This Row],[Precio Envío Kilogramo (USD)]]/1000</f>
        <v>2.5</v>
      </c>
      <c r="T350" s="76">
        <f>STOCK[[#This Row],[Costo Unitario (USD)]]+STOCK[[#This Row],[Costo Envío (USD)]]+STOCK[[#This Row],[Comisión 10%]]</f>
        <v>13.9444444444444</v>
      </c>
      <c r="U350" s="76">
        <f>STOCK[[#This Row],[Costo total]]*1.5</f>
        <v>20.9166666666667</v>
      </c>
      <c r="V350" s="76">
        <v>20</v>
      </c>
      <c r="W350" s="76">
        <f>STOCK[[#This Row],[Precio Final]]-STOCK[[#This Row],[Costo total]]</f>
        <v>6.05555555555556</v>
      </c>
      <c r="X350" s="76">
        <f>STOCK[[#This Row],[Ganancia Unitaria]]*STOCK[[#This Row],[Salidas]]</f>
        <v>6.05555555555556</v>
      </c>
      <c r="AA350" s="76">
        <f>STOCK[[#This Row],[Costo total]]*STOCK[[#This Row],[Entradas]]</f>
        <v>41.8333333333333</v>
      </c>
      <c r="AB350" s="76">
        <f>STOCK[[#This Row],[Stock Actual]]*STOCK[[#This Row],[Costo total]]</f>
        <v>27.8888888888889</v>
      </c>
      <c r="AC350" s="76">
        <v>18</v>
      </c>
    </row>
    <row r="351" s="77" customFormat="1" ht="50" customHeight="1" spans="1:28">
      <c r="A351" s="77" t="s">
        <v>736</v>
      </c>
      <c r="B351" s="6"/>
      <c r="C351" s="77" t="s">
        <v>30</v>
      </c>
      <c r="D351" s="77" t="s">
        <v>545</v>
      </c>
      <c r="E351" s="77" t="s">
        <v>737</v>
      </c>
      <c r="F351" s="77" t="s">
        <v>738</v>
      </c>
      <c r="G351" s="77" t="s">
        <v>702</v>
      </c>
      <c r="H351" s="77">
        <f>STOCK[[#This Row],[Precio Final]]</f>
        <v>15</v>
      </c>
      <c r="I351" s="77">
        <f>STOCK[[#This Row],[Precio Venta Ideal (x1.5)]]</f>
        <v>18.95</v>
      </c>
      <c r="J351" s="92">
        <v>1</v>
      </c>
      <c r="K351" s="92">
        <f>SUMIFS(VENTAS[Cantidad],VENTAS[Código del producto Vendido],STOCK[[#This Row],[Code]])</f>
        <v>1</v>
      </c>
      <c r="L351" s="92">
        <f>STOCK[[#This Row],[Entradas]]-STOCK[[#This Row],[Salidas]]</f>
        <v>0</v>
      </c>
      <c r="M351" s="77">
        <f>STOCK[[#This Row],[Precio Final]]*10%</f>
        <v>1.5</v>
      </c>
      <c r="N351" s="77">
        <v>195</v>
      </c>
      <c r="O351" s="77">
        <v>18</v>
      </c>
      <c r="P351" s="77">
        <v>10.8333333333333</v>
      </c>
      <c r="Q351" s="92">
        <v>30</v>
      </c>
      <c r="R351" s="77">
        <v>10</v>
      </c>
      <c r="S351" s="77">
        <f>STOCK[[#This Row],[Peso (g)]]*STOCK[[#This Row],[Precio Envío Kilogramo (USD)]]/1000</f>
        <v>0.3</v>
      </c>
      <c r="T351" s="76">
        <f>STOCK[[#This Row],[Costo Unitario (USD)]]+STOCK[[#This Row],[Costo Envío (USD)]]+STOCK[[#This Row],[Comisión 10%]]</f>
        <v>12.6333333333333</v>
      </c>
      <c r="U351" s="77">
        <f>STOCK[[#This Row],[Costo total]]*1.5</f>
        <v>18.95</v>
      </c>
      <c r="V351" s="77">
        <v>15</v>
      </c>
      <c r="W351" s="77">
        <f>STOCK[[#This Row],[Precio Final]]-STOCK[[#This Row],[Costo total]]</f>
        <v>2.3666666666667</v>
      </c>
      <c r="X351" s="77">
        <f>STOCK[[#This Row],[Ganancia Unitaria]]*STOCK[[#This Row],[Salidas]]</f>
        <v>2.3666666666667</v>
      </c>
      <c r="AA351" s="77">
        <f>STOCK[[#This Row],[Costo total]]*STOCK[[#This Row],[Entradas]]</f>
        <v>12.6333333333333</v>
      </c>
      <c r="AB351" s="77">
        <f>STOCK[[#This Row],[Stock Actual]]*STOCK[[#This Row],[Costo total]]</f>
        <v>0</v>
      </c>
    </row>
    <row r="352" s="76" customFormat="1" ht="50" customHeight="1" spans="1:28">
      <c r="A352" s="76" t="s">
        <v>739</v>
      </c>
      <c r="B352" s="6"/>
      <c r="C352" s="76" t="s">
        <v>30</v>
      </c>
      <c r="D352" s="76" t="s">
        <v>545</v>
      </c>
      <c r="E352" s="76" t="s">
        <v>737</v>
      </c>
      <c r="F352" s="76" t="s">
        <v>738</v>
      </c>
      <c r="G352" s="76" t="s">
        <v>702</v>
      </c>
      <c r="H352" s="76">
        <f>STOCK[[#This Row],[Precio Final]]</f>
        <v>12</v>
      </c>
      <c r="I352" s="76">
        <f>STOCK[[#This Row],[Precio Venta Ideal (x1.5)]]</f>
        <v>18.5</v>
      </c>
      <c r="J352" s="91">
        <v>1</v>
      </c>
      <c r="K352" s="91">
        <f>SUMIFS(VENTAS[Cantidad],VENTAS[Código del producto Vendido],STOCK[[#This Row],[Code]])</f>
        <v>1</v>
      </c>
      <c r="L352" s="91">
        <f>STOCK[[#This Row],[Entradas]]-STOCK[[#This Row],[Salidas]]</f>
        <v>0</v>
      </c>
      <c r="M352" s="76">
        <f>STOCK[[#This Row],[Precio Final]]*10%</f>
        <v>1.2</v>
      </c>
      <c r="N352" s="76">
        <v>195</v>
      </c>
      <c r="O352" s="76">
        <v>18</v>
      </c>
      <c r="P352" s="76">
        <v>10.8333333333333</v>
      </c>
      <c r="Q352" s="91">
        <v>30</v>
      </c>
      <c r="R352" s="76">
        <v>10</v>
      </c>
      <c r="S352" s="76">
        <f>STOCK[[#This Row],[Peso (g)]]*STOCK[[#This Row],[Precio Envío Kilogramo (USD)]]/1000</f>
        <v>0.3</v>
      </c>
      <c r="T352" s="76">
        <f>STOCK[[#This Row],[Costo Unitario (USD)]]+STOCK[[#This Row],[Costo Envío (USD)]]+STOCK[[#This Row],[Comisión 10%]]</f>
        <v>12.3333333333333</v>
      </c>
      <c r="U352" s="76">
        <f>STOCK[[#This Row],[Costo total]]*1.5</f>
        <v>18.5</v>
      </c>
      <c r="V352" s="76">
        <v>12</v>
      </c>
      <c r="W352" s="76">
        <f>STOCK[[#This Row],[Precio Final]]-STOCK[[#This Row],[Costo total]]</f>
        <v>-0.3333333333333</v>
      </c>
      <c r="X352" s="76">
        <f>STOCK[[#This Row],[Ganancia Unitaria]]*STOCK[[#This Row],[Salidas]]</f>
        <v>-0.3333333333333</v>
      </c>
      <c r="AA352" s="76">
        <f>STOCK[[#This Row],[Costo total]]*STOCK[[#This Row],[Entradas]]</f>
        <v>12.3333333333333</v>
      </c>
      <c r="AB352" s="76">
        <f>STOCK[[#This Row],[Stock Actual]]*STOCK[[#This Row],[Costo total]]</f>
        <v>0</v>
      </c>
    </row>
    <row r="353" s="77" customFormat="1" ht="50" customHeight="1" spans="1:28">
      <c r="A353" s="77" t="s">
        <v>740</v>
      </c>
      <c r="B353" s="6"/>
      <c r="C353" s="77" t="s">
        <v>30</v>
      </c>
      <c r="D353" s="77" t="s">
        <v>741</v>
      </c>
      <c r="E353" s="77" t="s">
        <v>742</v>
      </c>
      <c r="F353" s="77" t="s">
        <v>60</v>
      </c>
      <c r="G353" s="77" t="s">
        <v>702</v>
      </c>
      <c r="H353" s="77">
        <f>STOCK[[#This Row],[Precio Final]]</f>
        <v>30</v>
      </c>
      <c r="I353" s="77">
        <f>STOCK[[#This Row],[Precio Venta Ideal (x1.5)]]</f>
        <v>38.5</v>
      </c>
      <c r="J353" s="92">
        <v>0</v>
      </c>
      <c r="K353" s="92">
        <f>SUMIFS(VENTAS[Cantidad],VENTAS[Código del producto Vendido],STOCK[[#This Row],[Code]])</f>
        <v>0</v>
      </c>
      <c r="L353" s="92">
        <f>STOCK[[#This Row],[Entradas]]-STOCK[[#This Row],[Salidas]]</f>
        <v>0</v>
      </c>
      <c r="M353" s="77">
        <f>STOCK[[#This Row],[Precio Final]]*10%</f>
        <v>3</v>
      </c>
      <c r="N353" s="77">
        <v>345</v>
      </c>
      <c r="O353" s="77">
        <v>18</v>
      </c>
      <c r="P353" s="77">
        <v>19.1666666666667</v>
      </c>
      <c r="Q353" s="92">
        <v>350</v>
      </c>
      <c r="R353" s="77">
        <v>10</v>
      </c>
      <c r="S353" s="77">
        <f>STOCK[[#This Row],[Peso (g)]]*STOCK[[#This Row],[Precio Envío Kilogramo (USD)]]/1000</f>
        <v>3.5</v>
      </c>
      <c r="T353" s="76">
        <f>STOCK[[#This Row],[Costo Unitario (USD)]]+STOCK[[#This Row],[Costo Envío (USD)]]+STOCK[[#This Row],[Comisión 10%]]</f>
        <v>25.6666666666667</v>
      </c>
      <c r="U353" s="77">
        <f>STOCK[[#This Row],[Costo total]]*1.5</f>
        <v>38.5</v>
      </c>
      <c r="V353" s="77">
        <v>30</v>
      </c>
      <c r="W353" s="77">
        <f>STOCK[[#This Row],[Precio Final]]-STOCK[[#This Row],[Costo total]]</f>
        <v>4.3333333333333</v>
      </c>
      <c r="X353" s="77">
        <f>STOCK[[#This Row],[Ganancia Unitaria]]*STOCK[[#This Row],[Salidas]]</f>
        <v>0</v>
      </c>
      <c r="AA353" s="77">
        <f>STOCK[[#This Row],[Costo total]]*STOCK[[#This Row],[Entradas]]</f>
        <v>0</v>
      </c>
      <c r="AB353" s="77">
        <f>STOCK[[#This Row],[Stock Actual]]*STOCK[[#This Row],[Costo total]]</f>
        <v>0</v>
      </c>
    </row>
    <row r="354" s="76" customFormat="1" ht="50" customHeight="1" spans="1:28">
      <c r="A354" s="76" t="s">
        <v>743</v>
      </c>
      <c r="B354" s="6"/>
      <c r="C354" s="76" t="s">
        <v>30</v>
      </c>
      <c r="D354" s="76" t="s">
        <v>741</v>
      </c>
      <c r="E354" s="76" t="s">
        <v>744</v>
      </c>
      <c r="F354" s="76" t="s">
        <v>745</v>
      </c>
      <c r="G354" s="76" t="s">
        <v>702</v>
      </c>
      <c r="H354" s="76">
        <f>STOCK[[#This Row],[Precio Final]]</f>
        <v>35</v>
      </c>
      <c r="I354" s="76">
        <f>STOCK[[#This Row],[Precio Venta Ideal (x1.5)]]</f>
        <v>47.8333333333333</v>
      </c>
      <c r="J354" s="91">
        <v>1</v>
      </c>
      <c r="K354" s="91">
        <f>SUMIFS(VENTAS[Cantidad],VENTAS[Código del producto Vendido],STOCK[[#This Row],[Code]])</f>
        <v>1</v>
      </c>
      <c r="L354" s="91">
        <f>STOCK[[#This Row],[Entradas]]-STOCK[[#This Row],[Salidas]]</f>
        <v>0</v>
      </c>
      <c r="M354" s="76">
        <f>STOCK[[#This Row],[Precio Final]]*10%</f>
        <v>3.5</v>
      </c>
      <c r="N354" s="76">
        <v>430</v>
      </c>
      <c r="O354" s="76">
        <v>18</v>
      </c>
      <c r="P354" s="76">
        <v>23.8888888888889</v>
      </c>
      <c r="Q354" s="91">
        <v>450</v>
      </c>
      <c r="R354" s="76">
        <v>10</v>
      </c>
      <c r="S354" s="76">
        <f>STOCK[[#This Row],[Peso (g)]]*STOCK[[#This Row],[Precio Envío Kilogramo (USD)]]/1000</f>
        <v>4.5</v>
      </c>
      <c r="T354" s="76">
        <f>STOCK[[#This Row],[Costo Unitario (USD)]]+STOCK[[#This Row],[Costo Envío (USD)]]+STOCK[[#This Row],[Comisión 10%]]</f>
        <v>31.8888888888889</v>
      </c>
      <c r="U354" s="76">
        <f>STOCK[[#This Row],[Costo total]]*1.5</f>
        <v>47.8333333333333</v>
      </c>
      <c r="V354" s="76">
        <v>35</v>
      </c>
      <c r="W354" s="76">
        <f>STOCK[[#This Row],[Precio Final]]-STOCK[[#This Row],[Costo total]]</f>
        <v>3.1111111111111</v>
      </c>
      <c r="X354" s="76">
        <f>STOCK[[#This Row],[Ganancia Unitaria]]*STOCK[[#This Row],[Salidas]]</f>
        <v>3.1111111111111</v>
      </c>
      <c r="AA354" s="76">
        <f>STOCK[[#This Row],[Costo total]]*STOCK[[#This Row],[Entradas]]</f>
        <v>31.8888888888889</v>
      </c>
      <c r="AB354" s="76">
        <f>STOCK[[#This Row],[Stock Actual]]*STOCK[[#This Row],[Costo total]]</f>
        <v>0</v>
      </c>
    </row>
    <row r="355" s="77" customFormat="1" ht="50" customHeight="1" spans="1:28">
      <c r="A355" s="77" t="s">
        <v>746</v>
      </c>
      <c r="B355" s="6"/>
      <c r="C355" s="77" t="s">
        <v>30</v>
      </c>
      <c r="D355" s="77" t="s">
        <v>747</v>
      </c>
      <c r="E355" s="77" t="s">
        <v>748</v>
      </c>
      <c r="F355" s="77" t="s">
        <v>749</v>
      </c>
      <c r="G355" s="77" t="s">
        <v>702</v>
      </c>
      <c r="H355" s="77">
        <f>STOCK[[#This Row],[Precio Final]]</f>
        <v>35</v>
      </c>
      <c r="I355" s="77">
        <f>STOCK[[#This Row],[Precio Venta Ideal (x1.5)]]</f>
        <v>46.8666666666666</v>
      </c>
      <c r="J355" s="92">
        <v>1</v>
      </c>
      <c r="K355" s="92">
        <f>SUMIFS(VENTAS[Cantidad],VENTAS[Código del producto Vendido],STOCK[[#This Row],[Code]])</f>
        <v>0</v>
      </c>
      <c r="L355" s="92">
        <f>STOCK[[#This Row],[Entradas]]-STOCK[[#This Row],[Salidas]]</f>
        <v>1</v>
      </c>
      <c r="M355" s="77">
        <f>STOCK[[#This Row],[Precio Final]]*10%</f>
        <v>3.5</v>
      </c>
      <c r="N355" s="77">
        <v>395</v>
      </c>
      <c r="O355" s="77">
        <v>18</v>
      </c>
      <c r="P355" s="77">
        <v>21.9444444444444</v>
      </c>
      <c r="Q355" s="92">
        <v>580</v>
      </c>
      <c r="R355" s="77">
        <v>10</v>
      </c>
      <c r="S355" s="77">
        <f>STOCK[[#This Row],[Peso (g)]]*STOCK[[#This Row],[Precio Envío Kilogramo (USD)]]/1000</f>
        <v>5.8</v>
      </c>
      <c r="T355" s="76">
        <f>STOCK[[#This Row],[Costo Unitario (USD)]]+STOCK[[#This Row],[Costo Envío (USD)]]+STOCK[[#This Row],[Comisión 10%]]</f>
        <v>31.2444444444444</v>
      </c>
      <c r="U355" s="77">
        <f>STOCK[[#This Row],[Costo total]]*1.5</f>
        <v>46.8666666666666</v>
      </c>
      <c r="V355" s="77">
        <v>35</v>
      </c>
      <c r="W355" s="77">
        <f>STOCK[[#This Row],[Precio Final]]-STOCK[[#This Row],[Costo total]]</f>
        <v>3.7555555555556</v>
      </c>
      <c r="X355" s="77">
        <f>STOCK[[#This Row],[Ganancia Unitaria]]*STOCK[[#This Row],[Salidas]]</f>
        <v>0</v>
      </c>
      <c r="AA355" s="77">
        <f>STOCK[[#This Row],[Costo total]]*STOCK[[#This Row],[Entradas]]</f>
        <v>31.2444444444444</v>
      </c>
      <c r="AB355" s="77">
        <f>STOCK[[#This Row],[Stock Actual]]*STOCK[[#This Row],[Costo total]]</f>
        <v>31.2444444444444</v>
      </c>
    </row>
    <row r="356" s="76" customFormat="1" ht="50" customHeight="1" spans="1:28">
      <c r="A356" s="76" t="s">
        <v>750</v>
      </c>
      <c r="B356" s="6"/>
      <c r="C356" s="76" t="s">
        <v>30</v>
      </c>
      <c r="D356" s="76" t="s">
        <v>514</v>
      </c>
      <c r="E356" s="76" t="s">
        <v>751</v>
      </c>
      <c r="F356" s="76" t="s">
        <v>752</v>
      </c>
      <c r="G356" s="76" t="s">
        <v>702</v>
      </c>
      <c r="H356" s="76">
        <f>STOCK[[#This Row],[Precio Final]]</f>
        <v>35</v>
      </c>
      <c r="I356" s="76">
        <f>STOCK[[#This Row],[Precio Venta Ideal (x1.5)]]</f>
        <v>45.75</v>
      </c>
      <c r="J356" s="91">
        <v>3</v>
      </c>
      <c r="K356" s="91">
        <f>SUMIFS(VENTAS[Cantidad],VENTAS[Código del producto Vendido],STOCK[[#This Row],[Code]])</f>
        <v>3</v>
      </c>
      <c r="L356" s="91">
        <f>STOCK[[#This Row],[Entradas]]-STOCK[[#This Row],[Salidas]]</f>
        <v>0</v>
      </c>
      <c r="M356" s="76">
        <f>STOCK[[#This Row],[Precio Final]]*10%</f>
        <v>3.5</v>
      </c>
      <c r="N356" s="76">
        <v>360</v>
      </c>
      <c r="O356" s="76">
        <v>18</v>
      </c>
      <c r="P356" s="76">
        <v>20</v>
      </c>
      <c r="Q356" s="91">
        <v>700</v>
      </c>
      <c r="R356" s="76">
        <v>10</v>
      </c>
      <c r="S356" s="76">
        <f>STOCK[[#This Row],[Peso (g)]]*STOCK[[#This Row],[Precio Envío Kilogramo (USD)]]/1000</f>
        <v>7</v>
      </c>
      <c r="T356" s="76">
        <f>STOCK[[#This Row],[Costo Unitario (USD)]]+STOCK[[#This Row],[Costo Envío (USD)]]+STOCK[[#This Row],[Comisión 10%]]</f>
        <v>30.5</v>
      </c>
      <c r="U356" s="76">
        <f>STOCK[[#This Row],[Costo total]]*1.5</f>
        <v>45.75</v>
      </c>
      <c r="V356" s="76">
        <v>35</v>
      </c>
      <c r="W356" s="76">
        <f>STOCK[[#This Row],[Precio Final]]-STOCK[[#This Row],[Costo total]]</f>
        <v>4.5</v>
      </c>
      <c r="X356" s="76">
        <f>STOCK[[#This Row],[Ganancia Unitaria]]*STOCK[[#This Row],[Salidas]]</f>
        <v>13.5</v>
      </c>
      <c r="AA356" s="76">
        <f>STOCK[[#This Row],[Costo total]]*STOCK[[#This Row],[Entradas]]</f>
        <v>91.5</v>
      </c>
      <c r="AB356" s="76">
        <f>STOCK[[#This Row],[Stock Actual]]*STOCK[[#This Row],[Costo total]]</f>
        <v>0</v>
      </c>
    </row>
    <row r="357" s="77" customFormat="1" ht="50" customHeight="1" spans="1:28">
      <c r="A357" s="77" t="s">
        <v>753</v>
      </c>
      <c r="B357" s="6"/>
      <c r="C357" s="77" t="s">
        <v>30</v>
      </c>
      <c r="D357" s="77" t="s">
        <v>514</v>
      </c>
      <c r="E357" s="77" t="s">
        <v>754</v>
      </c>
      <c r="F357" s="77" t="s">
        <v>539</v>
      </c>
      <c r="G357" s="77" t="s">
        <v>702</v>
      </c>
      <c r="H357" s="77">
        <f>STOCK[[#This Row],[Precio Final]]</f>
        <v>35</v>
      </c>
      <c r="I357" s="77">
        <f>STOCK[[#This Row],[Precio Venta Ideal (x1.5)]]</f>
        <v>43.8333333333333</v>
      </c>
      <c r="J357" s="92">
        <v>2</v>
      </c>
      <c r="K357" s="92">
        <f>SUMIFS(VENTAS[Cantidad],VENTAS[Código del producto Vendido],STOCK[[#This Row],[Code]])</f>
        <v>2</v>
      </c>
      <c r="L357" s="92">
        <f>STOCK[[#This Row],[Entradas]]-STOCK[[#This Row],[Salidas]]</f>
        <v>0</v>
      </c>
      <c r="M357" s="77">
        <f>STOCK[[#This Row],[Precio Final]]*10%</f>
        <v>3.5</v>
      </c>
      <c r="N357" s="77">
        <v>400</v>
      </c>
      <c r="O357" s="77">
        <v>18</v>
      </c>
      <c r="P357" s="77">
        <v>22.2222222222222</v>
      </c>
      <c r="Q357" s="92">
        <v>350</v>
      </c>
      <c r="R357" s="77">
        <v>10</v>
      </c>
      <c r="S357" s="77">
        <f>STOCK[[#This Row],[Peso (g)]]*STOCK[[#This Row],[Precio Envío Kilogramo (USD)]]/1000</f>
        <v>3.5</v>
      </c>
      <c r="T357" s="76">
        <f>STOCK[[#This Row],[Costo Unitario (USD)]]+STOCK[[#This Row],[Costo Envío (USD)]]+STOCK[[#This Row],[Comisión 10%]]</f>
        <v>29.2222222222222</v>
      </c>
      <c r="U357" s="77">
        <f>STOCK[[#This Row],[Costo total]]*1.5</f>
        <v>43.8333333333333</v>
      </c>
      <c r="V357" s="77">
        <v>35</v>
      </c>
      <c r="W357" s="77">
        <f>STOCK[[#This Row],[Precio Final]]-STOCK[[#This Row],[Costo total]]</f>
        <v>5.7777777777778</v>
      </c>
      <c r="X357" s="77">
        <f>STOCK[[#This Row],[Ganancia Unitaria]]*STOCK[[#This Row],[Salidas]]</f>
        <v>11.5555555555556</v>
      </c>
      <c r="AA357" s="77">
        <f>STOCK[[#This Row],[Costo total]]*STOCK[[#This Row],[Entradas]]</f>
        <v>58.4444444444444</v>
      </c>
      <c r="AB357" s="77">
        <f>STOCK[[#This Row],[Stock Actual]]*STOCK[[#This Row],[Costo total]]</f>
        <v>0</v>
      </c>
    </row>
    <row r="358" s="76" customFormat="1" ht="50" customHeight="1" spans="1:28">
      <c r="A358" s="76" t="s">
        <v>755</v>
      </c>
      <c r="B358" s="6"/>
      <c r="C358" s="76" t="s">
        <v>30</v>
      </c>
      <c r="D358" s="76" t="s">
        <v>514</v>
      </c>
      <c r="E358" s="76" t="s">
        <v>756</v>
      </c>
      <c r="F358" s="76" t="s">
        <v>757</v>
      </c>
      <c r="G358" s="76" t="s">
        <v>702</v>
      </c>
      <c r="H358" s="76">
        <f>STOCK[[#This Row],[Precio Final]]</f>
        <v>35</v>
      </c>
      <c r="I358" s="76">
        <f>STOCK[[#This Row],[Precio Venta Ideal (x1.5)]]</f>
        <v>45.75</v>
      </c>
      <c r="J358" s="91">
        <v>1</v>
      </c>
      <c r="K358" s="91">
        <f>SUMIFS(VENTAS[Cantidad],VENTAS[Código del producto Vendido],STOCK[[#This Row],[Code]])</f>
        <v>1</v>
      </c>
      <c r="L358" s="91">
        <f>STOCK[[#This Row],[Entradas]]-STOCK[[#This Row],[Salidas]]</f>
        <v>0</v>
      </c>
      <c r="M358" s="76">
        <f>STOCK[[#This Row],[Precio Final]]*10%</f>
        <v>3.5</v>
      </c>
      <c r="N358" s="76">
        <v>360</v>
      </c>
      <c r="O358" s="76">
        <v>18</v>
      </c>
      <c r="P358" s="76">
        <v>20</v>
      </c>
      <c r="Q358" s="91">
        <v>700</v>
      </c>
      <c r="R358" s="76">
        <v>10</v>
      </c>
      <c r="S358" s="76">
        <f>STOCK[[#This Row],[Peso (g)]]*STOCK[[#This Row],[Precio Envío Kilogramo (USD)]]/1000</f>
        <v>7</v>
      </c>
      <c r="T358" s="76">
        <f>STOCK[[#This Row],[Costo Unitario (USD)]]+STOCK[[#This Row],[Costo Envío (USD)]]+STOCK[[#This Row],[Comisión 10%]]</f>
        <v>30.5</v>
      </c>
      <c r="U358" s="76">
        <f>STOCK[[#This Row],[Costo total]]*1.5</f>
        <v>45.75</v>
      </c>
      <c r="V358" s="76">
        <v>35</v>
      </c>
      <c r="W358" s="76">
        <f>STOCK[[#This Row],[Precio Final]]-STOCK[[#This Row],[Costo total]]</f>
        <v>4.5</v>
      </c>
      <c r="X358" s="76">
        <f>STOCK[[#This Row],[Ganancia Unitaria]]*STOCK[[#This Row],[Salidas]]</f>
        <v>4.5</v>
      </c>
      <c r="AA358" s="76">
        <f>STOCK[[#This Row],[Costo total]]*STOCK[[#This Row],[Entradas]]</f>
        <v>30.5</v>
      </c>
      <c r="AB358" s="76">
        <f>STOCK[[#This Row],[Stock Actual]]*STOCK[[#This Row],[Costo total]]</f>
        <v>0</v>
      </c>
    </row>
    <row r="359" s="77" customFormat="1" ht="50" customHeight="1" spans="1:28">
      <c r="A359" s="77" t="s">
        <v>758</v>
      </c>
      <c r="B359" s="6"/>
      <c r="C359" s="77" t="s">
        <v>30</v>
      </c>
      <c r="D359" s="77" t="s">
        <v>514</v>
      </c>
      <c r="E359" s="77" t="s">
        <v>756</v>
      </c>
      <c r="F359" s="77" t="s">
        <v>516</v>
      </c>
      <c r="G359" s="77" t="s">
        <v>702</v>
      </c>
      <c r="H359" s="77">
        <f>STOCK[[#This Row],[Precio Final]]</f>
        <v>35</v>
      </c>
      <c r="I359" s="77">
        <f>STOCK[[#This Row],[Precio Venta Ideal (x1.5)]]</f>
        <v>45.75</v>
      </c>
      <c r="J359" s="92">
        <v>1</v>
      </c>
      <c r="K359" s="92">
        <f>SUMIFS(VENTAS[Cantidad],VENTAS[Código del producto Vendido],STOCK[[#This Row],[Code]])</f>
        <v>1</v>
      </c>
      <c r="L359" s="92">
        <f>STOCK[[#This Row],[Entradas]]-STOCK[[#This Row],[Salidas]]</f>
        <v>0</v>
      </c>
      <c r="M359" s="77">
        <f>STOCK[[#This Row],[Precio Final]]*10%</f>
        <v>3.5</v>
      </c>
      <c r="N359" s="77">
        <v>360</v>
      </c>
      <c r="O359" s="77">
        <v>18</v>
      </c>
      <c r="P359" s="77">
        <v>20</v>
      </c>
      <c r="Q359" s="92">
        <v>700</v>
      </c>
      <c r="R359" s="77">
        <v>10</v>
      </c>
      <c r="S359" s="77">
        <f>STOCK[[#This Row],[Peso (g)]]*STOCK[[#This Row],[Precio Envío Kilogramo (USD)]]/1000</f>
        <v>7</v>
      </c>
      <c r="T359" s="76">
        <f>STOCK[[#This Row],[Costo Unitario (USD)]]+STOCK[[#This Row],[Costo Envío (USD)]]+STOCK[[#This Row],[Comisión 10%]]</f>
        <v>30.5</v>
      </c>
      <c r="U359" s="77">
        <f>STOCK[[#This Row],[Costo total]]*1.5</f>
        <v>45.75</v>
      </c>
      <c r="V359" s="77">
        <v>35</v>
      </c>
      <c r="W359" s="77">
        <f>STOCK[[#This Row],[Precio Final]]-STOCK[[#This Row],[Costo total]]</f>
        <v>4.5</v>
      </c>
      <c r="X359" s="77">
        <f>STOCK[[#This Row],[Ganancia Unitaria]]*STOCK[[#This Row],[Salidas]]</f>
        <v>4.5</v>
      </c>
      <c r="AA359" s="77">
        <f>STOCK[[#This Row],[Costo total]]*STOCK[[#This Row],[Entradas]]</f>
        <v>30.5</v>
      </c>
      <c r="AB359" s="77">
        <f>STOCK[[#This Row],[Stock Actual]]*STOCK[[#This Row],[Costo total]]</f>
        <v>0</v>
      </c>
    </row>
    <row r="360" s="76" customFormat="1" ht="50" customHeight="1" spans="1:29">
      <c r="A360" s="76" t="s">
        <v>759</v>
      </c>
      <c r="B360" s="6"/>
      <c r="C360" s="76" t="s">
        <v>30</v>
      </c>
      <c r="D360" s="76" t="s">
        <v>760</v>
      </c>
      <c r="E360" s="76" t="s">
        <v>761</v>
      </c>
      <c r="F360" s="76" t="s">
        <v>762</v>
      </c>
      <c r="G360" s="76" t="s">
        <v>702</v>
      </c>
      <c r="H360" s="76">
        <f>STOCK[[#This Row],[Precio Final]]</f>
        <v>35</v>
      </c>
      <c r="I360" s="76">
        <f>STOCK[[#This Row],[Precio Venta Ideal (x1.5)]]</f>
        <v>33.3333333333333</v>
      </c>
      <c r="J360" s="91">
        <v>2</v>
      </c>
      <c r="K360" s="91">
        <f>SUMIFS(VENTAS[Cantidad],VENTAS[Código del producto Vendido],STOCK[[#This Row],[Code]])</f>
        <v>0</v>
      </c>
      <c r="L360" s="91">
        <f>STOCK[[#This Row],[Entradas]]-STOCK[[#This Row],[Salidas]]</f>
        <v>2</v>
      </c>
      <c r="M360" s="76">
        <f>STOCK[[#This Row],[Precio Final]]*10%</f>
        <v>3.5</v>
      </c>
      <c r="N360" s="76">
        <v>265</v>
      </c>
      <c r="O360" s="76">
        <v>18</v>
      </c>
      <c r="P360" s="76">
        <v>14.7222222222222</v>
      </c>
      <c r="Q360" s="91">
        <v>400</v>
      </c>
      <c r="R360" s="76">
        <v>10</v>
      </c>
      <c r="S360" s="76">
        <f>STOCK[[#This Row],[Peso (g)]]*STOCK[[#This Row],[Precio Envío Kilogramo (USD)]]/1000</f>
        <v>4</v>
      </c>
      <c r="T360" s="76">
        <f>STOCK[[#This Row],[Costo Unitario (USD)]]+STOCK[[#This Row],[Costo Envío (USD)]]+STOCK[[#This Row],[Comisión 10%]]</f>
        <v>22.2222222222222</v>
      </c>
      <c r="U360" s="76">
        <f>STOCK[[#This Row],[Costo total]]*1.5</f>
        <v>33.3333333333333</v>
      </c>
      <c r="V360" s="76">
        <v>35</v>
      </c>
      <c r="W360" s="76">
        <f>STOCK[[#This Row],[Precio Final]]-STOCK[[#This Row],[Costo total]]</f>
        <v>12.7777777777778</v>
      </c>
      <c r="X360" s="76">
        <f>STOCK[[#This Row],[Ganancia Unitaria]]*STOCK[[#This Row],[Salidas]]</f>
        <v>0</v>
      </c>
      <c r="AA360" s="76">
        <f>STOCK[[#This Row],[Costo total]]*STOCK[[#This Row],[Entradas]]</f>
        <v>44.4444444444444</v>
      </c>
      <c r="AB360" s="76">
        <f>STOCK[[#This Row],[Stock Actual]]*STOCK[[#This Row],[Costo total]]</f>
        <v>44.4444444444444</v>
      </c>
      <c r="AC360" s="76">
        <v>27</v>
      </c>
    </row>
    <row r="361" s="77" customFormat="1" ht="50" customHeight="1" spans="1:29">
      <c r="A361" s="77" t="s">
        <v>763</v>
      </c>
      <c r="B361" s="6"/>
      <c r="C361" s="77" t="s">
        <v>30</v>
      </c>
      <c r="D361" s="76" t="s">
        <v>760</v>
      </c>
      <c r="E361" s="77" t="s">
        <v>761</v>
      </c>
      <c r="F361" s="77" t="s">
        <v>764</v>
      </c>
      <c r="G361" s="77" t="s">
        <v>702</v>
      </c>
      <c r="H361" s="77">
        <f>STOCK[[#This Row],[Precio Final]]</f>
        <v>35</v>
      </c>
      <c r="I361" s="77">
        <f>STOCK[[#This Row],[Precio Venta Ideal (x1.5)]]</f>
        <v>33.3333333333333</v>
      </c>
      <c r="J361" s="92">
        <v>2</v>
      </c>
      <c r="K361" s="92">
        <f>SUMIFS(VENTAS[Cantidad],VENTAS[Código del producto Vendido],STOCK[[#This Row],[Code]])</f>
        <v>1</v>
      </c>
      <c r="L361" s="92">
        <f>STOCK[[#This Row],[Entradas]]-STOCK[[#This Row],[Salidas]]</f>
        <v>1</v>
      </c>
      <c r="M361" s="77">
        <f>STOCK[[#This Row],[Precio Final]]*10%</f>
        <v>3.5</v>
      </c>
      <c r="N361" s="77">
        <v>265</v>
      </c>
      <c r="O361" s="77">
        <v>18</v>
      </c>
      <c r="P361" s="77">
        <v>14.7222222222222</v>
      </c>
      <c r="Q361" s="92">
        <v>400</v>
      </c>
      <c r="R361" s="77">
        <v>10</v>
      </c>
      <c r="S361" s="77">
        <f>STOCK[[#This Row],[Peso (g)]]*STOCK[[#This Row],[Precio Envío Kilogramo (USD)]]/1000</f>
        <v>4</v>
      </c>
      <c r="T361" s="76">
        <f>STOCK[[#This Row],[Costo Unitario (USD)]]+STOCK[[#This Row],[Costo Envío (USD)]]+STOCK[[#This Row],[Comisión 10%]]</f>
        <v>22.2222222222222</v>
      </c>
      <c r="U361" s="77">
        <f>STOCK[[#This Row],[Costo total]]*1.5</f>
        <v>33.3333333333333</v>
      </c>
      <c r="V361" s="77">
        <v>35</v>
      </c>
      <c r="W361" s="77">
        <f>STOCK[[#This Row],[Precio Final]]-STOCK[[#This Row],[Costo total]]</f>
        <v>12.7777777777778</v>
      </c>
      <c r="X361" s="77">
        <f>STOCK[[#This Row],[Ganancia Unitaria]]*STOCK[[#This Row],[Salidas]]</f>
        <v>12.7777777777778</v>
      </c>
      <c r="AA361" s="77">
        <f>STOCK[[#This Row],[Costo total]]*STOCK[[#This Row],[Entradas]]</f>
        <v>44.4444444444444</v>
      </c>
      <c r="AB361" s="77">
        <f>STOCK[[#This Row],[Stock Actual]]*STOCK[[#This Row],[Costo total]]</f>
        <v>22.2222222222222</v>
      </c>
      <c r="AC361" s="77">
        <v>27</v>
      </c>
    </row>
    <row r="362" s="76" customFormat="1" ht="50" customHeight="1" spans="1:29">
      <c r="A362" s="76" t="s">
        <v>765</v>
      </c>
      <c r="B362" s="6"/>
      <c r="C362" s="76" t="s">
        <v>30</v>
      </c>
      <c r="D362" s="76" t="s">
        <v>760</v>
      </c>
      <c r="E362" s="76" t="s">
        <v>761</v>
      </c>
      <c r="F362" s="76" t="s">
        <v>766</v>
      </c>
      <c r="G362" s="76" t="s">
        <v>702</v>
      </c>
      <c r="H362" s="76">
        <f>STOCK[[#This Row],[Precio Final]]</f>
        <v>35</v>
      </c>
      <c r="I362" s="76">
        <f>STOCK[[#This Row],[Precio Venta Ideal (x1.5)]]</f>
        <v>33.3333333333333</v>
      </c>
      <c r="J362" s="91">
        <v>1</v>
      </c>
      <c r="K362" s="91">
        <f>SUMIFS(VENTAS[Cantidad],VENTAS[Código del producto Vendido],STOCK[[#This Row],[Code]])</f>
        <v>0</v>
      </c>
      <c r="L362" s="91">
        <f>STOCK[[#This Row],[Entradas]]-STOCK[[#This Row],[Salidas]]</f>
        <v>1</v>
      </c>
      <c r="M362" s="76">
        <f>STOCK[[#This Row],[Precio Final]]*10%</f>
        <v>3.5</v>
      </c>
      <c r="N362" s="76">
        <v>265</v>
      </c>
      <c r="O362" s="76">
        <v>18</v>
      </c>
      <c r="P362" s="76">
        <v>14.7222222222222</v>
      </c>
      <c r="Q362" s="91">
        <v>400</v>
      </c>
      <c r="R362" s="76">
        <v>10</v>
      </c>
      <c r="S362" s="76">
        <f>STOCK[[#This Row],[Peso (g)]]*STOCK[[#This Row],[Precio Envío Kilogramo (USD)]]/1000</f>
        <v>4</v>
      </c>
      <c r="T362" s="76">
        <f>STOCK[[#This Row],[Costo Unitario (USD)]]+STOCK[[#This Row],[Costo Envío (USD)]]+STOCK[[#This Row],[Comisión 10%]]</f>
        <v>22.2222222222222</v>
      </c>
      <c r="U362" s="76">
        <f>STOCK[[#This Row],[Costo total]]*1.5</f>
        <v>33.3333333333333</v>
      </c>
      <c r="V362" s="76">
        <v>35</v>
      </c>
      <c r="W362" s="76">
        <f>STOCK[[#This Row],[Precio Final]]-STOCK[[#This Row],[Costo total]]</f>
        <v>12.7777777777778</v>
      </c>
      <c r="X362" s="76">
        <f>STOCK[[#This Row],[Ganancia Unitaria]]*STOCK[[#This Row],[Salidas]]</f>
        <v>0</v>
      </c>
      <c r="AA362" s="76">
        <f>STOCK[[#This Row],[Costo total]]*STOCK[[#This Row],[Entradas]]</f>
        <v>22.2222222222222</v>
      </c>
      <c r="AB362" s="76">
        <f>STOCK[[#This Row],[Stock Actual]]*STOCK[[#This Row],[Costo total]]</f>
        <v>22.2222222222222</v>
      </c>
      <c r="AC362" s="76">
        <v>27</v>
      </c>
    </row>
    <row r="363" s="77" customFormat="1" ht="50" customHeight="1" spans="1:29">
      <c r="A363" s="77" t="s">
        <v>767</v>
      </c>
      <c r="B363" s="6"/>
      <c r="C363" s="77" t="s">
        <v>30</v>
      </c>
      <c r="D363" s="77" t="s">
        <v>760</v>
      </c>
      <c r="E363" s="77" t="s">
        <v>768</v>
      </c>
      <c r="F363" s="77" t="s">
        <v>516</v>
      </c>
      <c r="G363" s="77" t="s">
        <v>702</v>
      </c>
      <c r="H363" s="77">
        <f>STOCK[[#This Row],[Precio Final]]</f>
        <v>25</v>
      </c>
      <c r="I363" s="77">
        <f>STOCK[[#This Row],[Precio Venta Ideal (x1.5)]]</f>
        <v>21.5833333333333</v>
      </c>
      <c r="J363" s="92">
        <v>2</v>
      </c>
      <c r="K363" s="92">
        <f>SUMIFS(VENTAS[Cantidad],VENTAS[Código del producto Vendido],STOCK[[#This Row],[Code]])</f>
        <v>1</v>
      </c>
      <c r="L363" s="92">
        <f>STOCK[[#This Row],[Entradas]]-STOCK[[#This Row],[Salidas]]</f>
        <v>1</v>
      </c>
      <c r="M363" s="77">
        <f>STOCK[[#This Row],[Precio Final]]*10%</f>
        <v>2.5</v>
      </c>
      <c r="N363" s="77">
        <v>169</v>
      </c>
      <c r="O363" s="77">
        <v>18</v>
      </c>
      <c r="P363" s="77">
        <v>9.38888888888889</v>
      </c>
      <c r="Q363" s="92">
        <v>250</v>
      </c>
      <c r="R363" s="77">
        <v>10</v>
      </c>
      <c r="S363" s="77">
        <f>STOCK[[#This Row],[Peso (g)]]*STOCK[[#This Row],[Precio Envío Kilogramo (USD)]]/1000</f>
        <v>2.5</v>
      </c>
      <c r="T363" s="76">
        <f>STOCK[[#This Row],[Costo Unitario (USD)]]+STOCK[[#This Row],[Costo Envío (USD)]]+STOCK[[#This Row],[Comisión 10%]]</f>
        <v>14.3888888888889</v>
      </c>
      <c r="U363" s="77">
        <f>STOCK[[#This Row],[Costo total]]*1.5</f>
        <v>21.5833333333333</v>
      </c>
      <c r="V363" s="77">
        <v>25</v>
      </c>
      <c r="W363" s="77">
        <f>STOCK[[#This Row],[Precio Final]]-STOCK[[#This Row],[Costo total]]</f>
        <v>10.6111111111111</v>
      </c>
      <c r="X363" s="77">
        <f>STOCK[[#This Row],[Ganancia Unitaria]]*STOCK[[#This Row],[Salidas]]</f>
        <v>10.6111111111111</v>
      </c>
      <c r="AA363" s="77">
        <f>STOCK[[#This Row],[Costo total]]*STOCK[[#This Row],[Entradas]]</f>
        <v>28.7777777777778</v>
      </c>
      <c r="AB363" s="77">
        <f>STOCK[[#This Row],[Stock Actual]]*STOCK[[#This Row],[Costo total]]</f>
        <v>14.3888888888889</v>
      </c>
      <c r="AC363" s="77">
        <v>18</v>
      </c>
    </row>
    <row r="364" s="76" customFormat="1" ht="50" customHeight="1" spans="1:28">
      <c r="A364" s="76" t="s">
        <v>769</v>
      </c>
      <c r="B364" s="6"/>
      <c r="C364" s="76" t="s">
        <v>30</v>
      </c>
      <c r="D364" s="76" t="s">
        <v>514</v>
      </c>
      <c r="E364" s="76" t="s">
        <v>770</v>
      </c>
      <c r="F364" s="76" t="s">
        <v>539</v>
      </c>
      <c r="G364" s="76" t="s">
        <v>702</v>
      </c>
      <c r="H364" s="76">
        <f>STOCK[[#This Row],[Precio Final]]</f>
        <v>39</v>
      </c>
      <c r="I364" s="76">
        <f>STOCK[[#This Row],[Precio Venta Ideal (x1.5)]]</f>
        <v>50.1</v>
      </c>
      <c r="J364" s="91">
        <v>1</v>
      </c>
      <c r="K364" s="91">
        <f>SUMIFS(VENTAS[Cantidad],VENTAS[Código del producto Vendido],STOCK[[#This Row],[Code]])</f>
        <v>1</v>
      </c>
      <c r="L364" s="91">
        <f>STOCK[[#This Row],[Entradas]]-STOCK[[#This Row],[Salidas]]</f>
        <v>0</v>
      </c>
      <c r="M364" s="76">
        <f>STOCK[[#This Row],[Precio Final]]*10%</f>
        <v>3.9</v>
      </c>
      <c r="N364" s="76">
        <v>396</v>
      </c>
      <c r="O364" s="76">
        <v>18</v>
      </c>
      <c r="P364" s="76">
        <v>25</v>
      </c>
      <c r="Q364" s="91">
        <v>450</v>
      </c>
      <c r="R364" s="76">
        <v>10</v>
      </c>
      <c r="S364" s="76">
        <f>STOCK[[#This Row],[Peso (g)]]*STOCK[[#This Row],[Precio Envío Kilogramo (USD)]]/1000</f>
        <v>4.5</v>
      </c>
      <c r="T364" s="76">
        <f>STOCK[[#This Row],[Costo Unitario (USD)]]+STOCK[[#This Row],[Costo Envío (USD)]]+STOCK[[#This Row],[Comisión 10%]]</f>
        <v>33.4</v>
      </c>
      <c r="U364" s="76">
        <f>STOCK[[#This Row],[Costo total]]*1.5</f>
        <v>50.1</v>
      </c>
      <c r="V364" s="76">
        <v>39</v>
      </c>
      <c r="W364" s="76">
        <f>STOCK[[#This Row],[Precio Final]]-STOCK[[#This Row],[Costo total]]</f>
        <v>5.6</v>
      </c>
      <c r="X364" s="76">
        <f>STOCK[[#This Row],[Ganancia Unitaria]]*STOCK[[#This Row],[Salidas]]</f>
        <v>5.6</v>
      </c>
      <c r="AA364" s="76">
        <f>STOCK[[#This Row],[Costo total]]*STOCK[[#This Row],[Entradas]]</f>
        <v>33.4</v>
      </c>
      <c r="AB364" s="76">
        <f>STOCK[[#This Row],[Stock Actual]]*STOCK[[#This Row],[Costo total]]</f>
        <v>0</v>
      </c>
    </row>
    <row r="365" s="77" customFormat="1" ht="50" customHeight="1" spans="1:28">
      <c r="A365" s="77" t="s">
        <v>771</v>
      </c>
      <c r="B365" s="6"/>
      <c r="C365" s="77" t="s">
        <v>30</v>
      </c>
      <c r="D365" s="77" t="s">
        <v>514</v>
      </c>
      <c r="E365" s="77" t="s">
        <v>772</v>
      </c>
      <c r="F365" s="77" t="s">
        <v>757</v>
      </c>
      <c r="G365" s="77" t="s">
        <v>702</v>
      </c>
      <c r="H365" s="77">
        <f>STOCK[[#This Row],[Precio Final]]</f>
        <v>35</v>
      </c>
      <c r="I365" s="77">
        <f>STOCK[[#This Row],[Precio Venta Ideal (x1.5)]]</f>
        <v>40.1666666666667</v>
      </c>
      <c r="J365" s="92">
        <v>1</v>
      </c>
      <c r="K365" s="92">
        <f>SUMIFS(VENTAS[Cantidad],VENTAS[Código del producto Vendido],STOCK[[#This Row],[Code]])</f>
        <v>1</v>
      </c>
      <c r="L365" s="92">
        <f>STOCK[[#This Row],[Entradas]]-STOCK[[#This Row],[Salidas]]</f>
        <v>0</v>
      </c>
      <c r="M365" s="77">
        <f>STOCK[[#This Row],[Precio Final]]*10%</f>
        <v>3.5</v>
      </c>
      <c r="N365" s="77">
        <v>356</v>
      </c>
      <c r="O365" s="77">
        <v>18</v>
      </c>
      <c r="P365" s="77">
        <v>19.7777777777778</v>
      </c>
      <c r="Q365" s="92">
        <v>350</v>
      </c>
      <c r="R365" s="77">
        <v>10</v>
      </c>
      <c r="S365" s="77">
        <f>STOCK[[#This Row],[Peso (g)]]*STOCK[[#This Row],[Precio Envío Kilogramo (USD)]]/1000</f>
        <v>3.5</v>
      </c>
      <c r="T365" s="76">
        <f>STOCK[[#This Row],[Costo Unitario (USD)]]+STOCK[[#This Row],[Costo Envío (USD)]]+STOCK[[#This Row],[Comisión 10%]]</f>
        <v>26.7777777777778</v>
      </c>
      <c r="U365" s="77">
        <f>STOCK[[#This Row],[Costo total]]*1.5</f>
        <v>40.1666666666667</v>
      </c>
      <c r="V365" s="77">
        <v>35</v>
      </c>
      <c r="W365" s="77">
        <f>STOCK[[#This Row],[Precio Final]]-STOCK[[#This Row],[Costo total]]</f>
        <v>8.2222222222222</v>
      </c>
      <c r="X365" s="77">
        <f>STOCK[[#This Row],[Ganancia Unitaria]]*STOCK[[#This Row],[Salidas]]</f>
        <v>8.2222222222222</v>
      </c>
      <c r="AA365" s="77">
        <f>STOCK[[#This Row],[Costo total]]*STOCK[[#This Row],[Entradas]]</f>
        <v>26.7777777777778</v>
      </c>
      <c r="AB365" s="77">
        <f>STOCK[[#This Row],[Stock Actual]]*STOCK[[#This Row],[Costo total]]</f>
        <v>0</v>
      </c>
    </row>
    <row r="366" s="76" customFormat="1" ht="50" customHeight="1" spans="1:28">
      <c r="A366" s="76" t="s">
        <v>773</v>
      </c>
      <c r="B366" s="6"/>
      <c r="C366" s="76" t="s">
        <v>30</v>
      </c>
      <c r="D366" s="76" t="s">
        <v>514</v>
      </c>
      <c r="E366" s="76" t="s">
        <v>772</v>
      </c>
      <c r="F366" s="76" t="s">
        <v>766</v>
      </c>
      <c r="G366" s="76" t="s">
        <v>702</v>
      </c>
      <c r="H366" s="76">
        <f>STOCK[[#This Row],[Precio Final]]</f>
        <v>30</v>
      </c>
      <c r="I366" s="76">
        <f>STOCK[[#This Row],[Precio Venta Ideal (x1.5)]]</f>
        <v>39.4166666666667</v>
      </c>
      <c r="J366" s="91">
        <v>1</v>
      </c>
      <c r="K366" s="91">
        <f>SUMIFS(VENTAS[Cantidad],VENTAS[Código del producto Vendido],STOCK[[#This Row],[Code]])</f>
        <v>1</v>
      </c>
      <c r="L366" s="91">
        <f>STOCK[[#This Row],[Entradas]]-STOCK[[#This Row],[Salidas]]</f>
        <v>0</v>
      </c>
      <c r="M366" s="76">
        <f>STOCK[[#This Row],[Precio Final]]*10%</f>
        <v>3</v>
      </c>
      <c r="N366" s="76">
        <v>356</v>
      </c>
      <c r="O366" s="76">
        <v>18</v>
      </c>
      <c r="P366" s="76">
        <v>19.7777777777778</v>
      </c>
      <c r="Q366" s="91">
        <v>350</v>
      </c>
      <c r="R366" s="76">
        <v>10</v>
      </c>
      <c r="S366" s="76">
        <f>STOCK[[#This Row],[Peso (g)]]*STOCK[[#This Row],[Precio Envío Kilogramo (USD)]]/1000</f>
        <v>3.5</v>
      </c>
      <c r="T366" s="76">
        <f>STOCK[[#This Row],[Costo Unitario (USD)]]+STOCK[[#This Row],[Costo Envío (USD)]]+STOCK[[#This Row],[Comisión 10%]]</f>
        <v>26.2777777777778</v>
      </c>
      <c r="U366" s="76">
        <f>STOCK[[#This Row],[Costo total]]*1.5</f>
        <v>39.4166666666667</v>
      </c>
      <c r="V366" s="76">
        <v>30</v>
      </c>
      <c r="W366" s="76">
        <f>STOCK[[#This Row],[Precio Final]]-STOCK[[#This Row],[Costo total]]</f>
        <v>3.7222222222222</v>
      </c>
      <c r="X366" s="76">
        <f>STOCK[[#This Row],[Ganancia Unitaria]]*STOCK[[#This Row],[Salidas]]</f>
        <v>3.7222222222222</v>
      </c>
      <c r="AA366" s="76">
        <f>STOCK[[#This Row],[Costo total]]*STOCK[[#This Row],[Entradas]]</f>
        <v>26.2777777777778</v>
      </c>
      <c r="AB366" s="76">
        <f>STOCK[[#This Row],[Stock Actual]]*STOCK[[#This Row],[Costo total]]</f>
        <v>0</v>
      </c>
    </row>
    <row r="367" s="77" customFormat="1" ht="50" customHeight="1" spans="1:28">
      <c r="A367" s="77" t="s">
        <v>774</v>
      </c>
      <c r="B367" s="6"/>
      <c r="C367" s="77" t="s">
        <v>30</v>
      </c>
      <c r="D367" s="77" t="s">
        <v>173</v>
      </c>
      <c r="E367" s="77" t="s">
        <v>775</v>
      </c>
      <c r="F367" s="77" t="s">
        <v>776</v>
      </c>
      <c r="G367" s="77" t="s">
        <v>702</v>
      </c>
      <c r="H367" s="77">
        <f>STOCK[[#This Row],[Precio Final]]</f>
        <v>10</v>
      </c>
      <c r="I367" s="77">
        <f>STOCK[[#This Row],[Precio Venta Ideal (x1.5)]]</f>
        <v>10.5833333333333</v>
      </c>
      <c r="J367" s="92">
        <v>3</v>
      </c>
      <c r="K367" s="92">
        <f>SUMIFS(VENTAS[Cantidad],VENTAS[Código del producto Vendido],STOCK[[#This Row],[Code]])</f>
        <v>3</v>
      </c>
      <c r="L367" s="92">
        <f>STOCK[[#This Row],[Entradas]]-STOCK[[#This Row],[Salidas]]</f>
        <v>0</v>
      </c>
      <c r="M367" s="77">
        <f>STOCK[[#This Row],[Precio Final]]*10%</f>
        <v>1</v>
      </c>
      <c r="N367" s="77">
        <v>100</v>
      </c>
      <c r="O367" s="77">
        <v>18</v>
      </c>
      <c r="P367" s="77">
        <v>5.55555555555556</v>
      </c>
      <c r="Q367" s="92">
        <v>50</v>
      </c>
      <c r="R367" s="77">
        <v>10</v>
      </c>
      <c r="S367" s="77">
        <f>STOCK[[#This Row],[Peso (g)]]*STOCK[[#This Row],[Precio Envío Kilogramo (USD)]]/1000</f>
        <v>0.5</v>
      </c>
      <c r="T367" s="76">
        <f>STOCK[[#This Row],[Costo Unitario (USD)]]+STOCK[[#This Row],[Costo Envío (USD)]]+STOCK[[#This Row],[Comisión 10%]]</f>
        <v>7.05555555555556</v>
      </c>
      <c r="U367" s="77">
        <f>STOCK[[#This Row],[Costo total]]*1.5</f>
        <v>10.5833333333333</v>
      </c>
      <c r="V367" s="77">
        <v>10</v>
      </c>
      <c r="W367" s="77">
        <f>STOCK[[#This Row],[Precio Final]]-STOCK[[#This Row],[Costo total]]</f>
        <v>2.94444444444444</v>
      </c>
      <c r="X367" s="77">
        <f>STOCK[[#This Row],[Ganancia Unitaria]]*STOCK[[#This Row],[Salidas]]</f>
        <v>8.83333333333332</v>
      </c>
      <c r="AA367" s="77">
        <f>STOCK[[#This Row],[Costo total]]*STOCK[[#This Row],[Entradas]]</f>
        <v>21.1666666666667</v>
      </c>
      <c r="AB367" s="77">
        <f>STOCK[[#This Row],[Stock Actual]]*STOCK[[#This Row],[Costo total]]</f>
        <v>0</v>
      </c>
    </row>
    <row r="368" s="76" customFormat="1" ht="50" customHeight="1" spans="1:28">
      <c r="A368" s="76" t="s">
        <v>777</v>
      </c>
      <c r="B368" s="6"/>
      <c r="C368" s="76" t="s">
        <v>30</v>
      </c>
      <c r="D368" s="76" t="s">
        <v>778</v>
      </c>
      <c r="E368" s="76" t="s">
        <v>775</v>
      </c>
      <c r="F368" s="76" t="s">
        <v>38</v>
      </c>
      <c r="G368" s="76" t="s">
        <v>702</v>
      </c>
      <c r="H368" s="76">
        <f>STOCK[[#This Row],[Precio Final]]</f>
        <v>10</v>
      </c>
      <c r="I368" s="76">
        <f>STOCK[[#This Row],[Precio Venta Ideal (x1.5)]]</f>
        <v>10.5833333333333</v>
      </c>
      <c r="J368" s="91">
        <v>2</v>
      </c>
      <c r="K368" s="91">
        <f>SUMIFS(VENTAS[Cantidad],VENTAS[Código del producto Vendido],STOCK[[#This Row],[Code]])</f>
        <v>1</v>
      </c>
      <c r="L368" s="91">
        <f>STOCK[[#This Row],[Entradas]]-STOCK[[#This Row],[Salidas]]</f>
        <v>1</v>
      </c>
      <c r="M368" s="76">
        <f>STOCK[[#This Row],[Precio Final]]*10%</f>
        <v>1</v>
      </c>
      <c r="N368" s="76">
        <v>100</v>
      </c>
      <c r="O368" s="76">
        <v>18</v>
      </c>
      <c r="P368" s="76">
        <v>5.55555555555556</v>
      </c>
      <c r="Q368" s="91">
        <v>50</v>
      </c>
      <c r="R368" s="76">
        <v>10</v>
      </c>
      <c r="S368" s="76">
        <f>STOCK[[#This Row],[Peso (g)]]*STOCK[[#This Row],[Precio Envío Kilogramo (USD)]]/1000</f>
        <v>0.5</v>
      </c>
      <c r="T368" s="76">
        <f>STOCK[[#This Row],[Costo Unitario (USD)]]+STOCK[[#This Row],[Costo Envío (USD)]]+STOCK[[#This Row],[Comisión 10%]]</f>
        <v>7.05555555555556</v>
      </c>
      <c r="U368" s="76">
        <f>STOCK[[#This Row],[Costo total]]*1.5</f>
        <v>10.5833333333333</v>
      </c>
      <c r="V368" s="76">
        <v>10</v>
      </c>
      <c r="W368" s="76">
        <f>STOCK[[#This Row],[Precio Final]]-STOCK[[#This Row],[Costo total]]</f>
        <v>2.94444444444444</v>
      </c>
      <c r="X368" s="76">
        <f>STOCK[[#This Row],[Ganancia Unitaria]]*STOCK[[#This Row],[Salidas]]</f>
        <v>2.94444444444444</v>
      </c>
      <c r="AA368" s="76">
        <f>STOCK[[#This Row],[Costo total]]*STOCK[[#This Row],[Entradas]]</f>
        <v>14.1111111111111</v>
      </c>
      <c r="AB368" s="76">
        <f>STOCK[[#This Row],[Stock Actual]]*STOCK[[#This Row],[Costo total]]</f>
        <v>7.05555555555556</v>
      </c>
    </row>
    <row r="369" s="77" customFormat="1" ht="50" customHeight="1" spans="1:28">
      <c r="A369" s="77" t="s">
        <v>779</v>
      </c>
      <c r="B369" s="6"/>
      <c r="C369" s="77" t="s">
        <v>30</v>
      </c>
      <c r="D369" s="77" t="s">
        <v>778</v>
      </c>
      <c r="E369" s="77" t="s">
        <v>780</v>
      </c>
      <c r="F369" s="77" t="s">
        <v>38</v>
      </c>
      <c r="G369" s="77" t="s">
        <v>702</v>
      </c>
      <c r="H369" s="77">
        <f>STOCK[[#This Row],[Precio Final]]</f>
        <v>10</v>
      </c>
      <c r="I369" s="77">
        <f>STOCK[[#This Row],[Precio Venta Ideal (x1.5)]]</f>
        <v>10.5833333333333</v>
      </c>
      <c r="J369" s="92">
        <v>2</v>
      </c>
      <c r="K369" s="92">
        <f>SUMIFS(VENTAS[Cantidad],VENTAS[Código del producto Vendido],STOCK[[#This Row],[Code]])</f>
        <v>0</v>
      </c>
      <c r="L369" s="92">
        <f>STOCK[[#This Row],[Entradas]]-STOCK[[#This Row],[Salidas]]</f>
        <v>2</v>
      </c>
      <c r="M369" s="77">
        <f>STOCK[[#This Row],[Precio Final]]*10%</f>
        <v>1</v>
      </c>
      <c r="N369" s="77">
        <v>100</v>
      </c>
      <c r="O369" s="77">
        <v>18</v>
      </c>
      <c r="P369" s="77">
        <v>5.55555555555556</v>
      </c>
      <c r="Q369" s="92">
        <v>50</v>
      </c>
      <c r="R369" s="77">
        <v>10</v>
      </c>
      <c r="S369" s="77">
        <f>STOCK[[#This Row],[Peso (g)]]*STOCK[[#This Row],[Precio Envío Kilogramo (USD)]]/1000</f>
        <v>0.5</v>
      </c>
      <c r="T369" s="76">
        <f>STOCK[[#This Row],[Costo Unitario (USD)]]+STOCK[[#This Row],[Costo Envío (USD)]]+STOCK[[#This Row],[Comisión 10%]]</f>
        <v>7.05555555555556</v>
      </c>
      <c r="U369" s="77">
        <f>STOCK[[#This Row],[Costo total]]*1.5</f>
        <v>10.5833333333333</v>
      </c>
      <c r="V369" s="77">
        <v>10</v>
      </c>
      <c r="W369" s="77">
        <f>STOCK[[#This Row],[Precio Final]]-STOCK[[#This Row],[Costo total]]</f>
        <v>2.94444444444444</v>
      </c>
      <c r="X369" s="77">
        <f>STOCK[[#This Row],[Ganancia Unitaria]]*STOCK[[#This Row],[Salidas]]</f>
        <v>0</v>
      </c>
      <c r="AA369" s="77">
        <f>STOCK[[#This Row],[Costo total]]*STOCK[[#This Row],[Entradas]]</f>
        <v>14.1111111111111</v>
      </c>
      <c r="AB369" s="77">
        <f>STOCK[[#This Row],[Stock Actual]]*STOCK[[#This Row],[Costo total]]</f>
        <v>14.1111111111111</v>
      </c>
    </row>
    <row r="370" s="76" customFormat="1" ht="50" customHeight="1" spans="1:28">
      <c r="A370" s="76" t="s">
        <v>781</v>
      </c>
      <c r="B370" s="6"/>
      <c r="C370" s="76" t="s">
        <v>30</v>
      </c>
      <c r="D370" s="76" t="s">
        <v>173</v>
      </c>
      <c r="E370" s="76" t="s">
        <v>780</v>
      </c>
      <c r="F370" s="76" t="s">
        <v>776</v>
      </c>
      <c r="G370" s="76" t="s">
        <v>702</v>
      </c>
      <c r="H370" s="76">
        <f>STOCK[[#This Row],[Precio Final]]</f>
        <v>10</v>
      </c>
      <c r="I370" s="76">
        <f>STOCK[[#This Row],[Precio Venta Ideal (x1.5)]]</f>
        <v>10.5833333333333</v>
      </c>
      <c r="J370" s="91">
        <v>1</v>
      </c>
      <c r="K370" s="91">
        <f>SUMIFS(VENTAS[Cantidad],VENTAS[Código del producto Vendido],STOCK[[#This Row],[Code]])</f>
        <v>1</v>
      </c>
      <c r="L370" s="91">
        <f>STOCK[[#This Row],[Entradas]]-STOCK[[#This Row],[Salidas]]</f>
        <v>0</v>
      </c>
      <c r="M370" s="76">
        <f>STOCK[[#This Row],[Precio Final]]*10%</f>
        <v>1</v>
      </c>
      <c r="N370" s="76">
        <v>100</v>
      </c>
      <c r="O370" s="76">
        <v>18</v>
      </c>
      <c r="P370" s="76">
        <v>5.55555555555556</v>
      </c>
      <c r="Q370" s="91">
        <v>50</v>
      </c>
      <c r="R370" s="76">
        <v>10</v>
      </c>
      <c r="S370" s="76">
        <f>STOCK[[#This Row],[Peso (g)]]*STOCK[[#This Row],[Precio Envío Kilogramo (USD)]]/1000</f>
        <v>0.5</v>
      </c>
      <c r="T370" s="76">
        <f>STOCK[[#This Row],[Costo Unitario (USD)]]+STOCK[[#This Row],[Costo Envío (USD)]]+STOCK[[#This Row],[Comisión 10%]]</f>
        <v>7.05555555555556</v>
      </c>
      <c r="U370" s="76">
        <f>STOCK[[#This Row],[Costo total]]*1.5</f>
        <v>10.5833333333333</v>
      </c>
      <c r="V370" s="76">
        <v>10</v>
      </c>
      <c r="W370" s="76">
        <f>STOCK[[#This Row],[Precio Final]]-STOCK[[#This Row],[Costo total]]</f>
        <v>2.94444444444444</v>
      </c>
      <c r="X370" s="76">
        <f>STOCK[[#This Row],[Ganancia Unitaria]]*STOCK[[#This Row],[Salidas]]</f>
        <v>2.94444444444444</v>
      </c>
      <c r="AA370" s="76">
        <f>STOCK[[#This Row],[Costo total]]*STOCK[[#This Row],[Entradas]]</f>
        <v>7.05555555555556</v>
      </c>
      <c r="AB370" s="76">
        <f>STOCK[[#This Row],[Stock Actual]]*STOCK[[#This Row],[Costo total]]</f>
        <v>0</v>
      </c>
    </row>
    <row r="371" s="77" customFormat="1" ht="50" customHeight="1" spans="1:28">
      <c r="A371" s="77" t="s">
        <v>782</v>
      </c>
      <c r="B371" s="6"/>
      <c r="C371" s="77" t="s">
        <v>30</v>
      </c>
      <c r="D371" s="77" t="s">
        <v>778</v>
      </c>
      <c r="E371" s="77" t="s">
        <v>783</v>
      </c>
      <c r="F371" s="77" t="s">
        <v>38</v>
      </c>
      <c r="G371" s="77" t="s">
        <v>702</v>
      </c>
      <c r="H371" s="77">
        <f>STOCK[[#This Row],[Precio Final]]</f>
        <v>10</v>
      </c>
      <c r="I371" s="77">
        <f>STOCK[[#This Row],[Precio Venta Ideal (x1.5)]]</f>
        <v>10.5833333333333</v>
      </c>
      <c r="J371" s="92">
        <v>2</v>
      </c>
      <c r="K371" s="92">
        <f>SUMIFS(VENTAS[Cantidad],VENTAS[Código del producto Vendido],STOCK[[#This Row],[Code]])</f>
        <v>1</v>
      </c>
      <c r="L371" s="92">
        <f>STOCK[[#This Row],[Entradas]]-STOCK[[#This Row],[Salidas]]</f>
        <v>1</v>
      </c>
      <c r="M371" s="77">
        <f>STOCK[[#This Row],[Precio Final]]*10%</f>
        <v>1</v>
      </c>
      <c r="N371" s="77">
        <v>100</v>
      </c>
      <c r="O371" s="77">
        <v>18</v>
      </c>
      <c r="P371" s="77">
        <v>5.55555555555556</v>
      </c>
      <c r="Q371" s="92">
        <v>50</v>
      </c>
      <c r="R371" s="77">
        <v>10</v>
      </c>
      <c r="S371" s="77">
        <f>STOCK[[#This Row],[Peso (g)]]*STOCK[[#This Row],[Precio Envío Kilogramo (USD)]]/1000</f>
        <v>0.5</v>
      </c>
      <c r="T371" s="76">
        <f>STOCK[[#This Row],[Costo Unitario (USD)]]+STOCK[[#This Row],[Costo Envío (USD)]]+STOCK[[#This Row],[Comisión 10%]]</f>
        <v>7.05555555555556</v>
      </c>
      <c r="U371" s="77">
        <f>STOCK[[#This Row],[Costo total]]*1.5</f>
        <v>10.5833333333333</v>
      </c>
      <c r="V371" s="77">
        <v>10</v>
      </c>
      <c r="W371" s="77">
        <f>STOCK[[#This Row],[Precio Final]]-STOCK[[#This Row],[Costo total]]</f>
        <v>2.94444444444444</v>
      </c>
      <c r="X371" s="77">
        <f>STOCK[[#This Row],[Ganancia Unitaria]]*STOCK[[#This Row],[Salidas]]</f>
        <v>2.94444444444444</v>
      </c>
      <c r="AA371" s="77">
        <f>STOCK[[#This Row],[Costo total]]*STOCK[[#This Row],[Entradas]]</f>
        <v>14.1111111111111</v>
      </c>
      <c r="AB371" s="77">
        <f>STOCK[[#This Row],[Stock Actual]]*STOCK[[#This Row],[Costo total]]</f>
        <v>7.05555555555556</v>
      </c>
    </row>
    <row r="372" s="76" customFormat="1" ht="50" customHeight="1" spans="1:28">
      <c r="A372" s="76" t="s">
        <v>784</v>
      </c>
      <c r="B372" s="6"/>
      <c r="C372" s="76" t="s">
        <v>30</v>
      </c>
      <c r="D372" s="76" t="s">
        <v>173</v>
      </c>
      <c r="E372" s="76" t="s">
        <v>785</v>
      </c>
      <c r="F372" s="76" t="s">
        <v>60</v>
      </c>
      <c r="G372" s="76" t="s">
        <v>702</v>
      </c>
      <c r="H372" s="76">
        <f>STOCK[[#This Row],[Precio Final]]</f>
        <v>10</v>
      </c>
      <c r="I372" s="76">
        <f>STOCK[[#This Row],[Precio Venta Ideal (x1.5)]]</f>
        <v>10.5833333333333</v>
      </c>
      <c r="J372" s="91">
        <v>1</v>
      </c>
      <c r="K372" s="91">
        <f>SUMIFS(VENTAS[Cantidad],VENTAS[Código del producto Vendido],STOCK[[#This Row],[Code]])</f>
        <v>1</v>
      </c>
      <c r="L372" s="91">
        <f>STOCK[[#This Row],[Entradas]]-STOCK[[#This Row],[Salidas]]</f>
        <v>0</v>
      </c>
      <c r="M372" s="76">
        <f>STOCK[[#This Row],[Precio Final]]*10%</f>
        <v>1</v>
      </c>
      <c r="N372" s="76">
        <v>100</v>
      </c>
      <c r="O372" s="76">
        <v>18</v>
      </c>
      <c r="P372" s="76">
        <v>5.55555555555556</v>
      </c>
      <c r="Q372" s="91">
        <v>50</v>
      </c>
      <c r="R372" s="76">
        <v>10</v>
      </c>
      <c r="S372" s="76">
        <f>STOCK[[#This Row],[Peso (g)]]*STOCK[[#This Row],[Precio Envío Kilogramo (USD)]]/1000</f>
        <v>0.5</v>
      </c>
      <c r="T372" s="76">
        <f>STOCK[[#This Row],[Costo Unitario (USD)]]+STOCK[[#This Row],[Costo Envío (USD)]]+STOCK[[#This Row],[Comisión 10%]]</f>
        <v>7.05555555555556</v>
      </c>
      <c r="U372" s="76">
        <f>STOCK[[#This Row],[Costo total]]*1.5</f>
        <v>10.5833333333333</v>
      </c>
      <c r="V372" s="76">
        <v>10</v>
      </c>
      <c r="W372" s="76">
        <f>STOCK[[#This Row],[Precio Final]]-STOCK[[#This Row],[Costo total]]</f>
        <v>2.94444444444444</v>
      </c>
      <c r="X372" s="76">
        <f>STOCK[[#This Row],[Ganancia Unitaria]]*STOCK[[#This Row],[Salidas]]</f>
        <v>2.94444444444444</v>
      </c>
      <c r="AA372" s="76">
        <f>STOCK[[#This Row],[Costo total]]*STOCK[[#This Row],[Entradas]]</f>
        <v>7.05555555555556</v>
      </c>
      <c r="AB372" s="76">
        <f>STOCK[[#This Row],[Stock Actual]]*STOCK[[#This Row],[Costo total]]</f>
        <v>0</v>
      </c>
    </row>
    <row r="373" s="77" customFormat="1" ht="50" customHeight="1" spans="1:28">
      <c r="A373" s="77" t="s">
        <v>786</v>
      </c>
      <c r="B373" s="6"/>
      <c r="C373" s="77" t="s">
        <v>30</v>
      </c>
      <c r="D373" s="77" t="s">
        <v>350</v>
      </c>
      <c r="E373" s="77" t="s">
        <v>787</v>
      </c>
      <c r="F373" s="77" t="s">
        <v>393</v>
      </c>
      <c r="G373" s="77" t="s">
        <v>702</v>
      </c>
      <c r="H373" s="77">
        <f>STOCK[[#This Row],[Precio Final]]</f>
        <v>0</v>
      </c>
      <c r="I373" s="77">
        <f>STOCK[[#This Row],[Precio Venta Ideal (x1.5)]]</f>
        <v>17.3333333333334</v>
      </c>
      <c r="J373" s="92">
        <v>0</v>
      </c>
      <c r="K373" s="92">
        <f>SUMIFS(VENTAS[Cantidad],VENTAS[Código del producto Vendido],STOCK[[#This Row],[Code]])</f>
        <v>0</v>
      </c>
      <c r="L373" s="92">
        <f>STOCK[[#This Row],[Entradas]]-STOCK[[#This Row],[Salidas]]</f>
        <v>0</v>
      </c>
      <c r="M373" s="77">
        <f>STOCK[[#This Row],[Precio Final]]*10%</f>
        <v>0</v>
      </c>
      <c r="N373" s="77">
        <v>199</v>
      </c>
      <c r="O373" s="77">
        <v>18</v>
      </c>
      <c r="P373" s="77">
        <v>11.0555555555556</v>
      </c>
      <c r="Q373" s="92">
        <v>50</v>
      </c>
      <c r="R373" s="77">
        <v>10</v>
      </c>
      <c r="S373" s="77">
        <f>STOCK[[#This Row],[Peso (g)]]*STOCK[[#This Row],[Precio Envío Kilogramo (USD)]]/1000</f>
        <v>0.5</v>
      </c>
      <c r="T373" s="76">
        <f>STOCK[[#This Row],[Costo Unitario (USD)]]+STOCK[[#This Row],[Costo Envío (USD)]]+STOCK[[#This Row],[Comisión 10%]]</f>
        <v>11.5555555555556</v>
      </c>
      <c r="U373" s="77">
        <f>STOCK[[#This Row],[Costo total]]*1.5</f>
        <v>17.3333333333334</v>
      </c>
      <c r="V373" s="77">
        <v>0</v>
      </c>
      <c r="W373" s="77">
        <f>STOCK[[#This Row],[Precio Final]]-STOCK[[#This Row],[Costo total]]</f>
        <v>-11.5555555555556</v>
      </c>
      <c r="X373" s="77">
        <f>STOCK[[#This Row],[Ganancia Unitaria]]*STOCK[[#This Row],[Salidas]]</f>
        <v>0</v>
      </c>
      <c r="AA373" s="77">
        <f>STOCK[[#This Row],[Costo total]]*STOCK[[#This Row],[Entradas]]</f>
        <v>0</v>
      </c>
      <c r="AB373" s="77">
        <f>STOCK[[#This Row],[Stock Actual]]*STOCK[[#This Row],[Costo total]]</f>
        <v>0</v>
      </c>
    </row>
    <row r="374" s="76" customFormat="1" ht="50" customHeight="1" spans="1:28">
      <c r="A374" s="76" t="s">
        <v>788</v>
      </c>
      <c r="B374" s="6"/>
      <c r="C374" s="76" t="s">
        <v>30</v>
      </c>
      <c r="D374" s="76" t="s">
        <v>350</v>
      </c>
      <c r="E374" s="76" t="s">
        <v>789</v>
      </c>
      <c r="F374" s="76" t="s">
        <v>524</v>
      </c>
      <c r="G374" s="76" t="s">
        <v>702</v>
      </c>
      <c r="H374" s="76">
        <f>STOCK[[#This Row],[Precio Final]]</f>
        <v>15</v>
      </c>
      <c r="I374" s="76">
        <f>STOCK[[#This Row],[Precio Venta Ideal (x1.5)]]</f>
        <v>19.5833333333334</v>
      </c>
      <c r="J374" s="91">
        <v>2</v>
      </c>
      <c r="K374" s="91">
        <f>SUMIFS(VENTAS[Cantidad],VENTAS[Código del producto Vendido],STOCK[[#This Row],[Code]])</f>
        <v>2</v>
      </c>
      <c r="L374" s="91">
        <f>STOCK[[#This Row],[Entradas]]-STOCK[[#This Row],[Salidas]]</f>
        <v>0</v>
      </c>
      <c r="M374" s="76">
        <f>STOCK[[#This Row],[Precio Final]]*10%</f>
        <v>1.5</v>
      </c>
      <c r="N374" s="76">
        <v>199</v>
      </c>
      <c r="O374" s="76">
        <v>18</v>
      </c>
      <c r="P374" s="76">
        <v>11.0555555555556</v>
      </c>
      <c r="Q374" s="91">
        <v>50</v>
      </c>
      <c r="R374" s="76">
        <v>10</v>
      </c>
      <c r="S374" s="76">
        <f>STOCK[[#This Row],[Peso (g)]]*STOCK[[#This Row],[Precio Envío Kilogramo (USD)]]/1000</f>
        <v>0.5</v>
      </c>
      <c r="T374" s="76">
        <f>STOCK[[#This Row],[Costo Unitario (USD)]]+STOCK[[#This Row],[Costo Envío (USD)]]+STOCK[[#This Row],[Comisión 10%]]</f>
        <v>13.0555555555556</v>
      </c>
      <c r="U374" s="76">
        <f>STOCK[[#This Row],[Costo total]]*1.5</f>
        <v>19.5833333333334</v>
      </c>
      <c r="V374" s="76">
        <v>15</v>
      </c>
      <c r="W374" s="76">
        <f>STOCK[[#This Row],[Precio Final]]-STOCK[[#This Row],[Costo total]]</f>
        <v>1.9444444444444</v>
      </c>
      <c r="X374" s="76">
        <f>STOCK[[#This Row],[Ganancia Unitaria]]*STOCK[[#This Row],[Salidas]]</f>
        <v>3.8888888888888</v>
      </c>
      <c r="AA374" s="76">
        <f>STOCK[[#This Row],[Costo total]]*STOCK[[#This Row],[Entradas]]</f>
        <v>26.1111111111112</v>
      </c>
      <c r="AB374" s="76">
        <f>STOCK[[#This Row],[Stock Actual]]*STOCK[[#This Row],[Costo total]]</f>
        <v>0</v>
      </c>
    </row>
    <row r="375" s="77" customFormat="1" ht="50" customHeight="1" spans="1:28">
      <c r="A375" s="77" t="s">
        <v>790</v>
      </c>
      <c r="B375" s="6"/>
      <c r="C375" s="77" t="s">
        <v>30</v>
      </c>
      <c r="D375" s="77" t="s">
        <v>151</v>
      </c>
      <c r="E375" s="77" t="s">
        <v>791</v>
      </c>
      <c r="F375" s="77" t="s">
        <v>47</v>
      </c>
      <c r="G375" s="77" t="s">
        <v>702</v>
      </c>
      <c r="H375" s="77">
        <f>STOCK[[#This Row],[Precio Final]]</f>
        <v>19</v>
      </c>
      <c r="I375" s="77">
        <f>STOCK[[#This Row],[Precio Venta Ideal (x1.5)]]</f>
        <v>22.4333333333334</v>
      </c>
      <c r="J375" s="92">
        <v>1</v>
      </c>
      <c r="K375" s="92">
        <f>SUMIFS(VENTAS[Cantidad],VENTAS[Código del producto Vendido],STOCK[[#This Row],[Code]])</f>
        <v>1</v>
      </c>
      <c r="L375" s="92">
        <f>STOCK[[#This Row],[Entradas]]-STOCK[[#This Row],[Salidas]]</f>
        <v>0</v>
      </c>
      <c r="M375" s="77">
        <f>STOCK[[#This Row],[Precio Final]]*10%</f>
        <v>1.9</v>
      </c>
      <c r="N375" s="77">
        <v>199</v>
      </c>
      <c r="O375" s="77">
        <v>18</v>
      </c>
      <c r="P375" s="77">
        <v>11.0555555555556</v>
      </c>
      <c r="Q375" s="92">
        <v>200</v>
      </c>
      <c r="R375" s="77">
        <v>10</v>
      </c>
      <c r="S375" s="77">
        <f>STOCK[[#This Row],[Peso (g)]]*STOCK[[#This Row],[Precio Envío Kilogramo (USD)]]/1000</f>
        <v>2</v>
      </c>
      <c r="T375" s="76">
        <f>STOCK[[#This Row],[Costo Unitario (USD)]]+STOCK[[#This Row],[Costo Envío (USD)]]+STOCK[[#This Row],[Comisión 10%]]</f>
        <v>14.9555555555556</v>
      </c>
      <c r="U375" s="77">
        <f>STOCK[[#This Row],[Costo total]]*1.5</f>
        <v>22.4333333333334</v>
      </c>
      <c r="V375" s="77">
        <v>19</v>
      </c>
      <c r="W375" s="77">
        <f>STOCK[[#This Row],[Precio Final]]-STOCK[[#This Row],[Costo total]]</f>
        <v>4.0444444444444</v>
      </c>
      <c r="X375" s="77">
        <f>STOCK[[#This Row],[Ganancia Unitaria]]*STOCK[[#This Row],[Salidas]]</f>
        <v>4.0444444444444</v>
      </c>
      <c r="AA375" s="77">
        <f>STOCK[[#This Row],[Costo total]]*STOCK[[#This Row],[Entradas]]</f>
        <v>14.9555555555556</v>
      </c>
      <c r="AB375" s="77">
        <f>STOCK[[#This Row],[Stock Actual]]*STOCK[[#This Row],[Costo total]]</f>
        <v>0</v>
      </c>
    </row>
    <row r="376" s="76" customFormat="1" ht="50" customHeight="1" spans="1:28">
      <c r="A376" s="76" t="s">
        <v>792</v>
      </c>
      <c r="B376" s="6"/>
      <c r="C376" s="76" t="s">
        <v>30</v>
      </c>
      <c r="D376" s="76" t="s">
        <v>151</v>
      </c>
      <c r="E376" s="76" t="s">
        <v>791</v>
      </c>
      <c r="F376" s="76" t="s">
        <v>776</v>
      </c>
      <c r="G376" s="76" t="s">
        <v>702</v>
      </c>
      <c r="H376" s="76">
        <f>STOCK[[#This Row],[Precio Final]]</f>
        <v>0</v>
      </c>
      <c r="I376" s="76">
        <f>STOCK[[#This Row],[Precio Venta Ideal (x1.5)]]</f>
        <v>40.5</v>
      </c>
      <c r="J376" s="91">
        <v>0</v>
      </c>
      <c r="K376" s="91">
        <f>SUMIFS(VENTAS[Cantidad],VENTAS[Código del producto Vendido],STOCK[[#This Row],[Code]])</f>
        <v>0</v>
      </c>
      <c r="L376" s="91">
        <f>STOCK[[#This Row],[Entradas]]-STOCK[[#This Row],[Salidas]]</f>
        <v>0</v>
      </c>
      <c r="M376" s="76">
        <f>STOCK[[#This Row],[Precio Final]]*10%</f>
        <v>0</v>
      </c>
      <c r="N376" s="76">
        <v>450</v>
      </c>
      <c r="O376" s="76">
        <v>18</v>
      </c>
      <c r="P376" s="76">
        <v>25</v>
      </c>
      <c r="Q376" s="91">
        <v>200</v>
      </c>
      <c r="R376" s="76">
        <v>10</v>
      </c>
      <c r="S376" s="76">
        <f>STOCK[[#This Row],[Peso (g)]]*STOCK[[#This Row],[Precio Envío Kilogramo (USD)]]/1000</f>
        <v>2</v>
      </c>
      <c r="T376" s="76">
        <f>STOCK[[#This Row],[Costo Unitario (USD)]]+STOCK[[#This Row],[Costo Envío (USD)]]+STOCK[[#This Row],[Comisión 10%]]</f>
        <v>27</v>
      </c>
      <c r="U376" s="76">
        <f>STOCK[[#This Row],[Costo total]]*1.5</f>
        <v>40.5</v>
      </c>
      <c r="V376" s="76">
        <v>0</v>
      </c>
      <c r="W376" s="76">
        <f>STOCK[[#This Row],[Precio Final]]-STOCK[[#This Row],[Costo total]]</f>
        <v>-27</v>
      </c>
      <c r="X376" s="76">
        <f>STOCK[[#This Row],[Ganancia Unitaria]]*STOCK[[#This Row],[Salidas]]</f>
        <v>0</v>
      </c>
      <c r="AA376" s="76">
        <f>STOCK[[#This Row],[Costo total]]*STOCK[[#This Row],[Entradas]]</f>
        <v>0</v>
      </c>
      <c r="AB376" s="76">
        <f>STOCK[[#This Row],[Stock Actual]]*STOCK[[#This Row],[Costo total]]</f>
        <v>0</v>
      </c>
    </row>
    <row r="377" s="77" customFormat="1" ht="50" customHeight="1" spans="1:28">
      <c r="A377" s="77" t="s">
        <v>793</v>
      </c>
      <c r="B377" s="6"/>
      <c r="C377" s="77" t="s">
        <v>30</v>
      </c>
      <c r="D377" s="77" t="s">
        <v>36</v>
      </c>
      <c r="E377" s="77" t="s">
        <v>794</v>
      </c>
      <c r="F377" s="77" t="s">
        <v>44</v>
      </c>
      <c r="G377" s="77" t="s">
        <v>34</v>
      </c>
      <c r="H377" s="77">
        <f>STOCK[[#This Row],[Precio Final]]</f>
        <v>20</v>
      </c>
      <c r="I377" s="77">
        <f>STOCK[[#This Row],[Precio Venta Ideal (x1.5)]]</f>
        <v>22.25</v>
      </c>
      <c r="J377" s="92">
        <v>1</v>
      </c>
      <c r="K377" s="92">
        <f>SUMIFS(VENTAS[Cantidad],VENTAS[Código del producto Vendido],STOCK[[#This Row],[Code]])</f>
        <v>1</v>
      </c>
      <c r="L377" s="92">
        <f>STOCK[[#This Row],[Entradas]]-STOCK[[#This Row],[Salidas]]</f>
        <v>0</v>
      </c>
      <c r="M377" s="77">
        <f>STOCK[[#This Row],[Precio Final]]*10%</f>
        <v>2</v>
      </c>
      <c r="N377" s="77">
        <v>195</v>
      </c>
      <c r="O377" s="77">
        <v>18</v>
      </c>
      <c r="P377" s="77">
        <v>10.8333333333333</v>
      </c>
      <c r="Q377" s="92">
        <v>200</v>
      </c>
      <c r="R377" s="77">
        <v>10</v>
      </c>
      <c r="S377" s="77">
        <f>STOCK[[#This Row],[Peso (g)]]*STOCK[[#This Row],[Precio Envío Kilogramo (USD)]]/1000</f>
        <v>2</v>
      </c>
      <c r="T377" s="76">
        <f>STOCK[[#This Row],[Costo Unitario (USD)]]+STOCK[[#This Row],[Costo Envío (USD)]]+STOCK[[#This Row],[Comisión 10%]]</f>
        <v>14.8333333333333</v>
      </c>
      <c r="U377" s="77">
        <f>STOCK[[#This Row],[Costo total]]*1.5</f>
        <v>22.25</v>
      </c>
      <c r="V377" s="77">
        <v>20</v>
      </c>
      <c r="W377" s="77">
        <f>STOCK[[#This Row],[Precio Final]]-STOCK[[#This Row],[Costo total]]</f>
        <v>5.1666666666667</v>
      </c>
      <c r="X377" s="77">
        <f>STOCK[[#This Row],[Ganancia Unitaria]]*STOCK[[#This Row],[Salidas]]</f>
        <v>5.1666666666667</v>
      </c>
      <c r="AA377" s="77">
        <f>STOCK[[#This Row],[Costo total]]*STOCK[[#This Row],[Entradas]]</f>
        <v>14.8333333333333</v>
      </c>
      <c r="AB377" s="77">
        <f>STOCK[[#This Row],[Stock Actual]]*STOCK[[#This Row],[Costo total]]</f>
        <v>0</v>
      </c>
    </row>
    <row r="378" s="76" customFormat="1" ht="50" customHeight="1" spans="1:28">
      <c r="A378" s="76" t="s">
        <v>795</v>
      </c>
      <c r="B378" s="6"/>
      <c r="C378" s="76" t="s">
        <v>30</v>
      </c>
      <c r="D378" s="76" t="s">
        <v>36</v>
      </c>
      <c r="E378" s="76" t="s">
        <v>796</v>
      </c>
      <c r="F378" s="76" t="s">
        <v>44</v>
      </c>
      <c r="G378" s="76" t="s">
        <v>34</v>
      </c>
      <c r="H378" s="76">
        <f>STOCK[[#This Row],[Precio Final]]</f>
        <v>20</v>
      </c>
      <c r="I378" s="76">
        <f>STOCK[[#This Row],[Precio Venta Ideal (x1.5)]]</f>
        <v>20.5833333333333</v>
      </c>
      <c r="J378" s="91">
        <v>1</v>
      </c>
      <c r="K378" s="91">
        <f>SUMIFS(VENTAS[Cantidad],VENTAS[Código del producto Vendido],STOCK[[#This Row],[Code]])</f>
        <v>1</v>
      </c>
      <c r="L378" s="91">
        <f>STOCK[[#This Row],[Entradas]]-STOCK[[#This Row],[Salidas]]</f>
        <v>0</v>
      </c>
      <c r="M378" s="76">
        <f>STOCK[[#This Row],[Precio Final]]*10%</f>
        <v>2</v>
      </c>
      <c r="N378" s="76">
        <v>175</v>
      </c>
      <c r="O378" s="76">
        <v>18</v>
      </c>
      <c r="P378" s="76">
        <v>9.72222222222222</v>
      </c>
      <c r="Q378" s="91">
        <v>200</v>
      </c>
      <c r="R378" s="76">
        <v>10</v>
      </c>
      <c r="S378" s="76">
        <f>STOCK[[#This Row],[Peso (g)]]*STOCK[[#This Row],[Precio Envío Kilogramo (USD)]]/1000</f>
        <v>2</v>
      </c>
      <c r="T378" s="76">
        <f>STOCK[[#This Row],[Costo Unitario (USD)]]+STOCK[[#This Row],[Costo Envío (USD)]]+STOCK[[#This Row],[Comisión 10%]]</f>
        <v>13.7222222222222</v>
      </c>
      <c r="U378" s="76">
        <f>STOCK[[#This Row],[Costo total]]*1.5</f>
        <v>20.5833333333333</v>
      </c>
      <c r="V378" s="76">
        <v>20</v>
      </c>
      <c r="W378" s="76">
        <f>STOCK[[#This Row],[Precio Final]]-STOCK[[#This Row],[Costo total]]</f>
        <v>6.27777777777778</v>
      </c>
      <c r="X378" s="76">
        <f>STOCK[[#This Row],[Ganancia Unitaria]]*STOCK[[#This Row],[Salidas]]</f>
        <v>6.27777777777778</v>
      </c>
      <c r="AA378" s="76">
        <f>STOCK[[#This Row],[Costo total]]*STOCK[[#This Row],[Entradas]]</f>
        <v>13.7222222222222</v>
      </c>
      <c r="AB378" s="76">
        <f>STOCK[[#This Row],[Stock Actual]]*STOCK[[#This Row],[Costo total]]</f>
        <v>0</v>
      </c>
    </row>
    <row r="379" s="77" customFormat="1" ht="50" customHeight="1" spans="1:29">
      <c r="A379" s="77" t="s">
        <v>797</v>
      </c>
      <c r="B379" s="6"/>
      <c r="C379" s="77" t="s">
        <v>30</v>
      </c>
      <c r="D379" s="77" t="s">
        <v>483</v>
      </c>
      <c r="E379" s="77" t="s">
        <v>798</v>
      </c>
      <c r="F379" s="77" t="s">
        <v>60</v>
      </c>
      <c r="G379" s="77" t="s">
        <v>34</v>
      </c>
      <c r="H379" s="77">
        <f>STOCK[[#This Row],[Precio Final]]</f>
        <v>18</v>
      </c>
      <c r="I379" s="77">
        <f>STOCK[[#This Row],[Precio Venta Ideal (x1.5)]]</f>
        <v>13.6166666666667</v>
      </c>
      <c r="J379" s="92">
        <v>3</v>
      </c>
      <c r="K379" s="92">
        <f>SUMIFS(VENTAS[Cantidad],VENTAS[Código del producto Vendido],STOCK[[#This Row],[Code]])</f>
        <v>0</v>
      </c>
      <c r="L379" s="92">
        <f>STOCK[[#This Row],[Entradas]]-STOCK[[#This Row],[Salidas]]</f>
        <v>3</v>
      </c>
      <c r="M379" s="77">
        <f>STOCK[[#This Row],[Precio Final]]*10%</f>
        <v>1.8</v>
      </c>
      <c r="N379" s="77">
        <v>95</v>
      </c>
      <c r="O379" s="77">
        <v>18</v>
      </c>
      <c r="P379" s="77">
        <v>5.27777777777778</v>
      </c>
      <c r="Q379" s="92">
        <v>200</v>
      </c>
      <c r="R379" s="77">
        <v>10</v>
      </c>
      <c r="S379" s="77">
        <f>STOCK[[#This Row],[Peso (g)]]*STOCK[[#This Row],[Precio Envío Kilogramo (USD)]]/1000</f>
        <v>2</v>
      </c>
      <c r="T379" s="76">
        <f>STOCK[[#This Row],[Costo Unitario (USD)]]+STOCK[[#This Row],[Costo Envío (USD)]]+STOCK[[#This Row],[Comisión 10%]]</f>
        <v>9.07777777777778</v>
      </c>
      <c r="U379" s="77">
        <f>STOCK[[#This Row],[Costo total]]*1.5</f>
        <v>13.6166666666667</v>
      </c>
      <c r="V379" s="77">
        <v>18</v>
      </c>
      <c r="W379" s="77">
        <f>STOCK[[#This Row],[Precio Final]]-STOCK[[#This Row],[Costo total]]</f>
        <v>8.92222222222222</v>
      </c>
      <c r="X379" s="77">
        <f>STOCK[[#This Row],[Ganancia Unitaria]]*STOCK[[#This Row],[Salidas]]</f>
        <v>0</v>
      </c>
      <c r="AA379" s="77">
        <f>STOCK[[#This Row],[Costo total]]*STOCK[[#This Row],[Entradas]]</f>
        <v>27.2333333333333</v>
      </c>
      <c r="AB379" s="77">
        <f>STOCK[[#This Row],[Stock Actual]]*STOCK[[#This Row],[Costo total]]</f>
        <v>27.2333333333333</v>
      </c>
      <c r="AC379" s="77">
        <v>12</v>
      </c>
    </row>
    <row r="380" s="76" customFormat="1" ht="50" customHeight="1" spans="1:28">
      <c r="A380" s="76" t="s">
        <v>799</v>
      </c>
      <c r="B380" s="6"/>
      <c r="C380" s="76" t="s">
        <v>30</v>
      </c>
      <c r="D380" s="76" t="s">
        <v>800</v>
      </c>
      <c r="E380" s="76" t="s">
        <v>801</v>
      </c>
      <c r="F380" s="76" t="s">
        <v>186</v>
      </c>
      <c r="G380" s="76" t="s">
        <v>34</v>
      </c>
      <c r="H380" s="76">
        <f>STOCK[[#This Row],[Precio Final]]</f>
        <v>15</v>
      </c>
      <c r="I380" s="76">
        <f>STOCK[[#This Row],[Precio Venta Ideal (x1.5)]]</f>
        <v>15.6666666666667</v>
      </c>
      <c r="J380" s="91">
        <v>1</v>
      </c>
      <c r="K380" s="91">
        <f>SUMIFS(VENTAS[Cantidad],VENTAS[Código del producto Vendido],STOCK[[#This Row],[Code]])</f>
        <v>1</v>
      </c>
      <c r="L380" s="91">
        <f>STOCK[[#This Row],[Entradas]]-STOCK[[#This Row],[Salidas]]</f>
        <v>0</v>
      </c>
      <c r="M380" s="76">
        <f>STOCK[[#This Row],[Precio Final]]*10%</f>
        <v>1.5</v>
      </c>
      <c r="N380" s="76">
        <v>125</v>
      </c>
      <c r="O380" s="76">
        <v>18</v>
      </c>
      <c r="P380" s="76">
        <v>6.94444444444444</v>
      </c>
      <c r="Q380" s="91">
        <v>200</v>
      </c>
      <c r="R380" s="76">
        <v>10</v>
      </c>
      <c r="S380" s="76">
        <f>STOCK[[#This Row],[Peso (g)]]*STOCK[[#This Row],[Precio Envío Kilogramo (USD)]]/1000</f>
        <v>2</v>
      </c>
      <c r="T380" s="76">
        <f>STOCK[[#This Row],[Costo Unitario (USD)]]+STOCK[[#This Row],[Costo Envío (USD)]]+STOCK[[#This Row],[Comisión 10%]]</f>
        <v>10.4444444444444</v>
      </c>
      <c r="U380" s="76">
        <f>STOCK[[#This Row],[Costo total]]*1.5</f>
        <v>15.6666666666667</v>
      </c>
      <c r="V380" s="76">
        <v>15</v>
      </c>
      <c r="W380" s="76">
        <f>STOCK[[#This Row],[Precio Final]]-STOCK[[#This Row],[Costo total]]</f>
        <v>4.55555555555556</v>
      </c>
      <c r="X380" s="76">
        <f>STOCK[[#This Row],[Ganancia Unitaria]]*STOCK[[#This Row],[Salidas]]</f>
        <v>4.55555555555556</v>
      </c>
      <c r="AA380" s="76">
        <f>STOCK[[#This Row],[Costo total]]*STOCK[[#This Row],[Entradas]]</f>
        <v>10.4444444444444</v>
      </c>
      <c r="AB380" s="76">
        <f>STOCK[[#This Row],[Stock Actual]]*STOCK[[#This Row],[Costo total]]</f>
        <v>0</v>
      </c>
    </row>
    <row r="381" s="77" customFormat="1" ht="50" customHeight="1" spans="1:29">
      <c r="A381" s="77" t="s">
        <v>802</v>
      </c>
      <c r="B381" s="6"/>
      <c r="C381" s="77" t="s">
        <v>30</v>
      </c>
      <c r="D381" s="77" t="s">
        <v>42</v>
      </c>
      <c r="E381" s="77" t="s">
        <v>803</v>
      </c>
      <c r="F381" s="77" t="s">
        <v>47</v>
      </c>
      <c r="G381" s="77" t="s">
        <v>34</v>
      </c>
      <c r="H381" s="77">
        <f>STOCK[[#This Row],[Precio Final]]</f>
        <v>20</v>
      </c>
      <c r="I381" s="77">
        <f>STOCK[[#This Row],[Precio Venta Ideal (x1.5)]]</f>
        <v>15.75</v>
      </c>
      <c r="J381" s="92">
        <v>3</v>
      </c>
      <c r="K381" s="92">
        <f>SUMIFS(VENTAS[Cantidad],VENTAS[Código del producto Vendido],STOCK[[#This Row],[Code]])</f>
        <v>1</v>
      </c>
      <c r="L381" s="92">
        <f>STOCK[[#This Row],[Entradas]]-STOCK[[#This Row],[Salidas]]</f>
        <v>2</v>
      </c>
      <c r="M381" s="77">
        <f>STOCK[[#This Row],[Precio Final]]*10%</f>
        <v>2</v>
      </c>
      <c r="N381" s="77">
        <v>135</v>
      </c>
      <c r="O381" s="77">
        <v>18</v>
      </c>
      <c r="P381" s="77">
        <v>7.5</v>
      </c>
      <c r="Q381" s="92">
        <v>100</v>
      </c>
      <c r="R381" s="77">
        <v>10</v>
      </c>
      <c r="S381" s="77">
        <f>STOCK[[#This Row],[Peso (g)]]*STOCK[[#This Row],[Precio Envío Kilogramo (USD)]]/1000</f>
        <v>1</v>
      </c>
      <c r="T381" s="76">
        <f>STOCK[[#This Row],[Costo Unitario (USD)]]+STOCK[[#This Row],[Costo Envío (USD)]]+STOCK[[#This Row],[Comisión 10%]]</f>
        <v>10.5</v>
      </c>
      <c r="U381" s="77">
        <f>STOCK[[#This Row],[Costo total]]*1.5</f>
        <v>15.75</v>
      </c>
      <c r="V381" s="77">
        <v>20</v>
      </c>
      <c r="W381" s="77">
        <f>STOCK[[#This Row],[Precio Final]]-STOCK[[#This Row],[Costo total]]</f>
        <v>9.5</v>
      </c>
      <c r="X381" s="77">
        <f>STOCK[[#This Row],[Ganancia Unitaria]]*STOCK[[#This Row],[Salidas]]</f>
        <v>9.5</v>
      </c>
      <c r="AA381" s="77">
        <f>STOCK[[#This Row],[Costo total]]*STOCK[[#This Row],[Entradas]]</f>
        <v>31.5</v>
      </c>
      <c r="AB381" s="77">
        <f>STOCK[[#This Row],[Stock Actual]]*STOCK[[#This Row],[Costo total]]</f>
        <v>21</v>
      </c>
      <c r="AC381" s="77">
        <v>15</v>
      </c>
    </row>
    <row r="382" s="76" customFormat="1" ht="50" customHeight="1" spans="1:28">
      <c r="A382" s="76" t="s">
        <v>804</v>
      </c>
      <c r="B382" s="6"/>
      <c r="C382" s="76" t="s">
        <v>30</v>
      </c>
      <c r="D382" s="76" t="s">
        <v>36</v>
      </c>
      <c r="E382" s="76" t="s">
        <v>805</v>
      </c>
      <c r="F382" s="76" t="s">
        <v>47</v>
      </c>
      <c r="G382" s="76" t="s">
        <v>34</v>
      </c>
      <c r="H382" s="76">
        <f>STOCK[[#This Row],[Precio Final]]</f>
        <v>20</v>
      </c>
      <c r="I382" s="76">
        <f>STOCK[[#This Row],[Precio Venta Ideal (x1.5)]]</f>
        <v>26.3333333333334</v>
      </c>
      <c r="J382" s="91">
        <v>3</v>
      </c>
      <c r="K382" s="91">
        <f>SUMIFS(VENTAS[Cantidad],VENTAS[Código del producto Vendido],STOCK[[#This Row],[Code]])</f>
        <v>3</v>
      </c>
      <c r="L382" s="91">
        <f>STOCK[[#This Row],[Entradas]]-STOCK[[#This Row],[Salidas]]</f>
        <v>0</v>
      </c>
      <c r="M382" s="76">
        <f>STOCK[[#This Row],[Precio Final]]*10%</f>
        <v>2</v>
      </c>
      <c r="N382" s="76">
        <v>235</v>
      </c>
      <c r="O382" s="76">
        <v>18</v>
      </c>
      <c r="P382" s="76">
        <v>13.0555555555556</v>
      </c>
      <c r="Q382" s="91">
        <v>250</v>
      </c>
      <c r="R382" s="76">
        <v>10</v>
      </c>
      <c r="S382" s="76">
        <f>STOCK[[#This Row],[Peso (g)]]*STOCK[[#This Row],[Precio Envío Kilogramo (USD)]]/1000</f>
        <v>2.5</v>
      </c>
      <c r="T382" s="76">
        <f>STOCK[[#This Row],[Costo Unitario (USD)]]+STOCK[[#This Row],[Costo Envío (USD)]]+STOCK[[#This Row],[Comisión 10%]]</f>
        <v>17.5555555555556</v>
      </c>
      <c r="U382" s="76">
        <f>STOCK[[#This Row],[Costo total]]*1.5</f>
        <v>26.3333333333334</v>
      </c>
      <c r="V382" s="76">
        <v>20</v>
      </c>
      <c r="W382" s="76">
        <f>STOCK[[#This Row],[Precio Final]]-STOCK[[#This Row],[Costo total]]</f>
        <v>2.4444444444444</v>
      </c>
      <c r="X382" s="76">
        <f>STOCK[[#This Row],[Ganancia Unitaria]]*STOCK[[#This Row],[Salidas]]</f>
        <v>7.3333333333332</v>
      </c>
      <c r="AA382" s="76">
        <f>STOCK[[#This Row],[Costo total]]*STOCK[[#This Row],[Entradas]]</f>
        <v>52.6666666666668</v>
      </c>
      <c r="AB382" s="76">
        <f>STOCK[[#This Row],[Stock Actual]]*STOCK[[#This Row],[Costo total]]</f>
        <v>0</v>
      </c>
    </row>
    <row r="383" s="77" customFormat="1" ht="50" customHeight="1" spans="1:28">
      <c r="A383" s="77" t="s">
        <v>806</v>
      </c>
      <c r="B383" s="6"/>
      <c r="C383" s="77" t="s">
        <v>30</v>
      </c>
      <c r="D383" s="77" t="s">
        <v>36</v>
      </c>
      <c r="E383" s="77" t="s">
        <v>807</v>
      </c>
      <c r="F383" s="77" t="s">
        <v>60</v>
      </c>
      <c r="G383" s="77" t="s">
        <v>34</v>
      </c>
      <c r="H383" s="77">
        <f>STOCK[[#This Row],[Precio Final]]</f>
        <v>18</v>
      </c>
      <c r="I383" s="77">
        <f>STOCK[[#This Row],[Precio Venta Ideal (x1.5)]]</f>
        <v>16.95</v>
      </c>
      <c r="J383" s="92">
        <v>2</v>
      </c>
      <c r="K383" s="92">
        <f>SUMIFS(VENTAS[Cantidad],VENTAS[Código del producto Vendido],STOCK[[#This Row],[Code]])</f>
        <v>2</v>
      </c>
      <c r="L383" s="92">
        <f>STOCK[[#This Row],[Entradas]]-STOCK[[#This Row],[Salidas]]</f>
        <v>0</v>
      </c>
      <c r="M383" s="77">
        <f>STOCK[[#This Row],[Precio Final]]*10%</f>
        <v>1.8</v>
      </c>
      <c r="N383" s="77">
        <v>126</v>
      </c>
      <c r="O383" s="77">
        <v>18</v>
      </c>
      <c r="P383" s="77">
        <v>7</v>
      </c>
      <c r="Q383" s="92">
        <v>250</v>
      </c>
      <c r="R383" s="77">
        <v>10</v>
      </c>
      <c r="S383" s="77">
        <f>STOCK[[#This Row],[Peso (g)]]*STOCK[[#This Row],[Precio Envío Kilogramo (USD)]]/1000</f>
        <v>2.5</v>
      </c>
      <c r="T383" s="76">
        <f>STOCK[[#This Row],[Costo Unitario (USD)]]+STOCK[[#This Row],[Costo Envío (USD)]]+STOCK[[#This Row],[Comisión 10%]]</f>
        <v>11.3</v>
      </c>
      <c r="U383" s="77">
        <f>STOCK[[#This Row],[Costo total]]*1.5</f>
        <v>16.95</v>
      </c>
      <c r="V383" s="77">
        <v>18</v>
      </c>
      <c r="W383" s="77">
        <f>STOCK[[#This Row],[Precio Final]]-STOCK[[#This Row],[Costo total]]</f>
        <v>6.7</v>
      </c>
      <c r="X383" s="77">
        <f>STOCK[[#This Row],[Ganancia Unitaria]]*STOCK[[#This Row],[Salidas]]</f>
        <v>13.4</v>
      </c>
      <c r="AA383" s="77">
        <f>STOCK[[#This Row],[Costo total]]*STOCK[[#This Row],[Entradas]]</f>
        <v>22.6</v>
      </c>
      <c r="AB383" s="77">
        <f>STOCK[[#This Row],[Stock Actual]]*STOCK[[#This Row],[Costo total]]</f>
        <v>0</v>
      </c>
    </row>
    <row r="384" s="76" customFormat="1" ht="50" customHeight="1" spans="1:29">
      <c r="A384" s="76" t="s">
        <v>808</v>
      </c>
      <c r="B384" s="6"/>
      <c r="C384" s="76" t="s">
        <v>30</v>
      </c>
      <c r="D384" s="76" t="s">
        <v>483</v>
      </c>
      <c r="E384" s="76" t="s">
        <v>809</v>
      </c>
      <c r="F384" s="76" t="s">
        <v>38</v>
      </c>
      <c r="G384" s="76" t="s">
        <v>34</v>
      </c>
      <c r="H384" s="76">
        <f>STOCK[[#This Row],[Precio Final]]</f>
        <v>18</v>
      </c>
      <c r="I384" s="76">
        <f>STOCK[[#This Row],[Precio Venta Ideal (x1.5)]]</f>
        <v>14.45</v>
      </c>
      <c r="J384" s="91">
        <v>3</v>
      </c>
      <c r="K384" s="91">
        <f>SUMIFS(VENTAS[Cantidad],VENTAS[Código del producto Vendido],STOCK[[#This Row],[Code]])</f>
        <v>2</v>
      </c>
      <c r="L384" s="91">
        <f>STOCK[[#This Row],[Entradas]]-STOCK[[#This Row],[Salidas]]</f>
        <v>1</v>
      </c>
      <c r="M384" s="76">
        <f>STOCK[[#This Row],[Precio Final]]*10%</f>
        <v>1.8</v>
      </c>
      <c r="N384" s="76">
        <v>96</v>
      </c>
      <c r="O384" s="76">
        <v>18</v>
      </c>
      <c r="P384" s="76">
        <v>5.33333333333333</v>
      </c>
      <c r="Q384" s="91">
        <v>250</v>
      </c>
      <c r="R384" s="76">
        <v>10</v>
      </c>
      <c r="S384" s="76">
        <f>STOCK[[#This Row],[Peso (g)]]*STOCK[[#This Row],[Precio Envío Kilogramo (USD)]]/1000</f>
        <v>2.5</v>
      </c>
      <c r="T384" s="76">
        <f>STOCK[[#This Row],[Costo Unitario (USD)]]+STOCK[[#This Row],[Costo Envío (USD)]]+STOCK[[#This Row],[Comisión 10%]]</f>
        <v>9.63333333333333</v>
      </c>
      <c r="U384" s="76">
        <f>STOCK[[#This Row],[Costo total]]*1.5</f>
        <v>14.45</v>
      </c>
      <c r="V384" s="76">
        <v>18</v>
      </c>
      <c r="W384" s="76">
        <f>STOCK[[#This Row],[Precio Final]]-STOCK[[#This Row],[Costo total]]</f>
        <v>8.36666666666667</v>
      </c>
      <c r="X384" s="76">
        <f>STOCK[[#This Row],[Ganancia Unitaria]]*STOCK[[#This Row],[Salidas]]</f>
        <v>16.7333333333333</v>
      </c>
      <c r="AA384" s="76">
        <f>STOCK[[#This Row],[Costo total]]*STOCK[[#This Row],[Entradas]]</f>
        <v>28.9</v>
      </c>
      <c r="AB384" s="76">
        <f>STOCK[[#This Row],[Stock Actual]]*STOCK[[#This Row],[Costo total]]</f>
        <v>9.63333333333333</v>
      </c>
      <c r="AC384" s="76">
        <v>12</v>
      </c>
    </row>
    <row r="385" s="77" customFormat="1" ht="50" customHeight="1" spans="1:29">
      <c r="A385" s="77" t="s">
        <v>810</v>
      </c>
      <c r="B385" s="6"/>
      <c r="C385" s="77" t="s">
        <v>30</v>
      </c>
      <c r="D385" s="77" t="s">
        <v>215</v>
      </c>
      <c r="E385" s="77" t="s">
        <v>811</v>
      </c>
      <c r="F385" s="77" t="s">
        <v>44</v>
      </c>
      <c r="G385" s="77" t="s">
        <v>34</v>
      </c>
      <c r="H385" s="77">
        <f>STOCK[[#This Row],[Precio Final]]</f>
        <v>12</v>
      </c>
      <c r="I385" s="77">
        <f>STOCK[[#This Row],[Precio Venta Ideal (x1.5)]]</f>
        <v>11.9666666666667</v>
      </c>
      <c r="J385" s="92">
        <v>2</v>
      </c>
      <c r="K385" s="92">
        <f>SUMIFS(VENTAS[Cantidad],VENTAS[Código del producto Vendido],STOCK[[#This Row],[Code]])</f>
        <v>1</v>
      </c>
      <c r="L385" s="92">
        <f>STOCK[[#This Row],[Entradas]]-STOCK[[#This Row],[Salidas]]</f>
        <v>1</v>
      </c>
      <c r="M385" s="77">
        <f>STOCK[[#This Row],[Precio Final]]*10%</f>
        <v>1.2</v>
      </c>
      <c r="N385" s="77">
        <v>95</v>
      </c>
      <c r="O385" s="77">
        <v>18</v>
      </c>
      <c r="P385" s="77">
        <v>5.27777777777778</v>
      </c>
      <c r="Q385" s="92">
        <v>150</v>
      </c>
      <c r="R385" s="77">
        <v>10</v>
      </c>
      <c r="S385" s="77">
        <f>STOCK[[#This Row],[Peso (g)]]*STOCK[[#This Row],[Precio Envío Kilogramo (USD)]]/1000</f>
        <v>1.5</v>
      </c>
      <c r="T385" s="76">
        <f>STOCK[[#This Row],[Costo Unitario (USD)]]+STOCK[[#This Row],[Costo Envío (USD)]]+STOCK[[#This Row],[Comisión 10%]]</f>
        <v>7.97777777777778</v>
      </c>
      <c r="U385" s="77">
        <f>STOCK[[#This Row],[Costo total]]*1.5</f>
        <v>11.9666666666667</v>
      </c>
      <c r="V385" s="77">
        <v>12</v>
      </c>
      <c r="W385" s="77">
        <f>STOCK[[#This Row],[Precio Final]]-STOCK[[#This Row],[Costo total]]</f>
        <v>4.02222222222222</v>
      </c>
      <c r="X385" s="77">
        <f>STOCK[[#This Row],[Ganancia Unitaria]]*STOCK[[#This Row],[Salidas]]</f>
        <v>4.02222222222222</v>
      </c>
      <c r="AA385" s="77">
        <f>STOCK[[#This Row],[Costo total]]*STOCK[[#This Row],[Entradas]]</f>
        <v>15.9555555555556</v>
      </c>
      <c r="AB385" s="77">
        <f>STOCK[[#This Row],[Stock Actual]]*STOCK[[#This Row],[Costo total]]</f>
        <v>7.97777777777778</v>
      </c>
      <c r="AC385" s="77">
        <v>8</v>
      </c>
    </row>
    <row r="386" s="76" customFormat="1" ht="50" customHeight="1" spans="1:28">
      <c r="A386" s="76" t="s">
        <v>812</v>
      </c>
      <c r="B386" s="6"/>
      <c r="C386" s="76" t="s">
        <v>30</v>
      </c>
      <c r="D386" s="76" t="s">
        <v>813</v>
      </c>
      <c r="E386" s="76" t="s">
        <v>814</v>
      </c>
      <c r="F386" s="76" t="s">
        <v>86</v>
      </c>
      <c r="G386" s="76" t="s">
        <v>34</v>
      </c>
      <c r="H386" s="76">
        <f>STOCK[[#This Row],[Precio Final]]</f>
        <v>10</v>
      </c>
      <c r="I386" s="76">
        <f>STOCK[[#This Row],[Precio Venta Ideal (x1.5)]]</f>
        <v>10.8333333333333</v>
      </c>
      <c r="J386" s="91">
        <v>1</v>
      </c>
      <c r="K386" s="91">
        <f>SUMIFS(VENTAS[Cantidad],VENTAS[Código del producto Vendido],STOCK[[#This Row],[Code]])</f>
        <v>1</v>
      </c>
      <c r="L386" s="91">
        <f>STOCK[[#This Row],[Entradas]]-STOCK[[#This Row],[Salidas]]</f>
        <v>0</v>
      </c>
      <c r="M386" s="76">
        <f>STOCK[[#This Row],[Precio Final]]*10%</f>
        <v>1</v>
      </c>
      <c r="N386" s="76">
        <v>103</v>
      </c>
      <c r="O386" s="76">
        <v>18</v>
      </c>
      <c r="P386" s="76">
        <v>5.72222222222222</v>
      </c>
      <c r="Q386" s="91">
        <v>50</v>
      </c>
      <c r="R386" s="76">
        <v>10</v>
      </c>
      <c r="S386" s="76">
        <f>STOCK[[#This Row],[Peso (g)]]*STOCK[[#This Row],[Precio Envío Kilogramo (USD)]]/1000</f>
        <v>0.5</v>
      </c>
      <c r="T386" s="76">
        <f>STOCK[[#This Row],[Costo Unitario (USD)]]+STOCK[[#This Row],[Costo Envío (USD)]]+STOCK[[#This Row],[Comisión 10%]]</f>
        <v>7.22222222222222</v>
      </c>
      <c r="U386" s="76">
        <f>STOCK[[#This Row],[Costo total]]*1.5</f>
        <v>10.8333333333333</v>
      </c>
      <c r="V386" s="76">
        <v>10</v>
      </c>
      <c r="W386" s="76">
        <f>STOCK[[#This Row],[Precio Final]]-STOCK[[#This Row],[Costo total]]</f>
        <v>2.77777777777778</v>
      </c>
      <c r="X386" s="76">
        <f>STOCK[[#This Row],[Ganancia Unitaria]]*STOCK[[#This Row],[Salidas]]</f>
        <v>2.77777777777778</v>
      </c>
      <c r="AA386" s="76">
        <f>STOCK[[#This Row],[Costo total]]*STOCK[[#This Row],[Entradas]]</f>
        <v>7.22222222222222</v>
      </c>
      <c r="AB386" s="76">
        <f>STOCK[[#This Row],[Stock Actual]]*STOCK[[#This Row],[Costo total]]</f>
        <v>0</v>
      </c>
    </row>
    <row r="387" s="77" customFormat="1" ht="50" customHeight="1" spans="1:28">
      <c r="A387" s="77" t="s">
        <v>815</v>
      </c>
      <c r="B387" s="6"/>
      <c r="C387" s="77" t="s">
        <v>30</v>
      </c>
      <c r="D387" s="77" t="s">
        <v>679</v>
      </c>
      <c r="E387" s="77" t="s">
        <v>816</v>
      </c>
      <c r="F387" s="77" t="s">
        <v>817</v>
      </c>
      <c r="G387" s="77" t="s">
        <v>34</v>
      </c>
      <c r="H387" s="77">
        <f>STOCK[[#This Row],[Precio Final]]</f>
        <v>10</v>
      </c>
      <c r="I387" s="77">
        <f>STOCK[[#This Row],[Precio Venta Ideal (x1.5)]]</f>
        <v>11.6666666666667</v>
      </c>
      <c r="J387" s="92">
        <v>3</v>
      </c>
      <c r="K387" s="92">
        <f>SUMIFS(VENTAS[Cantidad],VENTAS[Código del producto Vendido],STOCK[[#This Row],[Code]])</f>
        <v>3</v>
      </c>
      <c r="L387" s="92">
        <f>STOCK[[#This Row],[Entradas]]-STOCK[[#This Row],[Salidas]]</f>
        <v>0</v>
      </c>
      <c r="M387" s="77">
        <f>STOCK[[#This Row],[Precio Final]]*10%</f>
        <v>1</v>
      </c>
      <c r="N387" s="77">
        <v>113</v>
      </c>
      <c r="O387" s="77">
        <v>18</v>
      </c>
      <c r="P387" s="77">
        <v>6.27777777777778</v>
      </c>
      <c r="Q387" s="92">
        <v>50</v>
      </c>
      <c r="R387" s="77">
        <v>10</v>
      </c>
      <c r="S387" s="77">
        <f>STOCK[[#This Row],[Peso (g)]]*STOCK[[#This Row],[Precio Envío Kilogramo (USD)]]/1000</f>
        <v>0.5</v>
      </c>
      <c r="T387" s="76">
        <f>STOCK[[#This Row],[Costo Unitario (USD)]]+STOCK[[#This Row],[Costo Envío (USD)]]+STOCK[[#This Row],[Comisión 10%]]</f>
        <v>7.77777777777778</v>
      </c>
      <c r="U387" s="77">
        <f>STOCK[[#This Row],[Costo total]]*1.5</f>
        <v>11.6666666666667</v>
      </c>
      <c r="V387" s="77">
        <v>10</v>
      </c>
      <c r="W387" s="77">
        <f>STOCK[[#This Row],[Precio Final]]-STOCK[[#This Row],[Costo total]]</f>
        <v>2.22222222222222</v>
      </c>
      <c r="X387" s="77">
        <f>STOCK[[#This Row],[Ganancia Unitaria]]*STOCK[[#This Row],[Salidas]]</f>
        <v>6.66666666666666</v>
      </c>
      <c r="AA387" s="77">
        <f>STOCK[[#This Row],[Costo total]]*STOCK[[#This Row],[Entradas]]</f>
        <v>23.3333333333333</v>
      </c>
      <c r="AB387" s="77">
        <f>STOCK[[#This Row],[Stock Actual]]*STOCK[[#This Row],[Costo total]]</f>
        <v>0</v>
      </c>
    </row>
    <row r="388" s="76" customFormat="1" ht="50" customHeight="1" spans="1:28">
      <c r="A388" s="76" t="s">
        <v>818</v>
      </c>
      <c r="B388" s="6"/>
      <c r="C388" s="76" t="s">
        <v>30</v>
      </c>
      <c r="D388" s="76" t="s">
        <v>819</v>
      </c>
      <c r="E388" s="76" t="s">
        <v>820</v>
      </c>
      <c r="F388" s="76" t="s">
        <v>60</v>
      </c>
      <c r="G388" s="76" t="s">
        <v>34</v>
      </c>
      <c r="H388" s="76">
        <f>STOCK[[#This Row],[Precio Final]]</f>
        <v>10</v>
      </c>
      <c r="I388" s="76">
        <f>STOCK[[#This Row],[Precio Venta Ideal (x1.5)]]</f>
        <v>13.5</v>
      </c>
      <c r="J388" s="91">
        <v>1</v>
      </c>
      <c r="K388" s="91">
        <f>SUMIFS(VENTAS[Cantidad],VENTAS[Código del producto Vendido],STOCK[[#This Row],[Code]])</f>
        <v>1</v>
      </c>
      <c r="L388" s="91">
        <f>STOCK[[#This Row],[Entradas]]-STOCK[[#This Row],[Salidas]]</f>
        <v>0</v>
      </c>
      <c r="M388" s="76">
        <f>STOCK[[#This Row],[Precio Final]]*10%</f>
        <v>1</v>
      </c>
      <c r="N388" s="76">
        <v>135</v>
      </c>
      <c r="O388" s="76">
        <v>18</v>
      </c>
      <c r="P388" s="76">
        <v>7.5</v>
      </c>
      <c r="Q388" s="91">
        <v>50</v>
      </c>
      <c r="R388" s="76">
        <v>10</v>
      </c>
      <c r="S388" s="76">
        <f>STOCK[[#This Row],[Peso (g)]]*STOCK[[#This Row],[Precio Envío Kilogramo (USD)]]/1000</f>
        <v>0.5</v>
      </c>
      <c r="T388" s="76">
        <f>STOCK[[#This Row],[Costo Unitario (USD)]]+STOCK[[#This Row],[Costo Envío (USD)]]+STOCK[[#This Row],[Comisión 10%]]</f>
        <v>9</v>
      </c>
      <c r="U388" s="76">
        <f>STOCK[[#This Row],[Costo total]]*1.5</f>
        <v>13.5</v>
      </c>
      <c r="V388" s="76">
        <v>10</v>
      </c>
      <c r="W388" s="76">
        <f>STOCK[[#This Row],[Precio Final]]-STOCK[[#This Row],[Costo total]]</f>
        <v>1</v>
      </c>
      <c r="X388" s="76">
        <f>STOCK[[#This Row],[Ganancia Unitaria]]*STOCK[[#This Row],[Salidas]]</f>
        <v>1</v>
      </c>
      <c r="AA388" s="76">
        <f>STOCK[[#This Row],[Costo total]]*STOCK[[#This Row],[Entradas]]</f>
        <v>9</v>
      </c>
      <c r="AB388" s="76">
        <f>STOCK[[#This Row],[Stock Actual]]*STOCK[[#This Row],[Costo total]]</f>
        <v>0</v>
      </c>
    </row>
    <row r="389" s="77" customFormat="1" ht="50" customHeight="1" spans="1:29">
      <c r="A389" s="77" t="s">
        <v>821</v>
      </c>
      <c r="B389" s="6"/>
      <c r="C389" s="77" t="s">
        <v>30</v>
      </c>
      <c r="D389" s="77" t="s">
        <v>293</v>
      </c>
      <c r="E389" s="77" t="s">
        <v>822</v>
      </c>
      <c r="F389" s="77" t="s">
        <v>60</v>
      </c>
      <c r="G389" s="77" t="s">
        <v>34</v>
      </c>
      <c r="H389" s="77">
        <f>STOCK[[#This Row],[Precio Final]]</f>
        <v>15</v>
      </c>
      <c r="I389" s="77">
        <f>STOCK[[#This Row],[Precio Venta Ideal (x1.5)]]</f>
        <v>12.4166666666667</v>
      </c>
      <c r="J389" s="92">
        <v>1</v>
      </c>
      <c r="K389" s="92">
        <f>SUMIFS(VENTAS[Cantidad],VENTAS[Código del producto Vendido],STOCK[[#This Row],[Code]])</f>
        <v>0</v>
      </c>
      <c r="L389" s="92">
        <f>STOCK[[#This Row],[Entradas]]-STOCK[[#This Row],[Salidas]]</f>
        <v>1</v>
      </c>
      <c r="M389" s="77">
        <f>STOCK[[#This Row],[Precio Final]]*10%</f>
        <v>1.5</v>
      </c>
      <c r="N389" s="77">
        <v>113</v>
      </c>
      <c r="O389" s="77">
        <v>18</v>
      </c>
      <c r="P389" s="77">
        <v>6.27777777777778</v>
      </c>
      <c r="Q389" s="92">
        <v>50</v>
      </c>
      <c r="R389" s="77">
        <v>10</v>
      </c>
      <c r="S389" s="77">
        <f>STOCK[[#This Row],[Peso (g)]]*STOCK[[#This Row],[Precio Envío Kilogramo (USD)]]/1000</f>
        <v>0.5</v>
      </c>
      <c r="T389" s="76">
        <f>STOCK[[#This Row],[Costo Unitario (USD)]]+STOCK[[#This Row],[Costo Envío (USD)]]+STOCK[[#This Row],[Comisión 10%]]</f>
        <v>8.27777777777778</v>
      </c>
      <c r="U389" s="77">
        <f>STOCK[[#This Row],[Costo total]]*1.5</f>
        <v>12.4166666666667</v>
      </c>
      <c r="V389" s="77">
        <v>15</v>
      </c>
      <c r="W389" s="77">
        <f>STOCK[[#This Row],[Precio Final]]-STOCK[[#This Row],[Costo total]]</f>
        <v>6.72222222222222</v>
      </c>
      <c r="X389" s="77">
        <f>STOCK[[#This Row],[Ganancia Unitaria]]*STOCK[[#This Row],[Salidas]]</f>
        <v>0</v>
      </c>
      <c r="AA389" s="77">
        <f>STOCK[[#This Row],[Costo total]]*STOCK[[#This Row],[Entradas]]</f>
        <v>8.27777777777778</v>
      </c>
      <c r="AB389" s="77">
        <f>STOCK[[#This Row],[Stock Actual]]*STOCK[[#This Row],[Costo total]]</f>
        <v>8.27777777777778</v>
      </c>
      <c r="AC389" s="77">
        <v>10</v>
      </c>
    </row>
    <row r="390" s="76" customFormat="1" ht="50" customHeight="1" spans="1:29">
      <c r="A390" s="76" t="s">
        <v>823</v>
      </c>
      <c r="B390" s="6"/>
      <c r="C390" s="76" t="s">
        <v>30</v>
      </c>
      <c r="D390" s="76" t="s">
        <v>483</v>
      </c>
      <c r="E390" s="76" t="s">
        <v>824</v>
      </c>
      <c r="F390" s="76" t="s">
        <v>38</v>
      </c>
      <c r="G390" s="76" t="s">
        <v>34</v>
      </c>
      <c r="H390" s="76">
        <f>STOCK[[#This Row],[Precio Final]]</f>
        <v>20</v>
      </c>
      <c r="I390" s="76">
        <f>STOCK[[#This Row],[Precio Venta Ideal (x1.5)]]</f>
        <v>12.8333333333333</v>
      </c>
      <c r="J390" s="91">
        <v>1</v>
      </c>
      <c r="K390" s="91">
        <f>SUMIFS(VENTAS[Cantidad],VENTAS[Código del producto Vendido],STOCK[[#This Row],[Code]])</f>
        <v>1</v>
      </c>
      <c r="L390" s="91">
        <f>STOCK[[#This Row],[Entradas]]-STOCK[[#This Row],[Salidas]]</f>
        <v>0</v>
      </c>
      <c r="M390" s="76">
        <f>STOCK[[#This Row],[Precio Final]]*10%</f>
        <v>2</v>
      </c>
      <c r="N390" s="76">
        <v>109</v>
      </c>
      <c r="O390" s="76">
        <v>18</v>
      </c>
      <c r="P390" s="76">
        <v>6.05555555555556</v>
      </c>
      <c r="Q390" s="91">
        <v>50</v>
      </c>
      <c r="R390" s="76">
        <v>10</v>
      </c>
      <c r="S390" s="76">
        <f>STOCK[[#This Row],[Peso (g)]]*STOCK[[#This Row],[Precio Envío Kilogramo (USD)]]/1000</f>
        <v>0.5</v>
      </c>
      <c r="T390" s="76">
        <f>STOCK[[#This Row],[Costo Unitario (USD)]]+STOCK[[#This Row],[Costo Envío (USD)]]+STOCK[[#This Row],[Comisión 10%]]</f>
        <v>8.55555555555556</v>
      </c>
      <c r="U390" s="76">
        <f>STOCK[[#This Row],[Costo total]]*1.5</f>
        <v>12.8333333333333</v>
      </c>
      <c r="V390" s="76">
        <v>20</v>
      </c>
      <c r="W390" s="76">
        <f>STOCK[[#This Row],[Precio Final]]-STOCK[[#This Row],[Costo total]]</f>
        <v>11.4444444444444</v>
      </c>
      <c r="X390" s="76">
        <f>STOCK[[#This Row],[Ganancia Unitaria]]*STOCK[[#This Row],[Salidas]]</f>
        <v>11.4444444444444</v>
      </c>
      <c r="AA390" s="76">
        <f>STOCK[[#This Row],[Costo total]]*STOCK[[#This Row],[Entradas]]</f>
        <v>8.55555555555556</v>
      </c>
      <c r="AB390" s="76">
        <f>STOCK[[#This Row],[Stock Actual]]*STOCK[[#This Row],[Costo total]]</f>
        <v>0</v>
      </c>
      <c r="AC390" s="76">
        <v>15</v>
      </c>
    </row>
    <row r="391" s="77" customFormat="1" ht="50" customHeight="1" spans="1:28">
      <c r="A391" s="77" t="s">
        <v>825</v>
      </c>
      <c r="B391" s="6"/>
      <c r="C391" s="77" t="s">
        <v>30</v>
      </c>
      <c r="D391" s="77" t="s">
        <v>826</v>
      </c>
      <c r="E391" s="77" t="s">
        <v>827</v>
      </c>
      <c r="F391" s="77" t="s">
        <v>44</v>
      </c>
      <c r="G391" s="77" t="s">
        <v>34</v>
      </c>
      <c r="H391" s="77">
        <f>STOCK[[#This Row],[Precio Final]]</f>
        <v>12</v>
      </c>
      <c r="I391" s="77">
        <f>STOCK[[#This Row],[Precio Venta Ideal (x1.5)]]</f>
        <v>12.3833333333333</v>
      </c>
      <c r="J391" s="92">
        <v>1</v>
      </c>
      <c r="K391" s="92">
        <f>SUMIFS(VENTAS[Cantidad],VENTAS[Código del producto Vendido],STOCK[[#This Row],[Code]])</f>
        <v>1</v>
      </c>
      <c r="L391" s="92">
        <f>STOCK[[#This Row],[Entradas]]-STOCK[[#This Row],[Salidas]]</f>
        <v>0</v>
      </c>
      <c r="M391" s="77">
        <f>STOCK[[#This Row],[Precio Final]]*10%</f>
        <v>1.2</v>
      </c>
      <c r="N391" s="77">
        <v>109</v>
      </c>
      <c r="O391" s="77">
        <v>18</v>
      </c>
      <c r="P391" s="77">
        <v>6.05555555555556</v>
      </c>
      <c r="Q391" s="92">
        <v>100</v>
      </c>
      <c r="R391" s="77">
        <v>10</v>
      </c>
      <c r="S391" s="77">
        <f>STOCK[[#This Row],[Peso (g)]]*STOCK[[#This Row],[Precio Envío Kilogramo (USD)]]/1000</f>
        <v>1</v>
      </c>
      <c r="T391" s="76">
        <f>STOCK[[#This Row],[Costo Unitario (USD)]]+STOCK[[#This Row],[Costo Envío (USD)]]+STOCK[[#This Row],[Comisión 10%]]</f>
        <v>8.25555555555556</v>
      </c>
      <c r="U391" s="77">
        <f>STOCK[[#This Row],[Costo total]]*1.5</f>
        <v>12.3833333333333</v>
      </c>
      <c r="V391" s="77">
        <v>12</v>
      </c>
      <c r="W391" s="77">
        <f>STOCK[[#This Row],[Precio Final]]-STOCK[[#This Row],[Costo total]]</f>
        <v>3.74444444444444</v>
      </c>
      <c r="X391" s="77">
        <f>STOCK[[#This Row],[Ganancia Unitaria]]*STOCK[[#This Row],[Salidas]]</f>
        <v>3.74444444444444</v>
      </c>
      <c r="AA391" s="77">
        <f>STOCK[[#This Row],[Costo total]]*STOCK[[#This Row],[Entradas]]</f>
        <v>8.25555555555556</v>
      </c>
      <c r="AB391" s="77">
        <f>STOCK[[#This Row],[Stock Actual]]*STOCK[[#This Row],[Costo total]]</f>
        <v>0</v>
      </c>
    </row>
    <row r="392" s="76" customFormat="1" ht="50" customHeight="1" spans="1:28">
      <c r="A392" s="76" t="s">
        <v>828</v>
      </c>
      <c r="B392" s="6"/>
      <c r="C392" s="76" t="s">
        <v>30</v>
      </c>
      <c r="D392" s="77" t="s">
        <v>36</v>
      </c>
      <c r="E392" s="76" t="s">
        <v>829</v>
      </c>
      <c r="F392" s="76" t="s">
        <v>60</v>
      </c>
      <c r="G392" s="76" t="s">
        <v>34</v>
      </c>
      <c r="H392" s="76">
        <f>STOCK[[#This Row],[Precio Final]]</f>
        <v>15</v>
      </c>
      <c r="I392" s="76">
        <f>STOCK[[#This Row],[Precio Venta Ideal (x1.5)]]</f>
        <v>16.0833333333333</v>
      </c>
      <c r="J392" s="91">
        <v>1</v>
      </c>
      <c r="K392" s="91">
        <f>SUMIFS(VENTAS[Cantidad],VENTAS[Código del producto Vendido],STOCK[[#This Row],[Code]])</f>
        <v>1</v>
      </c>
      <c r="L392" s="91">
        <f>STOCK[[#This Row],[Entradas]]-STOCK[[#This Row],[Salidas]]</f>
        <v>0</v>
      </c>
      <c r="M392" s="76">
        <f>STOCK[[#This Row],[Precio Final]]*10%</f>
        <v>1.5</v>
      </c>
      <c r="N392" s="76">
        <v>148</v>
      </c>
      <c r="O392" s="76">
        <v>18</v>
      </c>
      <c r="P392" s="76">
        <v>8.22222222222222</v>
      </c>
      <c r="Q392" s="91">
        <v>100</v>
      </c>
      <c r="R392" s="76">
        <v>10</v>
      </c>
      <c r="S392" s="76">
        <f>STOCK[[#This Row],[Peso (g)]]*STOCK[[#This Row],[Precio Envío Kilogramo (USD)]]/1000</f>
        <v>1</v>
      </c>
      <c r="T392" s="76">
        <f>STOCK[[#This Row],[Costo Unitario (USD)]]+STOCK[[#This Row],[Costo Envío (USD)]]+STOCK[[#This Row],[Comisión 10%]]</f>
        <v>10.7222222222222</v>
      </c>
      <c r="U392" s="76">
        <f>STOCK[[#This Row],[Costo total]]*1.5</f>
        <v>16.0833333333333</v>
      </c>
      <c r="V392" s="76">
        <v>15</v>
      </c>
      <c r="W392" s="76">
        <f>STOCK[[#This Row],[Precio Final]]-STOCK[[#This Row],[Costo total]]</f>
        <v>4.27777777777778</v>
      </c>
      <c r="X392" s="76">
        <f>STOCK[[#This Row],[Ganancia Unitaria]]*STOCK[[#This Row],[Salidas]]</f>
        <v>4.27777777777778</v>
      </c>
      <c r="AA392" s="76">
        <f>STOCK[[#This Row],[Costo total]]*STOCK[[#This Row],[Entradas]]</f>
        <v>10.7222222222222</v>
      </c>
      <c r="AB392" s="76">
        <f>STOCK[[#This Row],[Stock Actual]]*STOCK[[#This Row],[Costo total]]</f>
        <v>0</v>
      </c>
    </row>
    <row r="393" s="77" customFormat="1" ht="50" customHeight="1" spans="1:29">
      <c r="A393" s="77" t="s">
        <v>830</v>
      </c>
      <c r="B393" s="6"/>
      <c r="C393" s="77" t="s">
        <v>30</v>
      </c>
      <c r="D393" s="77" t="s">
        <v>215</v>
      </c>
      <c r="E393" s="77" t="s">
        <v>831</v>
      </c>
      <c r="F393" s="77" t="s">
        <v>38</v>
      </c>
      <c r="G393" s="77" t="s">
        <v>34</v>
      </c>
      <c r="H393" s="77">
        <f>STOCK[[#This Row],[Precio Final]]</f>
        <v>25</v>
      </c>
      <c r="I393" s="77">
        <f>STOCK[[#This Row],[Precio Venta Ideal (x1.5)]]</f>
        <v>17.75</v>
      </c>
      <c r="J393" s="92">
        <v>3</v>
      </c>
      <c r="K393" s="92">
        <f>SUMIFS(VENTAS[Cantidad],VENTAS[Código del producto Vendido],STOCK[[#This Row],[Code]])</f>
        <v>1</v>
      </c>
      <c r="L393" s="92">
        <f>STOCK[[#This Row],[Entradas]]-STOCK[[#This Row],[Salidas]]</f>
        <v>2</v>
      </c>
      <c r="M393" s="77">
        <f>STOCK[[#This Row],[Precio Final]]*10%</f>
        <v>2.5</v>
      </c>
      <c r="N393" s="77">
        <v>150</v>
      </c>
      <c r="O393" s="77">
        <v>18</v>
      </c>
      <c r="P393" s="77">
        <v>8.33333333333333</v>
      </c>
      <c r="Q393" s="92">
        <v>100</v>
      </c>
      <c r="R393" s="77">
        <v>10</v>
      </c>
      <c r="S393" s="77">
        <f>STOCK[[#This Row],[Peso (g)]]*STOCK[[#This Row],[Precio Envío Kilogramo (USD)]]/1000</f>
        <v>1</v>
      </c>
      <c r="T393" s="76">
        <f>STOCK[[#This Row],[Costo Unitario (USD)]]+STOCK[[#This Row],[Costo Envío (USD)]]+STOCK[[#This Row],[Comisión 10%]]</f>
        <v>11.8333333333333</v>
      </c>
      <c r="U393" s="77">
        <f>STOCK[[#This Row],[Costo total]]*1.5</f>
        <v>17.75</v>
      </c>
      <c r="V393" s="77">
        <v>25</v>
      </c>
      <c r="W393" s="77">
        <f>STOCK[[#This Row],[Precio Final]]-STOCK[[#This Row],[Costo total]]</f>
        <v>13.1666666666667</v>
      </c>
      <c r="X393" s="77">
        <f>STOCK[[#This Row],[Ganancia Unitaria]]*STOCK[[#This Row],[Salidas]]</f>
        <v>13.1666666666667</v>
      </c>
      <c r="AA393" s="77">
        <f>STOCK[[#This Row],[Costo total]]*STOCK[[#This Row],[Entradas]]</f>
        <v>35.5</v>
      </c>
      <c r="AB393" s="77">
        <f>STOCK[[#This Row],[Stock Actual]]*STOCK[[#This Row],[Costo total]]</f>
        <v>23.6666666666667</v>
      </c>
      <c r="AC393" s="77">
        <v>18</v>
      </c>
    </row>
    <row r="394" s="76" customFormat="1" ht="50" customHeight="1" spans="1:28">
      <c r="A394" s="76" t="s">
        <v>832</v>
      </c>
      <c r="B394" s="6"/>
      <c r="C394" s="76" t="s">
        <v>30</v>
      </c>
      <c r="D394" s="76" t="s">
        <v>833</v>
      </c>
      <c r="E394" s="76" t="s">
        <v>834</v>
      </c>
      <c r="F394" s="76" t="s">
        <v>524</v>
      </c>
      <c r="G394" s="76" t="s">
        <v>34</v>
      </c>
      <c r="H394" s="76">
        <f>STOCK[[#This Row],[Precio Final]]</f>
        <v>10</v>
      </c>
      <c r="I394" s="76">
        <f>STOCK[[#This Row],[Precio Venta Ideal (x1.5)]]</f>
        <v>8</v>
      </c>
      <c r="J394" s="91">
        <v>2</v>
      </c>
      <c r="K394" s="91">
        <f>SUMIFS(VENTAS[Cantidad],VENTAS[Código del producto Vendido],STOCK[[#This Row],[Code]])</f>
        <v>1</v>
      </c>
      <c r="L394" s="91">
        <f>STOCK[[#This Row],[Entradas]]-STOCK[[#This Row],[Salidas]]</f>
        <v>1</v>
      </c>
      <c r="M394" s="76">
        <f>STOCK[[#This Row],[Precio Final]]*10%</f>
        <v>1</v>
      </c>
      <c r="N394" s="76">
        <v>69</v>
      </c>
      <c r="O394" s="76">
        <v>18</v>
      </c>
      <c r="P394" s="76">
        <v>3.83333333333333</v>
      </c>
      <c r="Q394" s="91">
        <v>50</v>
      </c>
      <c r="R394" s="76">
        <v>10</v>
      </c>
      <c r="S394" s="76">
        <f>STOCK[[#This Row],[Peso (g)]]*STOCK[[#This Row],[Precio Envío Kilogramo (USD)]]/1000</f>
        <v>0.5</v>
      </c>
      <c r="T394" s="76">
        <f>STOCK[[#This Row],[Costo Unitario (USD)]]+STOCK[[#This Row],[Costo Envío (USD)]]+STOCK[[#This Row],[Comisión 10%]]</f>
        <v>5.33333333333333</v>
      </c>
      <c r="U394" s="76">
        <f>STOCK[[#This Row],[Costo total]]*1.5</f>
        <v>8</v>
      </c>
      <c r="V394" s="76">
        <v>10</v>
      </c>
      <c r="W394" s="76">
        <f>STOCK[[#This Row],[Precio Final]]-STOCK[[#This Row],[Costo total]]</f>
        <v>4.66666666666667</v>
      </c>
      <c r="X394" s="76">
        <f>STOCK[[#This Row],[Ganancia Unitaria]]*STOCK[[#This Row],[Salidas]]</f>
        <v>4.66666666666667</v>
      </c>
      <c r="AA394" s="76">
        <f>STOCK[[#This Row],[Costo total]]*STOCK[[#This Row],[Entradas]]</f>
        <v>10.6666666666667</v>
      </c>
      <c r="AB394" s="76">
        <f>STOCK[[#This Row],[Stock Actual]]*STOCK[[#This Row],[Costo total]]</f>
        <v>5.33333333333333</v>
      </c>
    </row>
    <row r="395" s="77" customFormat="1" ht="50" customHeight="1" spans="1:28">
      <c r="A395" s="77" t="s">
        <v>835</v>
      </c>
      <c r="B395" s="6"/>
      <c r="C395" s="77" t="s">
        <v>30</v>
      </c>
      <c r="D395" s="77" t="s">
        <v>42</v>
      </c>
      <c r="E395" s="77" t="s">
        <v>836</v>
      </c>
      <c r="F395" s="77" t="s">
        <v>38</v>
      </c>
      <c r="G395" s="77" t="s">
        <v>34</v>
      </c>
      <c r="H395" s="77">
        <f>STOCK[[#This Row],[Precio Final]]</f>
        <v>35</v>
      </c>
      <c r="I395" s="77">
        <f>STOCK[[#This Row],[Precio Venta Ideal (x1.5)]]</f>
        <v>44.8333333333333</v>
      </c>
      <c r="J395" s="92">
        <v>1</v>
      </c>
      <c r="K395" s="92">
        <f>SUMIFS(VENTAS[Cantidad],VENTAS[Código del producto Vendido],STOCK[[#This Row],[Code]])</f>
        <v>1</v>
      </c>
      <c r="L395" s="92">
        <f>STOCK[[#This Row],[Entradas]]-STOCK[[#This Row],[Salidas]]</f>
        <v>0</v>
      </c>
      <c r="M395" s="77">
        <f>STOCK[[#This Row],[Precio Final]]*10%</f>
        <v>3.5</v>
      </c>
      <c r="N395" s="77">
        <v>385</v>
      </c>
      <c r="O395" s="77">
        <v>18</v>
      </c>
      <c r="P395" s="77">
        <v>21.3888888888889</v>
      </c>
      <c r="Q395" s="92">
        <v>500</v>
      </c>
      <c r="R395" s="77">
        <v>10</v>
      </c>
      <c r="S395" s="77">
        <f>STOCK[[#This Row],[Peso (g)]]*STOCK[[#This Row],[Precio Envío Kilogramo (USD)]]/1000</f>
        <v>5</v>
      </c>
      <c r="T395" s="76">
        <f>STOCK[[#This Row],[Costo Unitario (USD)]]+STOCK[[#This Row],[Costo Envío (USD)]]+STOCK[[#This Row],[Comisión 10%]]</f>
        <v>29.8888888888889</v>
      </c>
      <c r="U395" s="77">
        <f>STOCK[[#This Row],[Costo total]]*1.5</f>
        <v>44.8333333333333</v>
      </c>
      <c r="V395" s="77">
        <v>35</v>
      </c>
      <c r="W395" s="77">
        <f>STOCK[[#This Row],[Precio Final]]-STOCK[[#This Row],[Costo total]]</f>
        <v>5.1111111111111</v>
      </c>
      <c r="X395" s="77">
        <f>STOCK[[#This Row],[Ganancia Unitaria]]*STOCK[[#This Row],[Salidas]]</f>
        <v>5.1111111111111</v>
      </c>
      <c r="AA395" s="77">
        <f>STOCK[[#This Row],[Costo total]]*STOCK[[#This Row],[Entradas]]</f>
        <v>29.8888888888889</v>
      </c>
      <c r="AB395" s="77">
        <f>STOCK[[#This Row],[Stock Actual]]*STOCK[[#This Row],[Costo total]]</f>
        <v>0</v>
      </c>
    </row>
    <row r="396" s="76" customFormat="1" ht="50" customHeight="1" spans="1:28">
      <c r="A396" s="76" t="s">
        <v>837</v>
      </c>
      <c r="B396" s="6"/>
      <c r="C396" s="76" t="s">
        <v>30</v>
      </c>
      <c r="D396" s="76" t="s">
        <v>293</v>
      </c>
      <c r="E396" s="76" t="s">
        <v>838</v>
      </c>
      <c r="F396" s="76" t="s">
        <v>60</v>
      </c>
      <c r="G396" s="76" t="s">
        <v>34</v>
      </c>
      <c r="H396" s="76">
        <f>STOCK[[#This Row],[Precio Final]]</f>
        <v>9</v>
      </c>
      <c r="I396" s="76">
        <f>STOCK[[#This Row],[Precio Venta Ideal (x1.5)]]</f>
        <v>7.35</v>
      </c>
      <c r="J396" s="91">
        <v>1</v>
      </c>
      <c r="K396" s="91">
        <f>SUMIFS(VENTAS[Cantidad],VENTAS[Código del producto Vendido],STOCK[[#This Row],[Code]])</f>
        <v>0</v>
      </c>
      <c r="L396" s="91">
        <f>STOCK[[#This Row],[Entradas]]-STOCK[[#This Row],[Salidas]]</f>
        <v>1</v>
      </c>
      <c r="M396" s="76">
        <f>STOCK[[#This Row],[Precio Final]]*10%</f>
        <v>0.9</v>
      </c>
      <c r="N396" s="76">
        <v>63</v>
      </c>
      <c r="O396" s="76">
        <v>18</v>
      </c>
      <c r="P396" s="76">
        <v>3.5</v>
      </c>
      <c r="Q396" s="91">
        <v>50</v>
      </c>
      <c r="R396" s="76">
        <v>10</v>
      </c>
      <c r="S396" s="76">
        <f>STOCK[[#This Row],[Peso (g)]]*STOCK[[#This Row],[Precio Envío Kilogramo (USD)]]/1000</f>
        <v>0.5</v>
      </c>
      <c r="T396" s="76">
        <f>STOCK[[#This Row],[Costo Unitario (USD)]]+STOCK[[#This Row],[Costo Envío (USD)]]+STOCK[[#This Row],[Comisión 10%]]</f>
        <v>4.9</v>
      </c>
      <c r="U396" s="76">
        <f>STOCK[[#This Row],[Costo total]]*1.5</f>
        <v>7.35</v>
      </c>
      <c r="V396" s="76">
        <v>9</v>
      </c>
      <c r="W396" s="76">
        <f>STOCK[[#This Row],[Precio Final]]-STOCK[[#This Row],[Costo total]]</f>
        <v>4.1</v>
      </c>
      <c r="X396" s="76">
        <f>STOCK[[#This Row],[Ganancia Unitaria]]*STOCK[[#This Row],[Salidas]]</f>
        <v>0</v>
      </c>
      <c r="AA396" s="76">
        <f>STOCK[[#This Row],[Costo total]]*STOCK[[#This Row],[Entradas]]</f>
        <v>4.9</v>
      </c>
      <c r="AB396" s="76">
        <f>STOCK[[#This Row],[Stock Actual]]*STOCK[[#This Row],[Costo total]]</f>
        <v>4.9</v>
      </c>
    </row>
    <row r="397" s="77" customFormat="1" ht="50" customHeight="1" spans="1:28">
      <c r="A397" s="77" t="s">
        <v>839</v>
      </c>
      <c r="B397" s="6"/>
      <c r="C397" s="77" t="s">
        <v>30</v>
      </c>
      <c r="D397" s="77" t="s">
        <v>36</v>
      </c>
      <c r="E397" s="77" t="s">
        <v>840</v>
      </c>
      <c r="F397" s="77" t="s">
        <v>60</v>
      </c>
      <c r="G397" s="77" t="s">
        <v>34</v>
      </c>
      <c r="H397" s="77">
        <f>STOCK[[#This Row],[Precio Final]]</f>
        <v>10</v>
      </c>
      <c r="I397" s="77">
        <f>STOCK[[#This Row],[Precio Venta Ideal (x1.5)]]</f>
        <v>7.01666666666667</v>
      </c>
      <c r="J397" s="92">
        <v>1</v>
      </c>
      <c r="K397" s="92">
        <f>SUMIFS(VENTAS[Cantidad],VENTAS[Código del producto Vendido],STOCK[[#This Row],[Code]])</f>
        <v>1</v>
      </c>
      <c r="L397" s="92">
        <f>STOCK[[#This Row],[Entradas]]-STOCK[[#This Row],[Salidas]]</f>
        <v>0</v>
      </c>
      <c r="M397" s="77">
        <f>STOCK[[#This Row],[Precio Final]]*10%</f>
        <v>1</v>
      </c>
      <c r="N397" s="77">
        <v>59</v>
      </c>
      <c r="O397" s="77">
        <v>18</v>
      </c>
      <c r="P397" s="77">
        <v>3.27777777777778</v>
      </c>
      <c r="Q397" s="92">
        <v>40</v>
      </c>
      <c r="R397" s="77">
        <v>10</v>
      </c>
      <c r="S397" s="77">
        <f>STOCK[[#This Row],[Peso (g)]]*STOCK[[#This Row],[Precio Envío Kilogramo (USD)]]/1000</f>
        <v>0.4</v>
      </c>
      <c r="T397" s="76">
        <f>STOCK[[#This Row],[Costo Unitario (USD)]]+STOCK[[#This Row],[Costo Envío (USD)]]+STOCK[[#This Row],[Comisión 10%]]</f>
        <v>4.67777777777778</v>
      </c>
      <c r="U397" s="77">
        <f>STOCK[[#This Row],[Costo total]]*1.5</f>
        <v>7.01666666666667</v>
      </c>
      <c r="V397" s="77">
        <v>10</v>
      </c>
      <c r="W397" s="77">
        <f>STOCK[[#This Row],[Precio Final]]-STOCK[[#This Row],[Costo total]]</f>
        <v>5.32222222222222</v>
      </c>
      <c r="X397" s="77">
        <f>STOCK[[#This Row],[Ganancia Unitaria]]*STOCK[[#This Row],[Salidas]]</f>
        <v>5.32222222222222</v>
      </c>
      <c r="AA397" s="77">
        <f>STOCK[[#This Row],[Costo total]]*STOCK[[#This Row],[Entradas]]</f>
        <v>4.67777777777778</v>
      </c>
      <c r="AB397" s="77">
        <f>STOCK[[#This Row],[Stock Actual]]*STOCK[[#This Row],[Costo total]]</f>
        <v>0</v>
      </c>
    </row>
    <row r="398" s="76" customFormat="1" ht="50" customHeight="1" spans="1:28">
      <c r="A398" s="76" t="s">
        <v>841</v>
      </c>
      <c r="B398" s="6"/>
      <c r="C398" s="76" t="s">
        <v>30</v>
      </c>
      <c r="D398" s="76" t="s">
        <v>173</v>
      </c>
      <c r="E398" s="76" t="s">
        <v>842</v>
      </c>
      <c r="F398" s="76" t="s">
        <v>44</v>
      </c>
      <c r="G398" s="76" t="s">
        <v>34</v>
      </c>
      <c r="H398" s="76">
        <f>STOCK[[#This Row],[Precio Final]]</f>
        <v>9</v>
      </c>
      <c r="I398" s="76">
        <f>STOCK[[#This Row],[Precio Venta Ideal (x1.5)]]</f>
        <v>6.53333333333334</v>
      </c>
      <c r="J398" s="91">
        <v>1</v>
      </c>
      <c r="K398" s="91">
        <f>SUMIFS(VENTAS[Cantidad],VENTAS[Código del producto Vendido],STOCK[[#This Row],[Code]])</f>
        <v>1</v>
      </c>
      <c r="L398" s="91">
        <f>STOCK[[#This Row],[Entradas]]-STOCK[[#This Row],[Salidas]]</f>
        <v>0</v>
      </c>
      <c r="M398" s="76">
        <f>STOCK[[#This Row],[Precio Final]]*10%</f>
        <v>0.9</v>
      </c>
      <c r="N398" s="76">
        <v>55</v>
      </c>
      <c r="O398" s="76">
        <v>18</v>
      </c>
      <c r="P398" s="76">
        <v>3.05555555555556</v>
      </c>
      <c r="Q398" s="91">
        <v>40</v>
      </c>
      <c r="R398" s="76">
        <v>10</v>
      </c>
      <c r="S398" s="76">
        <f>STOCK[[#This Row],[Peso (g)]]*STOCK[[#This Row],[Precio Envío Kilogramo (USD)]]/1000</f>
        <v>0.4</v>
      </c>
      <c r="T398" s="76">
        <f>STOCK[[#This Row],[Costo Unitario (USD)]]+STOCK[[#This Row],[Costo Envío (USD)]]+STOCK[[#This Row],[Comisión 10%]]</f>
        <v>4.35555555555556</v>
      </c>
      <c r="U398" s="76">
        <f>STOCK[[#This Row],[Costo total]]*1.5</f>
        <v>6.53333333333334</v>
      </c>
      <c r="V398" s="76">
        <v>9</v>
      </c>
      <c r="W398" s="76">
        <f>STOCK[[#This Row],[Precio Final]]-STOCK[[#This Row],[Costo total]]</f>
        <v>4.64444444444444</v>
      </c>
      <c r="X398" s="76">
        <f>STOCK[[#This Row],[Ganancia Unitaria]]*STOCK[[#This Row],[Salidas]]</f>
        <v>4.64444444444444</v>
      </c>
      <c r="AA398" s="76">
        <f>STOCK[[#This Row],[Costo total]]*STOCK[[#This Row],[Entradas]]</f>
        <v>4.35555555555556</v>
      </c>
      <c r="AB398" s="76">
        <f>STOCK[[#This Row],[Stock Actual]]*STOCK[[#This Row],[Costo total]]</f>
        <v>0</v>
      </c>
    </row>
    <row r="399" s="77" customFormat="1" ht="50" customHeight="1" spans="1:29">
      <c r="A399" s="77" t="s">
        <v>843</v>
      </c>
      <c r="B399" s="6"/>
      <c r="C399" s="77" t="s">
        <v>30</v>
      </c>
      <c r="D399" s="77" t="s">
        <v>293</v>
      </c>
      <c r="E399" s="77" t="s">
        <v>844</v>
      </c>
      <c r="F399" s="77" t="s">
        <v>47</v>
      </c>
      <c r="G399" s="77" t="s">
        <v>34</v>
      </c>
      <c r="H399" s="77">
        <f>STOCK[[#This Row],[Precio Final]]</f>
        <v>12</v>
      </c>
      <c r="I399" s="77">
        <f>STOCK[[#This Row],[Precio Venta Ideal (x1.5)]]</f>
        <v>8.11666666666666</v>
      </c>
      <c r="J399" s="92">
        <v>1</v>
      </c>
      <c r="K399" s="92">
        <f>SUMIFS(VENTAS[Cantidad],VENTAS[Código del producto Vendido],STOCK[[#This Row],[Code]])</f>
        <v>0</v>
      </c>
      <c r="L399" s="92">
        <f>STOCK[[#This Row],[Entradas]]-STOCK[[#This Row],[Salidas]]</f>
        <v>1</v>
      </c>
      <c r="M399" s="77">
        <f>STOCK[[#This Row],[Precio Final]]*10%</f>
        <v>1.2</v>
      </c>
      <c r="N399" s="77">
        <v>65</v>
      </c>
      <c r="O399" s="77">
        <v>18</v>
      </c>
      <c r="P399" s="77">
        <v>3.61111111111111</v>
      </c>
      <c r="Q399" s="92">
        <v>60</v>
      </c>
      <c r="R399" s="77">
        <v>10</v>
      </c>
      <c r="S399" s="77">
        <f>STOCK[[#This Row],[Peso (g)]]*STOCK[[#This Row],[Precio Envío Kilogramo (USD)]]/1000</f>
        <v>0.6</v>
      </c>
      <c r="T399" s="76">
        <f>STOCK[[#This Row],[Costo Unitario (USD)]]+STOCK[[#This Row],[Costo Envío (USD)]]+STOCK[[#This Row],[Comisión 10%]]</f>
        <v>5.41111111111111</v>
      </c>
      <c r="U399" s="77">
        <f>STOCK[[#This Row],[Costo total]]*1.5</f>
        <v>8.11666666666666</v>
      </c>
      <c r="V399" s="77">
        <v>12</v>
      </c>
      <c r="W399" s="77">
        <f>STOCK[[#This Row],[Precio Final]]-STOCK[[#This Row],[Costo total]]</f>
        <v>6.58888888888889</v>
      </c>
      <c r="X399" s="77">
        <f>STOCK[[#This Row],[Ganancia Unitaria]]*STOCK[[#This Row],[Salidas]]</f>
        <v>0</v>
      </c>
      <c r="AA399" s="77">
        <f>STOCK[[#This Row],[Costo total]]*STOCK[[#This Row],[Entradas]]</f>
        <v>5.41111111111111</v>
      </c>
      <c r="AB399" s="77">
        <f>STOCK[[#This Row],[Stock Actual]]*STOCK[[#This Row],[Costo total]]</f>
        <v>5.41111111111111</v>
      </c>
      <c r="AC399" s="77">
        <v>9</v>
      </c>
    </row>
    <row r="400" s="76" customFormat="1" ht="50" customHeight="1" spans="1:29">
      <c r="A400" s="76" t="s">
        <v>845</v>
      </c>
      <c r="B400" s="6"/>
      <c r="C400" s="76" t="s">
        <v>30</v>
      </c>
      <c r="D400" s="76" t="s">
        <v>293</v>
      </c>
      <c r="E400" s="76" t="s">
        <v>844</v>
      </c>
      <c r="F400" s="76" t="s">
        <v>60</v>
      </c>
      <c r="G400" s="76" t="s">
        <v>34</v>
      </c>
      <c r="H400" s="76">
        <f>STOCK[[#This Row],[Precio Final]]</f>
        <v>12</v>
      </c>
      <c r="I400" s="76">
        <f>STOCK[[#This Row],[Precio Venta Ideal (x1.5)]]</f>
        <v>8.11666666666666</v>
      </c>
      <c r="J400" s="91">
        <v>1</v>
      </c>
      <c r="K400" s="91">
        <f>SUMIFS(VENTAS[Cantidad],VENTAS[Código del producto Vendido],STOCK[[#This Row],[Code]])</f>
        <v>0</v>
      </c>
      <c r="L400" s="91">
        <f>STOCK[[#This Row],[Entradas]]-STOCK[[#This Row],[Salidas]]</f>
        <v>1</v>
      </c>
      <c r="M400" s="76">
        <f>STOCK[[#This Row],[Precio Final]]*10%</f>
        <v>1.2</v>
      </c>
      <c r="N400" s="76">
        <v>65</v>
      </c>
      <c r="O400" s="76">
        <v>18</v>
      </c>
      <c r="P400" s="76">
        <v>3.61111111111111</v>
      </c>
      <c r="Q400" s="91">
        <v>60</v>
      </c>
      <c r="R400" s="76">
        <v>10</v>
      </c>
      <c r="S400" s="76">
        <f>STOCK[[#This Row],[Peso (g)]]*STOCK[[#This Row],[Precio Envío Kilogramo (USD)]]/1000</f>
        <v>0.6</v>
      </c>
      <c r="T400" s="76">
        <f>STOCK[[#This Row],[Costo Unitario (USD)]]+STOCK[[#This Row],[Costo Envío (USD)]]+STOCK[[#This Row],[Comisión 10%]]</f>
        <v>5.41111111111111</v>
      </c>
      <c r="U400" s="76">
        <f>STOCK[[#This Row],[Costo total]]*1.5</f>
        <v>8.11666666666666</v>
      </c>
      <c r="V400" s="76">
        <v>12</v>
      </c>
      <c r="W400" s="76">
        <f>STOCK[[#This Row],[Precio Final]]-STOCK[[#This Row],[Costo total]]</f>
        <v>6.58888888888889</v>
      </c>
      <c r="X400" s="76">
        <f>STOCK[[#This Row],[Ganancia Unitaria]]*STOCK[[#This Row],[Salidas]]</f>
        <v>0</v>
      </c>
      <c r="AA400" s="76">
        <f>STOCK[[#This Row],[Costo total]]*STOCK[[#This Row],[Entradas]]</f>
        <v>5.41111111111111</v>
      </c>
      <c r="AB400" s="76">
        <f>STOCK[[#This Row],[Stock Actual]]*STOCK[[#This Row],[Costo total]]</f>
        <v>5.41111111111111</v>
      </c>
      <c r="AC400" s="76">
        <v>9</v>
      </c>
    </row>
    <row r="401" s="77" customFormat="1" ht="50" customHeight="1" spans="1:29">
      <c r="A401" s="77" t="s">
        <v>846</v>
      </c>
      <c r="B401" s="6"/>
      <c r="C401" s="77" t="s">
        <v>30</v>
      </c>
      <c r="D401" s="77" t="s">
        <v>151</v>
      </c>
      <c r="E401" s="77" t="s">
        <v>847</v>
      </c>
      <c r="F401" s="77" t="s">
        <v>44</v>
      </c>
      <c r="G401" s="77" t="s">
        <v>34</v>
      </c>
      <c r="H401" s="77">
        <f>STOCK[[#This Row],[Precio Final]]</f>
        <v>12</v>
      </c>
      <c r="I401" s="77">
        <f>STOCK[[#This Row],[Precio Venta Ideal (x1.5)]]</f>
        <v>8.59999999999999</v>
      </c>
      <c r="J401" s="92">
        <v>1</v>
      </c>
      <c r="K401" s="92">
        <f>SUMIFS(VENTAS[Cantidad],VENTAS[Código del producto Vendido],STOCK[[#This Row],[Code]])</f>
        <v>0</v>
      </c>
      <c r="L401" s="92">
        <f>STOCK[[#This Row],[Entradas]]-STOCK[[#This Row],[Salidas]]</f>
        <v>1</v>
      </c>
      <c r="M401" s="77">
        <f>STOCK[[#This Row],[Precio Final]]*10%</f>
        <v>1.2</v>
      </c>
      <c r="N401" s="77">
        <v>69</v>
      </c>
      <c r="O401" s="77">
        <v>18</v>
      </c>
      <c r="P401" s="77">
        <v>3.83333333333333</v>
      </c>
      <c r="Q401" s="92">
        <v>70</v>
      </c>
      <c r="R401" s="77">
        <v>10</v>
      </c>
      <c r="S401" s="77">
        <f>STOCK[[#This Row],[Peso (g)]]*STOCK[[#This Row],[Precio Envío Kilogramo (USD)]]/1000</f>
        <v>0.7</v>
      </c>
      <c r="T401" s="76">
        <f>STOCK[[#This Row],[Costo Unitario (USD)]]+STOCK[[#This Row],[Costo Envío (USD)]]+STOCK[[#This Row],[Comisión 10%]]</f>
        <v>5.73333333333333</v>
      </c>
      <c r="U401" s="77">
        <f>STOCK[[#This Row],[Costo total]]*1.5</f>
        <v>8.59999999999999</v>
      </c>
      <c r="V401" s="77">
        <v>12</v>
      </c>
      <c r="W401" s="77">
        <f>STOCK[[#This Row],[Precio Final]]-STOCK[[#This Row],[Costo total]]</f>
        <v>6.26666666666667</v>
      </c>
      <c r="X401" s="77">
        <f>STOCK[[#This Row],[Ganancia Unitaria]]*STOCK[[#This Row],[Salidas]]</f>
        <v>0</v>
      </c>
      <c r="AA401" s="77">
        <f>STOCK[[#This Row],[Costo total]]*STOCK[[#This Row],[Entradas]]</f>
        <v>5.73333333333333</v>
      </c>
      <c r="AB401" s="77">
        <f>STOCK[[#This Row],[Stock Actual]]*STOCK[[#This Row],[Costo total]]</f>
        <v>5.73333333333333</v>
      </c>
      <c r="AC401" s="77">
        <v>9</v>
      </c>
    </row>
    <row r="402" s="76" customFormat="1" ht="50" customHeight="1" spans="1:28">
      <c r="A402" s="76" t="s">
        <v>848</v>
      </c>
      <c r="B402" s="6"/>
      <c r="C402" s="76" t="s">
        <v>30</v>
      </c>
      <c r="D402" s="76" t="s">
        <v>36</v>
      </c>
      <c r="E402" s="76" t="s">
        <v>849</v>
      </c>
      <c r="F402" s="76" t="s">
        <v>47</v>
      </c>
      <c r="G402" s="76" t="s">
        <v>34</v>
      </c>
      <c r="H402" s="76">
        <f>STOCK[[#This Row],[Precio Final]]</f>
        <v>30</v>
      </c>
      <c r="I402" s="76">
        <f>STOCK[[#This Row],[Precio Venta Ideal (x1.5)]]</f>
        <v>34.5833333333334</v>
      </c>
      <c r="J402" s="91">
        <v>1</v>
      </c>
      <c r="K402" s="91">
        <f>SUMIFS(VENTAS[Cantidad],VENTAS[Código del producto Vendido],STOCK[[#This Row],[Code]])</f>
        <v>1</v>
      </c>
      <c r="L402" s="91">
        <f>STOCK[[#This Row],[Entradas]]-STOCK[[#This Row],[Salidas]]</f>
        <v>0</v>
      </c>
      <c r="M402" s="76">
        <f>STOCK[[#This Row],[Precio Final]]*10%</f>
        <v>3</v>
      </c>
      <c r="N402" s="76">
        <v>289</v>
      </c>
      <c r="O402" s="76">
        <v>18</v>
      </c>
      <c r="P402" s="76">
        <v>16.0555555555556</v>
      </c>
      <c r="Q402" s="91">
        <v>400</v>
      </c>
      <c r="R402" s="76">
        <v>10</v>
      </c>
      <c r="S402" s="76">
        <f>STOCK[[#This Row],[Peso (g)]]*STOCK[[#This Row],[Precio Envío Kilogramo (USD)]]/1000</f>
        <v>4</v>
      </c>
      <c r="T402" s="76">
        <f>STOCK[[#This Row],[Costo Unitario (USD)]]+STOCK[[#This Row],[Costo Envío (USD)]]+STOCK[[#This Row],[Comisión 10%]]</f>
        <v>23.0555555555556</v>
      </c>
      <c r="U402" s="76">
        <f>STOCK[[#This Row],[Costo total]]*1.5</f>
        <v>34.5833333333334</v>
      </c>
      <c r="V402" s="76">
        <v>30</v>
      </c>
      <c r="W402" s="76">
        <f>STOCK[[#This Row],[Precio Final]]-STOCK[[#This Row],[Costo total]]</f>
        <v>6.9444444444444</v>
      </c>
      <c r="X402" s="76">
        <f>STOCK[[#This Row],[Ganancia Unitaria]]*STOCK[[#This Row],[Salidas]]</f>
        <v>6.9444444444444</v>
      </c>
      <c r="AA402" s="76">
        <f>STOCK[[#This Row],[Costo total]]*STOCK[[#This Row],[Entradas]]</f>
        <v>23.0555555555556</v>
      </c>
      <c r="AB402" s="76">
        <f>STOCK[[#This Row],[Stock Actual]]*STOCK[[#This Row],[Costo total]]</f>
        <v>0</v>
      </c>
    </row>
    <row r="403" s="77" customFormat="1" ht="50" customHeight="1" spans="1:28">
      <c r="A403" s="77" t="s">
        <v>850</v>
      </c>
      <c r="B403" s="6"/>
      <c r="C403" s="77" t="s">
        <v>30</v>
      </c>
      <c r="D403" s="77" t="s">
        <v>42</v>
      </c>
      <c r="E403" s="77" t="s">
        <v>851</v>
      </c>
      <c r="F403" s="77" t="s">
        <v>60</v>
      </c>
      <c r="G403" s="77" t="s">
        <v>34</v>
      </c>
      <c r="H403" s="77">
        <f>STOCK[[#This Row],[Precio Final]]</f>
        <v>25</v>
      </c>
      <c r="I403" s="77">
        <f>STOCK[[#This Row],[Precio Venta Ideal (x1.5)]]</f>
        <v>28.9166666666667</v>
      </c>
      <c r="J403" s="92">
        <v>1</v>
      </c>
      <c r="K403" s="92">
        <f>SUMIFS(VENTAS[Cantidad],VENTAS[Código del producto Vendido],STOCK[[#This Row],[Code]])</f>
        <v>1</v>
      </c>
      <c r="L403" s="92">
        <f>STOCK[[#This Row],[Entradas]]-STOCK[[#This Row],[Salidas]]</f>
        <v>0</v>
      </c>
      <c r="M403" s="77">
        <f>STOCK[[#This Row],[Precio Final]]*10%</f>
        <v>2.5</v>
      </c>
      <c r="N403" s="77">
        <v>275</v>
      </c>
      <c r="O403" s="77">
        <v>18</v>
      </c>
      <c r="P403" s="77">
        <v>15.2777777777778</v>
      </c>
      <c r="Q403" s="92">
        <v>150</v>
      </c>
      <c r="R403" s="77">
        <v>10</v>
      </c>
      <c r="S403" s="77">
        <f>STOCK[[#This Row],[Peso (g)]]*STOCK[[#This Row],[Precio Envío Kilogramo (USD)]]/1000</f>
        <v>1.5</v>
      </c>
      <c r="T403" s="76">
        <f>STOCK[[#This Row],[Costo Unitario (USD)]]+STOCK[[#This Row],[Costo Envío (USD)]]+STOCK[[#This Row],[Comisión 10%]]</f>
        <v>19.2777777777778</v>
      </c>
      <c r="U403" s="77">
        <f>STOCK[[#This Row],[Costo total]]*1.5</f>
        <v>28.9166666666667</v>
      </c>
      <c r="V403" s="77">
        <v>25</v>
      </c>
      <c r="W403" s="77">
        <f>STOCK[[#This Row],[Precio Final]]-STOCK[[#This Row],[Costo total]]</f>
        <v>5.7222222222222</v>
      </c>
      <c r="X403" s="77">
        <f>STOCK[[#This Row],[Ganancia Unitaria]]*STOCK[[#This Row],[Salidas]]</f>
        <v>5.7222222222222</v>
      </c>
      <c r="AA403" s="77">
        <f>STOCK[[#This Row],[Costo total]]*STOCK[[#This Row],[Entradas]]</f>
        <v>19.2777777777778</v>
      </c>
      <c r="AB403" s="77">
        <f>STOCK[[#This Row],[Stock Actual]]*STOCK[[#This Row],[Costo total]]</f>
        <v>0</v>
      </c>
    </row>
    <row r="404" s="76" customFormat="1" ht="50" customHeight="1" spans="1:28">
      <c r="A404" s="76" t="s">
        <v>852</v>
      </c>
      <c r="B404" s="6"/>
      <c r="C404" s="76" t="s">
        <v>30</v>
      </c>
      <c r="D404" s="76" t="s">
        <v>350</v>
      </c>
      <c r="E404" s="76" t="s">
        <v>853</v>
      </c>
      <c r="F404" s="76" t="s">
        <v>44</v>
      </c>
      <c r="G404" s="76" t="s">
        <v>34</v>
      </c>
      <c r="H404" s="76">
        <f>STOCK[[#This Row],[Precio Final]]</f>
        <v>10</v>
      </c>
      <c r="I404" s="76">
        <f>STOCK[[#This Row],[Precio Venta Ideal (x1.5)]]</f>
        <v>7.36666666666666</v>
      </c>
      <c r="J404" s="91">
        <v>0</v>
      </c>
      <c r="K404" s="91">
        <f>SUMIFS(VENTAS[Cantidad],VENTAS[Código del producto Vendido],STOCK[[#This Row],[Code]])</f>
        <v>0</v>
      </c>
      <c r="L404" s="91">
        <f>STOCK[[#This Row],[Entradas]]-STOCK[[#This Row],[Salidas]]</f>
        <v>0</v>
      </c>
      <c r="M404" s="76">
        <f>STOCK[[#This Row],[Precio Final]]*10%</f>
        <v>1</v>
      </c>
      <c r="N404" s="76">
        <v>65</v>
      </c>
      <c r="O404" s="76">
        <v>18</v>
      </c>
      <c r="P404" s="76">
        <v>3.61111111111111</v>
      </c>
      <c r="Q404" s="91">
        <v>30</v>
      </c>
      <c r="R404" s="76">
        <v>10</v>
      </c>
      <c r="S404" s="76">
        <f>STOCK[[#This Row],[Peso (g)]]*STOCK[[#This Row],[Precio Envío Kilogramo (USD)]]/1000</f>
        <v>0.3</v>
      </c>
      <c r="T404" s="76">
        <f>STOCK[[#This Row],[Costo Unitario (USD)]]+STOCK[[#This Row],[Costo Envío (USD)]]+STOCK[[#This Row],[Comisión 10%]]</f>
        <v>4.91111111111111</v>
      </c>
      <c r="U404" s="76">
        <f>STOCK[[#This Row],[Costo total]]*1.5</f>
        <v>7.36666666666666</v>
      </c>
      <c r="V404" s="76">
        <v>10</v>
      </c>
      <c r="W404" s="76">
        <f>STOCK[[#This Row],[Precio Final]]-STOCK[[#This Row],[Costo total]]</f>
        <v>5.08888888888889</v>
      </c>
      <c r="X404" s="76">
        <f>STOCK[[#This Row],[Ganancia Unitaria]]*STOCK[[#This Row],[Salidas]]</f>
        <v>0</v>
      </c>
      <c r="AA404" s="76">
        <f>STOCK[[#This Row],[Costo total]]*STOCK[[#This Row],[Entradas]]</f>
        <v>0</v>
      </c>
      <c r="AB404" s="76">
        <f>STOCK[[#This Row],[Stock Actual]]*STOCK[[#This Row],[Costo total]]</f>
        <v>0</v>
      </c>
    </row>
    <row r="405" s="77" customFormat="1" ht="50" customHeight="1" spans="1:28">
      <c r="A405" s="77" t="s">
        <v>854</v>
      </c>
      <c r="B405" s="6"/>
      <c r="C405" s="77" t="s">
        <v>30</v>
      </c>
      <c r="D405" s="77" t="s">
        <v>855</v>
      </c>
      <c r="E405" s="77" t="s">
        <v>856</v>
      </c>
      <c r="F405" s="77" t="s">
        <v>524</v>
      </c>
      <c r="G405" s="77" t="s">
        <v>34</v>
      </c>
      <c r="H405" s="77">
        <f>STOCK[[#This Row],[Precio Final]]</f>
        <v>7</v>
      </c>
      <c r="I405" s="77">
        <f>STOCK[[#This Row],[Precio Venta Ideal (x1.5)]]</f>
        <v>5.66666666666667</v>
      </c>
      <c r="J405" s="92">
        <v>1</v>
      </c>
      <c r="K405" s="92">
        <f>SUMIFS(VENTAS[Cantidad],VENTAS[Código del producto Vendido],STOCK[[#This Row],[Code]])</f>
        <v>0</v>
      </c>
      <c r="L405" s="92">
        <f>STOCK[[#This Row],[Entradas]]-STOCK[[#This Row],[Salidas]]</f>
        <v>1</v>
      </c>
      <c r="M405" s="77">
        <f>STOCK[[#This Row],[Precio Final]]*10%</f>
        <v>0.7</v>
      </c>
      <c r="N405" s="77">
        <v>50</v>
      </c>
      <c r="O405" s="77">
        <v>18</v>
      </c>
      <c r="P405" s="77">
        <v>2.77777777777778</v>
      </c>
      <c r="Q405" s="92">
        <v>30</v>
      </c>
      <c r="R405" s="77">
        <v>10</v>
      </c>
      <c r="S405" s="77">
        <f>STOCK[[#This Row],[Peso (g)]]*STOCK[[#This Row],[Precio Envío Kilogramo (USD)]]/1000</f>
        <v>0.3</v>
      </c>
      <c r="T405" s="76">
        <f>STOCK[[#This Row],[Costo Unitario (USD)]]+STOCK[[#This Row],[Costo Envío (USD)]]+STOCK[[#This Row],[Comisión 10%]]</f>
        <v>3.77777777777778</v>
      </c>
      <c r="U405" s="77">
        <f>STOCK[[#This Row],[Costo total]]*1.5</f>
        <v>5.66666666666667</v>
      </c>
      <c r="V405" s="77">
        <v>7</v>
      </c>
      <c r="W405" s="77">
        <f>STOCK[[#This Row],[Precio Final]]-STOCK[[#This Row],[Costo total]]</f>
        <v>3.22222222222222</v>
      </c>
      <c r="X405" s="77">
        <f>STOCK[[#This Row],[Ganancia Unitaria]]*STOCK[[#This Row],[Salidas]]</f>
        <v>0</v>
      </c>
      <c r="AA405" s="77">
        <f>STOCK[[#This Row],[Costo total]]*STOCK[[#This Row],[Entradas]]</f>
        <v>3.77777777777778</v>
      </c>
      <c r="AB405" s="77">
        <f>STOCK[[#This Row],[Stock Actual]]*STOCK[[#This Row],[Costo total]]</f>
        <v>3.77777777777778</v>
      </c>
    </row>
    <row r="406" s="76" customFormat="1" ht="50" customHeight="1" spans="1:28">
      <c r="A406" s="76" t="s">
        <v>857</v>
      </c>
      <c r="B406" s="6"/>
      <c r="C406" s="76" t="s">
        <v>30</v>
      </c>
      <c r="D406" s="76" t="s">
        <v>42</v>
      </c>
      <c r="E406" s="76" t="s">
        <v>858</v>
      </c>
      <c r="F406" s="76" t="s">
        <v>60</v>
      </c>
      <c r="G406" s="76" t="s">
        <v>34</v>
      </c>
      <c r="H406" s="76">
        <f>STOCK[[#This Row],[Precio Final]]</f>
        <v>16</v>
      </c>
      <c r="I406" s="76">
        <f>STOCK[[#This Row],[Precio Venta Ideal (x1.5)]]</f>
        <v>16.0666666666667</v>
      </c>
      <c r="J406" s="91">
        <v>1</v>
      </c>
      <c r="K406" s="91">
        <f>SUMIFS(VENTAS[Cantidad],VENTAS[Código del producto Vendido],STOCK[[#This Row],[Code]])</f>
        <v>1</v>
      </c>
      <c r="L406" s="91">
        <f>STOCK[[#This Row],[Entradas]]-STOCK[[#This Row],[Salidas]]</f>
        <v>0</v>
      </c>
      <c r="M406" s="76">
        <f>STOCK[[#This Row],[Precio Final]]*10%</f>
        <v>1.6</v>
      </c>
      <c r="N406" s="76">
        <v>110</v>
      </c>
      <c r="O406" s="76">
        <v>18</v>
      </c>
      <c r="P406" s="76">
        <v>6.11111111111111</v>
      </c>
      <c r="Q406" s="91">
        <v>300</v>
      </c>
      <c r="R406" s="76">
        <v>10</v>
      </c>
      <c r="S406" s="76">
        <f>STOCK[[#This Row],[Peso (g)]]*STOCK[[#This Row],[Precio Envío Kilogramo (USD)]]/1000</f>
        <v>3</v>
      </c>
      <c r="T406" s="76">
        <f>STOCK[[#This Row],[Costo Unitario (USD)]]+STOCK[[#This Row],[Costo Envío (USD)]]+STOCK[[#This Row],[Comisión 10%]]</f>
        <v>10.7111111111111</v>
      </c>
      <c r="U406" s="76">
        <f>STOCK[[#This Row],[Costo total]]*1.5</f>
        <v>16.0666666666667</v>
      </c>
      <c r="V406" s="76">
        <v>16</v>
      </c>
      <c r="W406" s="76">
        <f>STOCK[[#This Row],[Precio Final]]-STOCK[[#This Row],[Costo total]]</f>
        <v>5.28888888888889</v>
      </c>
      <c r="X406" s="76">
        <f>STOCK[[#This Row],[Ganancia Unitaria]]*STOCK[[#This Row],[Salidas]]</f>
        <v>5.28888888888889</v>
      </c>
      <c r="AA406" s="76">
        <f>STOCK[[#This Row],[Costo total]]*STOCK[[#This Row],[Entradas]]</f>
        <v>10.7111111111111</v>
      </c>
      <c r="AB406" s="76">
        <f>STOCK[[#This Row],[Stock Actual]]*STOCK[[#This Row],[Costo total]]</f>
        <v>0</v>
      </c>
    </row>
    <row r="407" s="77" customFormat="1" ht="50" customHeight="1" spans="1:28">
      <c r="A407" s="77" t="s">
        <v>859</v>
      </c>
      <c r="B407" s="6"/>
      <c r="C407" s="77" t="s">
        <v>30</v>
      </c>
      <c r="D407" s="77" t="s">
        <v>42</v>
      </c>
      <c r="E407" s="77" t="s">
        <v>860</v>
      </c>
      <c r="F407" s="77" t="s">
        <v>210</v>
      </c>
      <c r="G407" s="77" t="s">
        <v>34</v>
      </c>
      <c r="H407" s="77">
        <f>STOCK[[#This Row],[Precio Final]]</f>
        <v>18</v>
      </c>
      <c r="I407" s="77">
        <f>STOCK[[#This Row],[Precio Venta Ideal (x1.5)]]</f>
        <v>16.3666666666667</v>
      </c>
      <c r="J407" s="92">
        <v>2</v>
      </c>
      <c r="K407" s="92">
        <f>SUMIFS(VENTAS[Cantidad],VENTAS[Código del producto Vendido],STOCK[[#This Row],[Code]])</f>
        <v>2</v>
      </c>
      <c r="L407" s="92">
        <f>STOCK[[#This Row],[Entradas]]-STOCK[[#This Row],[Salidas]]</f>
        <v>0</v>
      </c>
      <c r="M407" s="77">
        <f>STOCK[[#This Row],[Precio Final]]*10%</f>
        <v>1.8</v>
      </c>
      <c r="N407" s="77">
        <v>110</v>
      </c>
      <c r="O407" s="77">
        <v>18</v>
      </c>
      <c r="P407" s="77">
        <v>6.11111111111111</v>
      </c>
      <c r="Q407" s="92">
        <v>300</v>
      </c>
      <c r="R407" s="77">
        <v>10</v>
      </c>
      <c r="S407" s="77">
        <f>STOCK[[#This Row],[Peso (g)]]*STOCK[[#This Row],[Precio Envío Kilogramo (USD)]]/1000</f>
        <v>3</v>
      </c>
      <c r="T407" s="76">
        <f>STOCK[[#This Row],[Costo Unitario (USD)]]+STOCK[[#This Row],[Costo Envío (USD)]]+STOCK[[#This Row],[Comisión 10%]]</f>
        <v>10.9111111111111</v>
      </c>
      <c r="U407" s="77">
        <f>STOCK[[#This Row],[Costo total]]*1.5</f>
        <v>16.3666666666667</v>
      </c>
      <c r="V407" s="77">
        <v>18</v>
      </c>
      <c r="W407" s="77">
        <f>STOCK[[#This Row],[Precio Final]]-STOCK[[#This Row],[Costo total]]</f>
        <v>7.08888888888889</v>
      </c>
      <c r="X407" s="77">
        <f>STOCK[[#This Row],[Ganancia Unitaria]]*STOCK[[#This Row],[Salidas]]</f>
        <v>14.1777777777778</v>
      </c>
      <c r="AA407" s="77">
        <f>STOCK[[#This Row],[Costo total]]*STOCK[[#This Row],[Entradas]]</f>
        <v>21.8222222222222</v>
      </c>
      <c r="AB407" s="77">
        <f>STOCK[[#This Row],[Stock Actual]]*STOCK[[#This Row],[Costo total]]</f>
        <v>0</v>
      </c>
    </row>
    <row r="408" s="76" customFormat="1" ht="50" customHeight="1" spans="1:28">
      <c r="A408" s="76" t="s">
        <v>861</v>
      </c>
      <c r="B408" s="6"/>
      <c r="C408" s="76" t="s">
        <v>30</v>
      </c>
      <c r="D408" s="76" t="s">
        <v>36</v>
      </c>
      <c r="E408" s="76" t="s">
        <v>862</v>
      </c>
      <c r="F408" s="76" t="s">
        <v>60</v>
      </c>
      <c r="G408" s="76" t="s">
        <v>34</v>
      </c>
      <c r="H408" s="76">
        <f>STOCK[[#This Row],[Precio Final]]</f>
        <v>20</v>
      </c>
      <c r="I408" s="76">
        <f>STOCK[[#This Row],[Precio Venta Ideal (x1.5)]]</f>
        <v>23.1666666666666</v>
      </c>
      <c r="J408" s="91">
        <v>2</v>
      </c>
      <c r="K408" s="91">
        <f>SUMIFS(VENTAS[Cantidad],VENTAS[Código del producto Vendido],STOCK[[#This Row],[Code]])</f>
        <v>2</v>
      </c>
      <c r="L408" s="91">
        <f>STOCK[[#This Row],[Entradas]]-STOCK[[#This Row],[Salidas]]</f>
        <v>0</v>
      </c>
      <c r="M408" s="76">
        <f>STOCK[[#This Row],[Precio Final]]*10%</f>
        <v>2</v>
      </c>
      <c r="N408" s="76">
        <v>206</v>
      </c>
      <c r="O408" s="76">
        <v>18</v>
      </c>
      <c r="P408" s="76">
        <v>11.4444444444444</v>
      </c>
      <c r="Q408" s="91">
        <v>200</v>
      </c>
      <c r="R408" s="76">
        <v>10</v>
      </c>
      <c r="S408" s="76">
        <f>STOCK[[#This Row],[Peso (g)]]*STOCK[[#This Row],[Precio Envío Kilogramo (USD)]]/1000</f>
        <v>2</v>
      </c>
      <c r="T408" s="76">
        <f>STOCK[[#This Row],[Costo Unitario (USD)]]+STOCK[[#This Row],[Costo Envío (USD)]]+STOCK[[#This Row],[Comisión 10%]]</f>
        <v>15.4444444444444</v>
      </c>
      <c r="U408" s="76">
        <f>STOCK[[#This Row],[Costo total]]*1.5</f>
        <v>23.1666666666666</v>
      </c>
      <c r="V408" s="76">
        <v>20</v>
      </c>
      <c r="W408" s="76">
        <f>STOCK[[#This Row],[Precio Final]]-STOCK[[#This Row],[Costo total]]</f>
        <v>4.5555555555556</v>
      </c>
      <c r="X408" s="76">
        <f>STOCK[[#This Row],[Ganancia Unitaria]]*STOCK[[#This Row],[Salidas]]</f>
        <v>9.1111111111112</v>
      </c>
      <c r="AA408" s="76">
        <f>STOCK[[#This Row],[Costo total]]*STOCK[[#This Row],[Entradas]]</f>
        <v>30.8888888888888</v>
      </c>
      <c r="AB408" s="76">
        <f>STOCK[[#This Row],[Stock Actual]]*STOCK[[#This Row],[Costo total]]</f>
        <v>0</v>
      </c>
    </row>
    <row r="409" s="77" customFormat="1" ht="50" customHeight="1" spans="1:28">
      <c r="A409" s="77" t="s">
        <v>863</v>
      </c>
      <c r="B409" s="6"/>
      <c r="C409" s="77" t="s">
        <v>30</v>
      </c>
      <c r="D409" s="77" t="s">
        <v>36</v>
      </c>
      <c r="E409" s="77" t="s">
        <v>864</v>
      </c>
      <c r="F409" s="77" t="s">
        <v>47</v>
      </c>
      <c r="G409" s="77" t="s">
        <v>34</v>
      </c>
      <c r="H409" s="77">
        <f>STOCK[[#This Row],[Precio Final]]</f>
        <v>20</v>
      </c>
      <c r="I409" s="77">
        <f>STOCK[[#This Row],[Precio Venta Ideal (x1.5)]]</f>
        <v>23.1666666666666</v>
      </c>
      <c r="J409" s="92">
        <v>1</v>
      </c>
      <c r="K409" s="92">
        <f>SUMIFS(VENTAS[Cantidad],VENTAS[Código del producto Vendido],STOCK[[#This Row],[Code]])</f>
        <v>1</v>
      </c>
      <c r="L409" s="92">
        <f>STOCK[[#This Row],[Entradas]]-STOCK[[#This Row],[Salidas]]</f>
        <v>0</v>
      </c>
      <c r="M409" s="77">
        <f>STOCK[[#This Row],[Precio Final]]*10%</f>
        <v>2</v>
      </c>
      <c r="N409" s="77">
        <v>206</v>
      </c>
      <c r="O409" s="77">
        <v>18</v>
      </c>
      <c r="P409" s="77">
        <v>11.4444444444444</v>
      </c>
      <c r="Q409" s="92">
        <v>200</v>
      </c>
      <c r="R409" s="77">
        <v>10</v>
      </c>
      <c r="S409" s="77">
        <f>STOCK[[#This Row],[Peso (g)]]*STOCK[[#This Row],[Precio Envío Kilogramo (USD)]]/1000</f>
        <v>2</v>
      </c>
      <c r="T409" s="76">
        <f>STOCK[[#This Row],[Costo Unitario (USD)]]+STOCK[[#This Row],[Costo Envío (USD)]]+STOCK[[#This Row],[Comisión 10%]]</f>
        <v>15.4444444444444</v>
      </c>
      <c r="U409" s="77">
        <f>STOCK[[#This Row],[Costo total]]*1.5</f>
        <v>23.1666666666666</v>
      </c>
      <c r="V409" s="77">
        <v>20</v>
      </c>
      <c r="W409" s="77">
        <f>STOCK[[#This Row],[Precio Final]]-STOCK[[#This Row],[Costo total]]</f>
        <v>4.5555555555556</v>
      </c>
      <c r="X409" s="77">
        <f>STOCK[[#This Row],[Ganancia Unitaria]]*STOCK[[#This Row],[Salidas]]</f>
        <v>4.5555555555556</v>
      </c>
      <c r="AA409" s="77">
        <f>STOCK[[#This Row],[Costo total]]*STOCK[[#This Row],[Entradas]]</f>
        <v>15.4444444444444</v>
      </c>
      <c r="AB409" s="77">
        <f>STOCK[[#This Row],[Stock Actual]]*STOCK[[#This Row],[Costo total]]</f>
        <v>0</v>
      </c>
    </row>
    <row r="410" s="76" customFormat="1" ht="50" customHeight="1" spans="1:28">
      <c r="A410" s="76" t="s">
        <v>865</v>
      </c>
      <c r="B410" s="6"/>
      <c r="C410" s="76" t="s">
        <v>30</v>
      </c>
      <c r="D410" s="76" t="s">
        <v>215</v>
      </c>
      <c r="E410" s="76" t="s">
        <v>866</v>
      </c>
      <c r="F410" s="76" t="s">
        <v>47</v>
      </c>
      <c r="G410" s="76" t="s">
        <v>34</v>
      </c>
      <c r="H410" s="76">
        <f>STOCK[[#This Row],[Precio Final]]</f>
        <v>20</v>
      </c>
      <c r="I410" s="76">
        <f>STOCK[[#This Row],[Precio Venta Ideal (x1.5)]]</f>
        <v>16.6666666666667</v>
      </c>
      <c r="J410" s="91">
        <v>1</v>
      </c>
      <c r="K410" s="91">
        <f>SUMIFS(VENTAS[Cantidad],VENTAS[Código del producto Vendido],STOCK[[#This Row],[Code]])</f>
        <v>0</v>
      </c>
      <c r="L410" s="91">
        <f>STOCK[[#This Row],[Entradas]]-STOCK[[#This Row],[Salidas]]</f>
        <v>1</v>
      </c>
      <c r="M410" s="76">
        <f>STOCK[[#This Row],[Precio Final]]*10%</f>
        <v>2</v>
      </c>
      <c r="N410" s="76">
        <v>128</v>
      </c>
      <c r="O410" s="76">
        <v>18</v>
      </c>
      <c r="P410" s="76">
        <v>7.11111111111111</v>
      </c>
      <c r="Q410" s="91">
        <v>200</v>
      </c>
      <c r="R410" s="76">
        <v>10</v>
      </c>
      <c r="S410" s="76">
        <f>STOCK[[#This Row],[Peso (g)]]*STOCK[[#This Row],[Precio Envío Kilogramo (USD)]]/1000</f>
        <v>2</v>
      </c>
      <c r="T410" s="76">
        <f>STOCK[[#This Row],[Costo Unitario (USD)]]+STOCK[[#This Row],[Costo Envío (USD)]]+STOCK[[#This Row],[Comisión 10%]]</f>
        <v>11.1111111111111</v>
      </c>
      <c r="U410" s="76">
        <f>STOCK[[#This Row],[Costo total]]*1.5</f>
        <v>16.6666666666667</v>
      </c>
      <c r="V410" s="76">
        <v>20</v>
      </c>
      <c r="W410" s="76">
        <f>STOCK[[#This Row],[Precio Final]]-STOCK[[#This Row],[Costo total]]</f>
        <v>8.88888888888889</v>
      </c>
      <c r="X410" s="76">
        <f>STOCK[[#This Row],[Ganancia Unitaria]]*STOCK[[#This Row],[Salidas]]</f>
        <v>0</v>
      </c>
      <c r="AA410" s="76">
        <f>STOCK[[#This Row],[Costo total]]*STOCK[[#This Row],[Entradas]]</f>
        <v>11.1111111111111</v>
      </c>
      <c r="AB410" s="76">
        <f>STOCK[[#This Row],[Stock Actual]]*STOCK[[#This Row],[Costo total]]</f>
        <v>11.1111111111111</v>
      </c>
    </row>
    <row r="411" s="77" customFormat="1" ht="50" customHeight="1" spans="1:28">
      <c r="A411" s="77" t="s">
        <v>867</v>
      </c>
      <c r="B411" s="6"/>
      <c r="C411" s="77" t="s">
        <v>30</v>
      </c>
      <c r="D411" s="77" t="s">
        <v>80</v>
      </c>
      <c r="E411" s="77" t="s">
        <v>868</v>
      </c>
      <c r="F411" s="77" t="s">
        <v>204</v>
      </c>
      <c r="G411" s="77" t="s">
        <v>34</v>
      </c>
      <c r="H411" s="77">
        <f>STOCK[[#This Row],[Precio Final]]</f>
        <v>16</v>
      </c>
      <c r="I411" s="77">
        <f>STOCK[[#This Row],[Precio Venta Ideal (x1.5)]]</f>
        <v>17.9</v>
      </c>
      <c r="J411" s="92">
        <v>1</v>
      </c>
      <c r="K411" s="92">
        <f>SUMIFS(VENTAS[Cantidad],VENTAS[Código del producto Vendido],STOCK[[#This Row],[Code]])</f>
        <v>1</v>
      </c>
      <c r="L411" s="92">
        <f>STOCK[[#This Row],[Entradas]]-STOCK[[#This Row],[Salidas]]</f>
        <v>0</v>
      </c>
      <c r="M411" s="77">
        <f>STOCK[[#This Row],[Precio Final]]*10%</f>
        <v>1.6</v>
      </c>
      <c r="N411" s="77">
        <v>150</v>
      </c>
      <c r="O411" s="77">
        <v>18</v>
      </c>
      <c r="P411" s="77">
        <v>8.33333333333333</v>
      </c>
      <c r="Q411" s="92">
        <v>200</v>
      </c>
      <c r="R411" s="77">
        <v>10</v>
      </c>
      <c r="S411" s="77">
        <f>STOCK[[#This Row],[Peso (g)]]*STOCK[[#This Row],[Precio Envío Kilogramo (USD)]]/1000</f>
        <v>2</v>
      </c>
      <c r="T411" s="76">
        <f>STOCK[[#This Row],[Costo Unitario (USD)]]+STOCK[[#This Row],[Costo Envío (USD)]]+STOCK[[#This Row],[Comisión 10%]]</f>
        <v>11.9333333333333</v>
      </c>
      <c r="U411" s="77">
        <f>STOCK[[#This Row],[Costo total]]*1.5</f>
        <v>17.9</v>
      </c>
      <c r="V411" s="77">
        <v>16</v>
      </c>
      <c r="W411" s="77">
        <f>STOCK[[#This Row],[Precio Final]]-STOCK[[#This Row],[Costo total]]</f>
        <v>4.06666666666667</v>
      </c>
      <c r="X411" s="77">
        <f>STOCK[[#This Row],[Ganancia Unitaria]]*STOCK[[#This Row],[Salidas]]</f>
        <v>4.06666666666667</v>
      </c>
      <c r="AA411" s="77">
        <f>STOCK[[#This Row],[Costo total]]*STOCK[[#This Row],[Entradas]]</f>
        <v>11.9333333333333</v>
      </c>
      <c r="AB411" s="77">
        <f>STOCK[[#This Row],[Stock Actual]]*STOCK[[#This Row],[Costo total]]</f>
        <v>0</v>
      </c>
    </row>
    <row r="412" s="76" customFormat="1" ht="50" customHeight="1" spans="1:28">
      <c r="A412" s="76" t="s">
        <v>869</v>
      </c>
      <c r="B412" s="6"/>
      <c r="C412" s="76" t="s">
        <v>30</v>
      </c>
      <c r="D412" s="76" t="s">
        <v>514</v>
      </c>
      <c r="E412" s="76" t="s">
        <v>870</v>
      </c>
      <c r="F412" s="76" t="s">
        <v>539</v>
      </c>
      <c r="G412" s="76" t="s">
        <v>34</v>
      </c>
      <c r="H412" s="76">
        <f>STOCK[[#This Row],[Precio Final]]</f>
        <v>35</v>
      </c>
      <c r="I412" s="76">
        <f>STOCK[[#This Row],[Precio Venta Ideal (x1.5)]]</f>
        <v>41.25</v>
      </c>
      <c r="J412" s="91">
        <v>0</v>
      </c>
      <c r="K412" s="91">
        <f>SUMIFS(VENTAS[Cantidad],VENTAS[Código del producto Vendido],STOCK[[#This Row],[Code]])</f>
        <v>0</v>
      </c>
      <c r="L412" s="91">
        <f>STOCK[[#This Row],[Entradas]]-STOCK[[#This Row],[Salidas]]</f>
        <v>0</v>
      </c>
      <c r="M412" s="76">
        <f>STOCK[[#This Row],[Precio Final]]*10%</f>
        <v>3.5</v>
      </c>
      <c r="N412" s="76">
        <v>485</v>
      </c>
      <c r="O412" s="76">
        <v>18</v>
      </c>
      <c r="P412" s="76">
        <v>18</v>
      </c>
      <c r="Q412" s="91">
        <v>600</v>
      </c>
      <c r="R412" s="76">
        <v>10</v>
      </c>
      <c r="S412" s="76">
        <f>STOCK[[#This Row],[Peso (g)]]*STOCK[[#This Row],[Precio Envío Kilogramo (USD)]]/1000</f>
        <v>6</v>
      </c>
      <c r="T412" s="76">
        <f>STOCK[[#This Row],[Costo Unitario (USD)]]+STOCK[[#This Row],[Costo Envío (USD)]]+STOCK[[#This Row],[Comisión 10%]]</f>
        <v>27.5</v>
      </c>
      <c r="U412" s="76">
        <f>STOCK[[#This Row],[Costo total]]*1.5</f>
        <v>41.25</v>
      </c>
      <c r="V412" s="76">
        <v>35</v>
      </c>
      <c r="W412" s="76">
        <f>STOCK[[#This Row],[Precio Final]]-STOCK[[#This Row],[Costo total]]</f>
        <v>7.5</v>
      </c>
      <c r="X412" s="76">
        <f>STOCK[[#This Row],[Ganancia Unitaria]]*STOCK[[#This Row],[Salidas]]</f>
        <v>0</v>
      </c>
      <c r="AA412" s="76">
        <f>STOCK[[#This Row],[Costo total]]*STOCK[[#This Row],[Entradas]]</f>
        <v>0</v>
      </c>
      <c r="AB412" s="76">
        <f>STOCK[[#This Row],[Stock Actual]]*STOCK[[#This Row],[Costo total]]</f>
        <v>0</v>
      </c>
    </row>
    <row r="413" s="77" customFormat="1" ht="50" customHeight="1" spans="1:28">
      <c r="A413" s="77" t="s">
        <v>871</v>
      </c>
      <c r="B413" s="6"/>
      <c r="C413" s="77" t="s">
        <v>30</v>
      </c>
      <c r="D413" s="77" t="s">
        <v>741</v>
      </c>
      <c r="E413" s="77" t="s">
        <v>872</v>
      </c>
      <c r="F413" s="77" t="s">
        <v>757</v>
      </c>
      <c r="G413" s="77" t="s">
        <v>34</v>
      </c>
      <c r="H413" s="77">
        <f>STOCK[[#This Row],[Precio Final]]</f>
        <v>40</v>
      </c>
      <c r="I413" s="77">
        <f>STOCK[[#This Row],[Precio Venta Ideal (x1.5)]]</f>
        <v>56.9166666666666</v>
      </c>
      <c r="J413" s="92">
        <v>1</v>
      </c>
      <c r="K413" s="92">
        <f>SUMIFS(VENTAS[Cantidad],VENTAS[Código del producto Vendido],STOCK[[#This Row],[Code]])</f>
        <v>1</v>
      </c>
      <c r="L413" s="92">
        <f>STOCK[[#This Row],[Entradas]]-STOCK[[#This Row],[Salidas]]</f>
        <v>0</v>
      </c>
      <c r="M413" s="77">
        <f>STOCK[[#This Row],[Precio Final]]*10%</f>
        <v>4</v>
      </c>
      <c r="N413" s="77">
        <v>485</v>
      </c>
      <c r="O413" s="77">
        <v>18</v>
      </c>
      <c r="P413" s="77">
        <v>26.9444444444444</v>
      </c>
      <c r="Q413" s="92">
        <v>700</v>
      </c>
      <c r="R413" s="77">
        <v>10</v>
      </c>
      <c r="S413" s="77">
        <f>STOCK[[#This Row],[Peso (g)]]*STOCK[[#This Row],[Precio Envío Kilogramo (USD)]]/1000</f>
        <v>7</v>
      </c>
      <c r="T413" s="76">
        <f>STOCK[[#This Row],[Costo Unitario (USD)]]+STOCK[[#This Row],[Costo Envío (USD)]]+STOCK[[#This Row],[Comisión 10%]]</f>
        <v>37.9444444444444</v>
      </c>
      <c r="U413" s="77">
        <f>STOCK[[#This Row],[Costo total]]*1.5</f>
        <v>56.9166666666666</v>
      </c>
      <c r="V413" s="77">
        <v>40</v>
      </c>
      <c r="W413" s="77">
        <f>STOCK[[#This Row],[Precio Final]]-STOCK[[#This Row],[Costo total]]</f>
        <v>2.0555555555556</v>
      </c>
      <c r="X413" s="77">
        <f>STOCK[[#This Row],[Ganancia Unitaria]]*STOCK[[#This Row],[Salidas]]</f>
        <v>2.0555555555556</v>
      </c>
      <c r="AA413" s="77">
        <f>STOCK[[#This Row],[Costo total]]*STOCK[[#This Row],[Entradas]]</f>
        <v>37.9444444444444</v>
      </c>
      <c r="AB413" s="77">
        <f>STOCK[[#This Row],[Stock Actual]]*STOCK[[#This Row],[Costo total]]</f>
        <v>0</v>
      </c>
    </row>
    <row r="414" s="76" customFormat="1" ht="50" customHeight="1" spans="1:29">
      <c r="A414" s="76" t="s">
        <v>873</v>
      </c>
      <c r="B414" s="6"/>
      <c r="C414" s="76" t="s">
        <v>30</v>
      </c>
      <c r="D414" s="76" t="s">
        <v>555</v>
      </c>
      <c r="E414" s="76" t="s">
        <v>874</v>
      </c>
      <c r="F414" s="76" t="s">
        <v>539</v>
      </c>
      <c r="G414" s="76" t="s">
        <v>34</v>
      </c>
      <c r="H414" s="76">
        <f>STOCK[[#This Row],[Precio Final]]</f>
        <v>40</v>
      </c>
      <c r="I414" s="76">
        <f>STOCK[[#This Row],[Precio Venta Ideal (x1.5)]]</f>
        <v>54.1666666666667</v>
      </c>
      <c r="J414" s="91">
        <v>1</v>
      </c>
      <c r="K414" s="91">
        <f>SUMIFS(VENTAS[Cantidad],VENTAS[Código del producto Vendido],STOCK[[#This Row],[Code]])</f>
        <v>0</v>
      </c>
      <c r="L414" s="91">
        <f>STOCK[[#This Row],[Entradas]]-STOCK[[#This Row],[Salidas]]</f>
        <v>1</v>
      </c>
      <c r="M414" s="76">
        <f>STOCK[[#This Row],[Precio Final]]*10%</f>
        <v>4</v>
      </c>
      <c r="N414" s="76">
        <v>452</v>
      </c>
      <c r="O414" s="76">
        <v>18</v>
      </c>
      <c r="P414" s="76">
        <v>25.1111111111111</v>
      </c>
      <c r="Q414" s="91">
        <v>700</v>
      </c>
      <c r="R414" s="76">
        <v>10</v>
      </c>
      <c r="S414" s="76">
        <f>STOCK[[#This Row],[Peso (g)]]*STOCK[[#This Row],[Precio Envío Kilogramo (USD)]]/1000</f>
        <v>7</v>
      </c>
      <c r="T414" s="76">
        <f>STOCK[[#This Row],[Costo Unitario (USD)]]+STOCK[[#This Row],[Costo Envío (USD)]]+STOCK[[#This Row],[Comisión 10%]]</f>
        <v>36.1111111111111</v>
      </c>
      <c r="U414" s="76">
        <f>STOCK[[#This Row],[Costo total]]*1.5</f>
        <v>54.1666666666667</v>
      </c>
      <c r="V414" s="76">
        <v>40</v>
      </c>
      <c r="W414" s="76">
        <f>STOCK[[#This Row],[Precio Final]]-STOCK[[#This Row],[Costo total]]</f>
        <v>3.8888888888889</v>
      </c>
      <c r="X414" s="76">
        <f>STOCK[[#This Row],[Ganancia Unitaria]]*STOCK[[#This Row],[Salidas]]</f>
        <v>0</v>
      </c>
      <c r="AA414" s="76">
        <f>STOCK[[#This Row],[Costo total]]*STOCK[[#This Row],[Entradas]]</f>
        <v>36.1111111111111</v>
      </c>
      <c r="AB414" s="76">
        <f>STOCK[[#This Row],[Stock Actual]]*STOCK[[#This Row],[Costo total]]</f>
        <v>36.1111111111111</v>
      </c>
      <c r="AC414" s="76">
        <v>30</v>
      </c>
    </row>
    <row r="415" s="77" customFormat="1" ht="50" customHeight="1" spans="1:28">
      <c r="A415" s="77" t="s">
        <v>875</v>
      </c>
      <c r="B415" s="6"/>
      <c r="C415" s="77" t="s">
        <v>30</v>
      </c>
      <c r="D415" s="77" t="s">
        <v>545</v>
      </c>
      <c r="E415" s="77" t="s">
        <v>876</v>
      </c>
      <c r="F415" s="77" t="s">
        <v>393</v>
      </c>
      <c r="G415" s="77" t="s">
        <v>34</v>
      </c>
      <c r="H415" s="77">
        <f>STOCK[[#This Row],[Precio Final]]</f>
        <v>7</v>
      </c>
      <c r="I415" s="77">
        <f>STOCK[[#This Row],[Precio Venta Ideal (x1.5)]]</f>
        <v>6.61666666666666</v>
      </c>
      <c r="J415" s="92">
        <v>4</v>
      </c>
      <c r="K415" s="92">
        <f>SUMIFS(VENTAS[Cantidad],VENTAS[Código del producto Vendido],STOCK[[#This Row],[Code]])</f>
        <v>4</v>
      </c>
      <c r="L415" s="92">
        <f>STOCK[[#This Row],[Entradas]]-STOCK[[#This Row],[Salidas]]</f>
        <v>0</v>
      </c>
      <c r="M415" s="77">
        <f>STOCK[[#This Row],[Precio Final]]*10%</f>
        <v>0.7</v>
      </c>
      <c r="N415" s="77">
        <v>65</v>
      </c>
      <c r="O415" s="77">
        <v>18</v>
      </c>
      <c r="P415" s="77">
        <v>3.61111111111111</v>
      </c>
      <c r="Q415" s="92">
        <v>10</v>
      </c>
      <c r="R415" s="77">
        <v>10</v>
      </c>
      <c r="S415" s="77">
        <f>STOCK[[#This Row],[Peso (g)]]*STOCK[[#This Row],[Precio Envío Kilogramo (USD)]]/1000</f>
        <v>0.1</v>
      </c>
      <c r="T415" s="76">
        <f>STOCK[[#This Row],[Costo Unitario (USD)]]+STOCK[[#This Row],[Costo Envío (USD)]]+STOCK[[#This Row],[Comisión 10%]]</f>
        <v>4.41111111111111</v>
      </c>
      <c r="U415" s="77">
        <f>STOCK[[#This Row],[Costo total]]*1.5</f>
        <v>6.61666666666666</v>
      </c>
      <c r="V415" s="77">
        <v>7</v>
      </c>
      <c r="W415" s="77">
        <f>STOCK[[#This Row],[Precio Final]]-STOCK[[#This Row],[Costo total]]</f>
        <v>2.58888888888889</v>
      </c>
      <c r="X415" s="77">
        <f>STOCK[[#This Row],[Ganancia Unitaria]]*STOCK[[#This Row],[Salidas]]</f>
        <v>10.3555555555556</v>
      </c>
      <c r="AA415" s="77">
        <f>STOCK[[#This Row],[Costo total]]*STOCK[[#This Row],[Entradas]]</f>
        <v>17.6444444444444</v>
      </c>
      <c r="AB415" s="77">
        <f>STOCK[[#This Row],[Stock Actual]]*STOCK[[#This Row],[Costo total]]</f>
        <v>0</v>
      </c>
    </row>
    <row r="416" s="76" customFormat="1" ht="50" customHeight="1" spans="1:28">
      <c r="A416" s="76" t="s">
        <v>877</v>
      </c>
      <c r="B416" s="6"/>
      <c r="C416" s="76" t="s">
        <v>30</v>
      </c>
      <c r="D416" s="76" t="s">
        <v>878</v>
      </c>
      <c r="E416" s="76" t="s">
        <v>879</v>
      </c>
      <c r="F416" s="76" t="s">
        <v>880</v>
      </c>
      <c r="G416" s="76" t="s">
        <v>34</v>
      </c>
      <c r="H416" s="76">
        <f>STOCK[[#This Row],[Precio Final]]</f>
        <v>7</v>
      </c>
      <c r="I416" s="76">
        <f>STOCK[[#This Row],[Precio Venta Ideal (x1.5)]]</f>
        <v>6.61666666666666</v>
      </c>
      <c r="J416" s="91">
        <v>4</v>
      </c>
      <c r="K416" s="91">
        <f>SUMIFS(VENTAS[Cantidad],VENTAS[Código del producto Vendido],STOCK[[#This Row],[Code]])</f>
        <v>2</v>
      </c>
      <c r="L416" s="91">
        <f>STOCK[[#This Row],[Entradas]]-STOCK[[#This Row],[Salidas]]</f>
        <v>2</v>
      </c>
      <c r="M416" s="76">
        <f>STOCK[[#This Row],[Precio Final]]*10%</f>
        <v>0.7</v>
      </c>
      <c r="N416" s="76">
        <v>65</v>
      </c>
      <c r="O416" s="76">
        <v>18</v>
      </c>
      <c r="P416" s="76">
        <v>3.61111111111111</v>
      </c>
      <c r="Q416" s="91">
        <v>10</v>
      </c>
      <c r="R416" s="76">
        <v>10</v>
      </c>
      <c r="S416" s="76">
        <f>STOCK[[#This Row],[Peso (g)]]*STOCK[[#This Row],[Precio Envío Kilogramo (USD)]]/1000</f>
        <v>0.1</v>
      </c>
      <c r="T416" s="76">
        <f>STOCK[[#This Row],[Costo Unitario (USD)]]+STOCK[[#This Row],[Costo Envío (USD)]]+STOCK[[#This Row],[Comisión 10%]]</f>
        <v>4.41111111111111</v>
      </c>
      <c r="U416" s="76">
        <f>STOCK[[#This Row],[Costo total]]*1.5</f>
        <v>6.61666666666666</v>
      </c>
      <c r="V416" s="76">
        <v>7</v>
      </c>
      <c r="W416" s="76">
        <f>STOCK[[#This Row],[Precio Final]]-STOCK[[#This Row],[Costo total]]</f>
        <v>2.58888888888889</v>
      </c>
      <c r="X416" s="76">
        <f>STOCK[[#This Row],[Ganancia Unitaria]]*STOCK[[#This Row],[Salidas]]</f>
        <v>5.17777777777778</v>
      </c>
      <c r="AA416" s="76">
        <f>STOCK[[#This Row],[Costo total]]*STOCK[[#This Row],[Entradas]]</f>
        <v>17.6444444444444</v>
      </c>
      <c r="AB416" s="76">
        <f>STOCK[[#This Row],[Stock Actual]]*STOCK[[#This Row],[Costo total]]</f>
        <v>8.82222222222222</v>
      </c>
    </row>
    <row r="417" s="77" customFormat="1" ht="50" customHeight="1" spans="1:28">
      <c r="A417" s="77" t="s">
        <v>881</v>
      </c>
      <c r="B417" s="6"/>
      <c r="C417" s="77" t="s">
        <v>30</v>
      </c>
      <c r="D417" s="77" t="s">
        <v>545</v>
      </c>
      <c r="E417" s="77" t="s">
        <v>882</v>
      </c>
      <c r="F417" s="77" t="s">
        <v>60</v>
      </c>
      <c r="G417" s="77" t="s">
        <v>34</v>
      </c>
      <c r="H417" s="77">
        <f>STOCK[[#This Row],[Precio Final]]</f>
        <v>3.5</v>
      </c>
      <c r="I417" s="77">
        <f>STOCK[[#This Row],[Precio Venta Ideal (x1.5)]]</f>
        <v>3.51666666666666</v>
      </c>
      <c r="J417" s="92">
        <v>5</v>
      </c>
      <c r="K417" s="92">
        <f>SUMIFS(VENTAS[Cantidad],VENTAS[Código del producto Vendido],STOCK[[#This Row],[Code]])</f>
        <v>3</v>
      </c>
      <c r="L417" s="92">
        <f>STOCK[[#This Row],[Entradas]]-STOCK[[#This Row],[Salidas]]</f>
        <v>2</v>
      </c>
      <c r="M417" s="77">
        <f>STOCK[[#This Row],[Precio Final]]*10%</f>
        <v>0.35</v>
      </c>
      <c r="N417" s="77">
        <v>35</v>
      </c>
      <c r="O417" s="77">
        <v>18</v>
      </c>
      <c r="P417" s="77">
        <v>1.94444444444444</v>
      </c>
      <c r="Q417" s="92">
        <v>5</v>
      </c>
      <c r="R417" s="77">
        <v>10</v>
      </c>
      <c r="S417" s="77">
        <f>STOCK[[#This Row],[Peso (g)]]*STOCK[[#This Row],[Precio Envío Kilogramo (USD)]]/1000</f>
        <v>0.05</v>
      </c>
      <c r="T417" s="76">
        <f>STOCK[[#This Row],[Costo Unitario (USD)]]+STOCK[[#This Row],[Costo Envío (USD)]]+STOCK[[#This Row],[Comisión 10%]]</f>
        <v>2.34444444444444</v>
      </c>
      <c r="U417" s="77">
        <f>STOCK[[#This Row],[Costo total]]*1.5</f>
        <v>3.51666666666666</v>
      </c>
      <c r="V417" s="77">
        <v>3.5</v>
      </c>
      <c r="W417" s="77">
        <f>STOCK[[#This Row],[Precio Final]]-STOCK[[#This Row],[Costo total]]</f>
        <v>1.15555555555556</v>
      </c>
      <c r="X417" s="77">
        <f>STOCK[[#This Row],[Ganancia Unitaria]]*STOCK[[#This Row],[Salidas]]</f>
        <v>3.46666666666668</v>
      </c>
      <c r="AA417" s="77">
        <f>STOCK[[#This Row],[Costo total]]*STOCK[[#This Row],[Entradas]]</f>
        <v>11.7222222222222</v>
      </c>
      <c r="AB417" s="77">
        <f>STOCK[[#This Row],[Stock Actual]]*STOCK[[#This Row],[Costo total]]</f>
        <v>4.68888888888888</v>
      </c>
    </row>
    <row r="418" s="76" customFormat="1" ht="50" customHeight="1" spans="1:28">
      <c r="A418" s="76" t="s">
        <v>883</v>
      </c>
      <c r="B418" s="6"/>
      <c r="C418" s="76" t="s">
        <v>30</v>
      </c>
      <c r="D418" s="76" t="s">
        <v>391</v>
      </c>
      <c r="E418" s="76" t="s">
        <v>884</v>
      </c>
      <c r="F418" s="76" t="s">
        <v>885</v>
      </c>
      <c r="G418" s="76" t="s">
        <v>34</v>
      </c>
      <c r="H418" s="76">
        <f>STOCK[[#This Row],[Precio Final]]</f>
        <v>0</v>
      </c>
      <c r="I418" s="76">
        <f>STOCK[[#This Row],[Precio Venta Ideal (x1.5)]]</f>
        <v>18.1666666666667</v>
      </c>
      <c r="J418" s="91">
        <v>0</v>
      </c>
      <c r="K418" s="91">
        <f>SUMIFS(VENTAS[Cantidad],VENTAS[Código del producto Vendido],STOCK[[#This Row],[Code]])</f>
        <v>0</v>
      </c>
      <c r="L418" s="91">
        <f>STOCK[[#This Row],[Entradas]]-STOCK[[#This Row],[Salidas]]</f>
        <v>0</v>
      </c>
      <c r="M418" s="76">
        <f>STOCK[[#This Row],[Precio Final]]*10%</f>
        <v>0</v>
      </c>
      <c r="N418" s="76">
        <v>200</v>
      </c>
      <c r="O418" s="76">
        <v>18</v>
      </c>
      <c r="P418" s="76">
        <v>11.1111111111111</v>
      </c>
      <c r="Q418" s="91">
        <v>100</v>
      </c>
      <c r="R418" s="76">
        <v>10</v>
      </c>
      <c r="S418" s="76">
        <f>STOCK[[#This Row],[Peso (g)]]*STOCK[[#This Row],[Precio Envío Kilogramo (USD)]]/1000</f>
        <v>1</v>
      </c>
      <c r="T418" s="76">
        <f>STOCK[[#This Row],[Costo Unitario (USD)]]+STOCK[[#This Row],[Costo Envío (USD)]]+STOCK[[#This Row],[Comisión 10%]]</f>
        <v>12.1111111111111</v>
      </c>
      <c r="U418" s="76">
        <f>STOCK[[#This Row],[Costo total]]*1.5</f>
        <v>18.1666666666667</v>
      </c>
      <c r="V418" s="76">
        <v>0</v>
      </c>
      <c r="W418" s="76">
        <f>STOCK[[#This Row],[Precio Final]]-STOCK[[#This Row],[Costo total]]</f>
        <v>-12.1111111111111</v>
      </c>
      <c r="X418" s="76">
        <f>STOCK[[#This Row],[Ganancia Unitaria]]*STOCK[[#This Row],[Salidas]]</f>
        <v>0</v>
      </c>
      <c r="AA418" s="76">
        <f>STOCK[[#This Row],[Costo total]]*STOCK[[#This Row],[Entradas]]</f>
        <v>0</v>
      </c>
      <c r="AB418" s="76">
        <f>STOCK[[#This Row],[Stock Actual]]*STOCK[[#This Row],[Costo total]]</f>
        <v>0</v>
      </c>
    </row>
    <row r="419" s="77" customFormat="1" ht="50" customHeight="1" spans="1:28">
      <c r="A419" s="77" t="s">
        <v>886</v>
      </c>
      <c r="B419" s="6"/>
      <c r="C419" s="77" t="s">
        <v>30</v>
      </c>
      <c r="D419" s="77" t="s">
        <v>151</v>
      </c>
      <c r="E419" s="77" t="s">
        <v>887</v>
      </c>
      <c r="F419" s="77" t="s">
        <v>186</v>
      </c>
      <c r="G419" s="77" t="s">
        <v>34</v>
      </c>
      <c r="H419" s="77">
        <f>STOCK[[#This Row],[Precio Final]]</f>
        <v>8</v>
      </c>
      <c r="I419" s="77">
        <f>STOCK[[#This Row],[Precio Venta Ideal (x1.5)]]</f>
        <v>6.93333333333333</v>
      </c>
      <c r="J419" s="92">
        <v>0</v>
      </c>
      <c r="K419" s="92">
        <f>SUMIFS(VENTAS[Cantidad],VENTAS[Código del producto Vendido],STOCK[[#This Row],[Code]])</f>
        <v>0</v>
      </c>
      <c r="L419" s="92">
        <f>STOCK[[#This Row],[Entradas]]-STOCK[[#This Row],[Salidas]]</f>
        <v>0</v>
      </c>
      <c r="M419" s="77">
        <f>STOCK[[#This Row],[Precio Final]]*10%</f>
        <v>0.8</v>
      </c>
      <c r="N419" s="77">
        <v>58</v>
      </c>
      <c r="O419" s="77">
        <v>18</v>
      </c>
      <c r="P419" s="77">
        <v>3.22222222222222</v>
      </c>
      <c r="Q419" s="92">
        <v>60</v>
      </c>
      <c r="R419" s="77">
        <v>10</v>
      </c>
      <c r="S419" s="77">
        <f>STOCK[[#This Row],[Peso (g)]]*STOCK[[#This Row],[Precio Envío Kilogramo (USD)]]/1000</f>
        <v>0.6</v>
      </c>
      <c r="T419" s="76">
        <f>STOCK[[#This Row],[Costo Unitario (USD)]]+STOCK[[#This Row],[Costo Envío (USD)]]+STOCK[[#This Row],[Comisión 10%]]</f>
        <v>4.62222222222222</v>
      </c>
      <c r="U419" s="77">
        <f>STOCK[[#This Row],[Costo total]]*1.5</f>
        <v>6.93333333333333</v>
      </c>
      <c r="V419" s="77">
        <v>8</v>
      </c>
      <c r="W419" s="77">
        <f>STOCK[[#This Row],[Precio Final]]-STOCK[[#This Row],[Costo total]]</f>
        <v>3.37777777777778</v>
      </c>
      <c r="X419" s="77">
        <f>STOCK[[#This Row],[Ganancia Unitaria]]*STOCK[[#This Row],[Salidas]]</f>
        <v>0</v>
      </c>
      <c r="AA419" s="77">
        <f>STOCK[[#This Row],[Costo total]]*STOCK[[#This Row],[Entradas]]</f>
        <v>0</v>
      </c>
      <c r="AB419" s="77">
        <f>STOCK[[#This Row],[Stock Actual]]*STOCK[[#This Row],[Costo total]]</f>
        <v>0</v>
      </c>
    </row>
    <row r="420" s="76" customFormat="1" ht="50" customHeight="1" spans="1:28">
      <c r="A420" s="76" t="s">
        <v>888</v>
      </c>
      <c r="B420" s="6"/>
      <c r="C420" s="76" t="s">
        <v>30</v>
      </c>
      <c r="D420" s="76" t="s">
        <v>545</v>
      </c>
      <c r="E420" s="76" t="s">
        <v>882</v>
      </c>
      <c r="F420" s="76" t="s">
        <v>47</v>
      </c>
      <c r="G420" s="76" t="s">
        <v>34</v>
      </c>
      <c r="H420" s="76">
        <f>STOCK[[#This Row],[Precio Final]]</f>
        <v>3.5</v>
      </c>
      <c r="I420" s="76">
        <f>STOCK[[#This Row],[Precio Venta Ideal (x1.5)]]</f>
        <v>3.51666666666666</v>
      </c>
      <c r="J420" s="91">
        <v>5</v>
      </c>
      <c r="K420" s="91">
        <f>SUMIFS(VENTAS[Cantidad],VENTAS[Código del producto Vendido],STOCK[[#This Row],[Code]])</f>
        <v>3</v>
      </c>
      <c r="L420" s="91">
        <f>STOCK[[#This Row],[Entradas]]-STOCK[[#This Row],[Salidas]]</f>
        <v>2</v>
      </c>
      <c r="M420" s="76">
        <f>STOCK[[#This Row],[Precio Final]]*10%</f>
        <v>0.35</v>
      </c>
      <c r="N420" s="76">
        <v>35</v>
      </c>
      <c r="O420" s="76">
        <v>18</v>
      </c>
      <c r="P420" s="76">
        <v>1.94444444444444</v>
      </c>
      <c r="Q420" s="91">
        <v>5</v>
      </c>
      <c r="R420" s="76">
        <v>10</v>
      </c>
      <c r="S420" s="76">
        <f>STOCK[[#This Row],[Peso (g)]]*STOCK[[#This Row],[Precio Envío Kilogramo (USD)]]/1000</f>
        <v>0.05</v>
      </c>
      <c r="T420" s="76">
        <f>STOCK[[#This Row],[Costo Unitario (USD)]]+STOCK[[#This Row],[Costo Envío (USD)]]+STOCK[[#This Row],[Comisión 10%]]</f>
        <v>2.34444444444444</v>
      </c>
      <c r="U420" s="76">
        <f>STOCK[[#This Row],[Costo total]]*1.5</f>
        <v>3.51666666666666</v>
      </c>
      <c r="V420" s="76">
        <v>3.5</v>
      </c>
      <c r="W420" s="76">
        <f>STOCK[[#This Row],[Precio Final]]-STOCK[[#This Row],[Costo total]]</f>
        <v>1.15555555555556</v>
      </c>
      <c r="X420" s="76">
        <f>STOCK[[#This Row],[Ganancia Unitaria]]*STOCK[[#This Row],[Salidas]]</f>
        <v>3.46666666666668</v>
      </c>
      <c r="AA420" s="76">
        <f>STOCK[[#This Row],[Costo total]]*STOCK[[#This Row],[Entradas]]</f>
        <v>11.7222222222222</v>
      </c>
      <c r="AB420" s="76">
        <f>STOCK[[#This Row],[Stock Actual]]*STOCK[[#This Row],[Costo total]]</f>
        <v>4.68888888888888</v>
      </c>
    </row>
    <row r="421" s="77" customFormat="1" ht="50" customHeight="1" spans="1:28">
      <c r="A421" s="77" t="s">
        <v>889</v>
      </c>
      <c r="B421" s="6"/>
      <c r="C421" s="77" t="s">
        <v>30</v>
      </c>
      <c r="D421" s="77" t="s">
        <v>173</v>
      </c>
      <c r="E421" s="77" t="s">
        <v>890</v>
      </c>
      <c r="F421" s="77" t="s">
        <v>60</v>
      </c>
      <c r="G421" s="77" t="s">
        <v>34</v>
      </c>
      <c r="H421" s="77">
        <f>STOCK[[#This Row],[Precio Final]]</f>
        <v>12</v>
      </c>
      <c r="I421" s="77">
        <f>STOCK[[#This Row],[Precio Venta Ideal (x1.5)]]</f>
        <v>11.3372727272727</v>
      </c>
      <c r="J421" s="92">
        <v>4</v>
      </c>
      <c r="K421" s="92">
        <f>SUMIFS(VENTAS[Cantidad],VENTAS[Código del producto Vendido],STOCK[[#This Row],[Code]])</f>
        <v>4</v>
      </c>
      <c r="L421" s="92">
        <f>STOCK[[#This Row],[Entradas]]-STOCK[[#This Row],[Salidas]]</f>
        <v>0</v>
      </c>
      <c r="M421" s="77">
        <f>STOCK[[#This Row],[Precio Final]]*10%</f>
        <v>1.2</v>
      </c>
      <c r="N421" s="77">
        <v>76</v>
      </c>
      <c r="O421" s="77">
        <v>17.6</v>
      </c>
      <c r="P421" s="77">
        <v>4.31818181818182</v>
      </c>
      <c r="Q421" s="92">
        <v>120</v>
      </c>
      <c r="R421" s="77">
        <v>17</v>
      </c>
      <c r="S421" s="77">
        <f>STOCK[[#This Row],[Peso (g)]]*STOCK[[#This Row],[Precio Envío Kilogramo (USD)]]/1000</f>
        <v>2.04</v>
      </c>
      <c r="T421" s="76">
        <f>STOCK[[#This Row],[Costo Unitario (USD)]]+STOCK[[#This Row],[Costo Envío (USD)]]+STOCK[[#This Row],[Comisión 10%]]</f>
        <v>7.55818181818182</v>
      </c>
      <c r="U421" s="77">
        <f>STOCK[[#This Row],[Costo total]]*1.5</f>
        <v>11.3372727272727</v>
      </c>
      <c r="V421" s="77">
        <v>12</v>
      </c>
      <c r="W421" s="77">
        <f>STOCK[[#This Row],[Precio Final]]-STOCK[[#This Row],[Costo total]]</f>
        <v>4.44181818181818</v>
      </c>
      <c r="X421" s="77">
        <f>STOCK[[#This Row],[Ganancia Unitaria]]*STOCK[[#This Row],[Salidas]]</f>
        <v>17.7672727272727</v>
      </c>
      <c r="Y421" s="77" t="s">
        <v>891</v>
      </c>
      <c r="AA421" s="77">
        <f>STOCK[[#This Row],[Costo total]]*STOCK[[#This Row],[Entradas]]</f>
        <v>30.2327272727273</v>
      </c>
      <c r="AB421" s="77">
        <f>STOCK[[#This Row],[Stock Actual]]*STOCK[[#This Row],[Costo total]]</f>
        <v>0</v>
      </c>
    </row>
    <row r="422" s="76" customFormat="1" ht="50" customHeight="1" spans="1:28">
      <c r="A422" s="76" t="s">
        <v>892</v>
      </c>
      <c r="B422" s="6"/>
      <c r="C422" s="76" t="s">
        <v>30</v>
      </c>
      <c r="D422" s="76" t="s">
        <v>173</v>
      </c>
      <c r="E422" s="76" t="s">
        <v>893</v>
      </c>
      <c r="F422" s="76" t="s">
        <v>38</v>
      </c>
      <c r="G422" s="76" t="s">
        <v>34</v>
      </c>
      <c r="H422" s="76">
        <f>STOCK[[#This Row],[Precio Final]]</f>
        <v>14</v>
      </c>
      <c r="I422" s="76">
        <f>STOCK[[#This Row],[Precio Venta Ideal (x1.5)]]</f>
        <v>14.0597727272727</v>
      </c>
      <c r="J422" s="91">
        <v>2</v>
      </c>
      <c r="K422" s="91">
        <f>SUMIFS(VENTAS[Cantidad],VENTAS[Código del producto Vendido],STOCK[[#This Row],[Code]])</f>
        <v>2</v>
      </c>
      <c r="L422" s="91">
        <f>STOCK[[#This Row],[Entradas]]-STOCK[[#This Row],[Salidas]]</f>
        <v>0</v>
      </c>
      <c r="M422" s="76">
        <f>STOCK[[#This Row],[Precio Final]]*10%</f>
        <v>1.4</v>
      </c>
      <c r="N422" s="76">
        <v>76</v>
      </c>
      <c r="O422" s="76">
        <v>17.6</v>
      </c>
      <c r="P422" s="76">
        <v>4.31818181818182</v>
      </c>
      <c r="Q422" s="91">
        <v>215</v>
      </c>
      <c r="R422" s="76">
        <v>17</v>
      </c>
      <c r="S422" s="76">
        <f>STOCK[[#This Row],[Peso (g)]]*STOCK[[#This Row],[Precio Envío Kilogramo (USD)]]/1000</f>
        <v>3.655</v>
      </c>
      <c r="T422" s="76">
        <f>STOCK[[#This Row],[Costo Unitario (USD)]]+STOCK[[#This Row],[Costo Envío (USD)]]+STOCK[[#This Row],[Comisión 10%]]</f>
        <v>9.37318181818182</v>
      </c>
      <c r="U422" s="76">
        <f>STOCK[[#This Row],[Costo total]]*1.5</f>
        <v>14.0597727272727</v>
      </c>
      <c r="V422" s="76">
        <v>14</v>
      </c>
      <c r="W422" s="76">
        <f>STOCK[[#This Row],[Precio Final]]-STOCK[[#This Row],[Costo total]]</f>
        <v>4.62681818181818</v>
      </c>
      <c r="X422" s="76">
        <f>STOCK[[#This Row],[Ganancia Unitaria]]*STOCK[[#This Row],[Salidas]]</f>
        <v>9.25363636363636</v>
      </c>
      <c r="Y422" s="76" t="s">
        <v>894</v>
      </c>
      <c r="AA422" s="76">
        <f>STOCK[[#This Row],[Costo total]]*STOCK[[#This Row],[Entradas]]</f>
        <v>18.7463636363636</v>
      </c>
      <c r="AB422" s="76">
        <f>STOCK[[#This Row],[Stock Actual]]*STOCK[[#This Row],[Costo total]]</f>
        <v>0</v>
      </c>
    </row>
    <row r="423" s="77" customFormat="1" ht="50" customHeight="1" spans="1:28">
      <c r="A423" s="77" t="s">
        <v>895</v>
      </c>
      <c r="B423" s="6"/>
      <c r="C423" s="77" t="s">
        <v>30</v>
      </c>
      <c r="D423" s="77" t="s">
        <v>173</v>
      </c>
      <c r="E423" s="77" t="s">
        <v>893</v>
      </c>
      <c r="F423" s="77" t="s">
        <v>44</v>
      </c>
      <c r="G423" s="77" t="s">
        <v>34</v>
      </c>
      <c r="H423" s="77">
        <f>STOCK[[#This Row],[Precio Final]]</f>
        <v>14</v>
      </c>
      <c r="I423" s="77">
        <f>STOCK[[#This Row],[Precio Venta Ideal (x1.5)]]</f>
        <v>14.0597727272727</v>
      </c>
      <c r="J423" s="92">
        <v>2</v>
      </c>
      <c r="K423" s="92">
        <f>SUMIFS(VENTAS[Cantidad],VENTAS[Código del producto Vendido],STOCK[[#This Row],[Code]])</f>
        <v>2</v>
      </c>
      <c r="L423" s="92">
        <f>STOCK[[#This Row],[Entradas]]-STOCK[[#This Row],[Salidas]]</f>
        <v>0</v>
      </c>
      <c r="M423" s="77">
        <f>STOCK[[#This Row],[Precio Final]]*10%</f>
        <v>1.4</v>
      </c>
      <c r="N423" s="77">
        <v>76</v>
      </c>
      <c r="O423" s="77">
        <v>17.6</v>
      </c>
      <c r="P423" s="77">
        <v>4.31818181818182</v>
      </c>
      <c r="Q423" s="92">
        <v>215</v>
      </c>
      <c r="R423" s="77">
        <v>17</v>
      </c>
      <c r="S423" s="77">
        <f>STOCK[[#This Row],[Peso (g)]]*STOCK[[#This Row],[Precio Envío Kilogramo (USD)]]/1000</f>
        <v>3.655</v>
      </c>
      <c r="T423" s="76">
        <f>STOCK[[#This Row],[Costo Unitario (USD)]]+STOCK[[#This Row],[Costo Envío (USD)]]+STOCK[[#This Row],[Comisión 10%]]</f>
        <v>9.37318181818182</v>
      </c>
      <c r="U423" s="77">
        <f>STOCK[[#This Row],[Costo total]]*1.5</f>
        <v>14.0597727272727</v>
      </c>
      <c r="V423" s="77">
        <v>14</v>
      </c>
      <c r="W423" s="77">
        <f>STOCK[[#This Row],[Precio Final]]-STOCK[[#This Row],[Costo total]]</f>
        <v>4.62681818181818</v>
      </c>
      <c r="X423" s="77">
        <f>STOCK[[#This Row],[Ganancia Unitaria]]*STOCK[[#This Row],[Salidas]]</f>
        <v>9.25363636363636</v>
      </c>
      <c r="Y423" s="77" t="s">
        <v>894</v>
      </c>
      <c r="AA423" s="77">
        <f>STOCK[[#This Row],[Costo total]]*STOCK[[#This Row],[Entradas]]</f>
        <v>18.7463636363636</v>
      </c>
      <c r="AB423" s="77">
        <f>STOCK[[#This Row],[Stock Actual]]*STOCK[[#This Row],[Costo total]]</f>
        <v>0</v>
      </c>
    </row>
    <row r="424" s="76" customFormat="1" ht="50" customHeight="1" spans="1:28">
      <c r="A424" s="76" t="s">
        <v>896</v>
      </c>
      <c r="B424" s="6"/>
      <c r="C424" s="76" t="s">
        <v>30</v>
      </c>
      <c r="D424" s="76" t="s">
        <v>36</v>
      </c>
      <c r="E424" s="76" t="s">
        <v>897</v>
      </c>
      <c r="F424" s="76" t="s">
        <v>40</v>
      </c>
      <c r="G424" s="76" t="s">
        <v>34</v>
      </c>
      <c r="H424" s="76">
        <f>STOCK[[#This Row],[Precio Final]]</f>
        <v>25</v>
      </c>
      <c r="I424" s="76">
        <f>STOCK[[#This Row],[Precio Venta Ideal (x1.5)]]</f>
        <v>28.0193181818182</v>
      </c>
      <c r="J424" s="91">
        <v>1</v>
      </c>
      <c r="K424" s="91">
        <f>SUMIFS(VENTAS[Cantidad],VENTAS[Código del producto Vendido],STOCK[[#This Row],[Code]])</f>
        <v>1</v>
      </c>
      <c r="L424" s="91">
        <f>STOCK[[#This Row],[Entradas]]-STOCK[[#This Row],[Salidas]]</f>
        <v>0</v>
      </c>
      <c r="M424" s="76">
        <f>STOCK[[#This Row],[Precio Final]]*10%</f>
        <v>2.5</v>
      </c>
      <c r="N424" s="76">
        <v>195</v>
      </c>
      <c r="O424" s="76">
        <v>17.6</v>
      </c>
      <c r="P424" s="76">
        <v>11.0795454545455</v>
      </c>
      <c r="Q424" s="91">
        <v>300</v>
      </c>
      <c r="R424" s="76">
        <v>17</v>
      </c>
      <c r="S424" s="76">
        <f>STOCK[[#This Row],[Peso (g)]]*STOCK[[#This Row],[Precio Envío Kilogramo (USD)]]/1000</f>
        <v>5.1</v>
      </c>
      <c r="T424" s="76">
        <f>STOCK[[#This Row],[Costo Unitario (USD)]]+STOCK[[#This Row],[Costo Envío (USD)]]+STOCK[[#This Row],[Comisión 10%]]</f>
        <v>18.6795454545455</v>
      </c>
      <c r="U424" s="76">
        <f>STOCK[[#This Row],[Costo total]]*1.5</f>
        <v>28.0193181818182</v>
      </c>
      <c r="V424" s="76">
        <v>25</v>
      </c>
      <c r="W424" s="76">
        <f>STOCK[[#This Row],[Precio Final]]-STOCK[[#This Row],[Costo total]]</f>
        <v>6.3204545454545</v>
      </c>
      <c r="X424" s="76">
        <f>STOCK[[#This Row],[Ganancia Unitaria]]*STOCK[[#This Row],[Salidas]]</f>
        <v>6.3204545454545</v>
      </c>
      <c r="Y424" s="76" t="s">
        <v>894</v>
      </c>
      <c r="AA424" s="76">
        <f>STOCK[[#This Row],[Costo total]]*STOCK[[#This Row],[Entradas]]</f>
        <v>18.6795454545455</v>
      </c>
      <c r="AB424" s="76">
        <f>STOCK[[#This Row],[Stock Actual]]*STOCK[[#This Row],[Costo total]]</f>
        <v>0</v>
      </c>
    </row>
    <row r="425" s="77" customFormat="1" ht="50" customHeight="1" spans="1:28">
      <c r="A425" s="77" t="s">
        <v>898</v>
      </c>
      <c r="B425" s="6"/>
      <c r="C425" s="77" t="s">
        <v>30</v>
      </c>
      <c r="D425" s="77" t="s">
        <v>36</v>
      </c>
      <c r="E425" s="77" t="s">
        <v>897</v>
      </c>
      <c r="F425" s="77" t="s">
        <v>44</v>
      </c>
      <c r="G425" s="77" t="s">
        <v>34</v>
      </c>
      <c r="H425" s="77">
        <f>STOCK[[#This Row],[Precio Final]]</f>
        <v>25</v>
      </c>
      <c r="I425" s="77">
        <f>STOCK[[#This Row],[Precio Venta Ideal (x1.5)]]</f>
        <v>26.7443181818183</v>
      </c>
      <c r="J425" s="92">
        <v>2</v>
      </c>
      <c r="K425" s="92">
        <f>SUMIFS(VENTAS[Cantidad],VENTAS[Código del producto Vendido],STOCK[[#This Row],[Code]])</f>
        <v>2</v>
      </c>
      <c r="L425" s="92">
        <f>STOCK[[#This Row],[Entradas]]-STOCK[[#This Row],[Salidas]]</f>
        <v>0</v>
      </c>
      <c r="M425" s="77">
        <f>STOCK[[#This Row],[Precio Final]]*10%</f>
        <v>2.5</v>
      </c>
      <c r="N425" s="77">
        <v>195</v>
      </c>
      <c r="O425" s="77">
        <v>17.6</v>
      </c>
      <c r="P425" s="77">
        <v>11.0795454545455</v>
      </c>
      <c r="Q425" s="92">
        <v>250</v>
      </c>
      <c r="R425" s="77">
        <v>17</v>
      </c>
      <c r="S425" s="77">
        <f>STOCK[[#This Row],[Peso (g)]]*STOCK[[#This Row],[Precio Envío Kilogramo (USD)]]/1000</f>
        <v>4.25</v>
      </c>
      <c r="T425" s="76">
        <f>STOCK[[#This Row],[Costo Unitario (USD)]]+STOCK[[#This Row],[Costo Envío (USD)]]+STOCK[[#This Row],[Comisión 10%]]</f>
        <v>17.8295454545455</v>
      </c>
      <c r="U425" s="77">
        <f>STOCK[[#This Row],[Costo total]]*1.5</f>
        <v>26.7443181818183</v>
      </c>
      <c r="V425" s="77">
        <v>25</v>
      </c>
      <c r="W425" s="77">
        <f>STOCK[[#This Row],[Precio Final]]-STOCK[[#This Row],[Costo total]]</f>
        <v>7.1704545454545</v>
      </c>
      <c r="X425" s="77">
        <f>STOCK[[#This Row],[Ganancia Unitaria]]*STOCK[[#This Row],[Salidas]]</f>
        <v>14.340909090909</v>
      </c>
      <c r="Y425" s="77" t="s">
        <v>894</v>
      </c>
      <c r="AA425" s="77">
        <f>STOCK[[#This Row],[Costo total]]*STOCK[[#This Row],[Entradas]]</f>
        <v>35.659090909091</v>
      </c>
      <c r="AB425" s="77">
        <f>STOCK[[#This Row],[Stock Actual]]*STOCK[[#This Row],[Costo total]]</f>
        <v>0</v>
      </c>
    </row>
    <row r="426" s="76" customFormat="1" ht="50" customHeight="1" spans="1:28">
      <c r="A426" s="76" t="s">
        <v>899</v>
      </c>
      <c r="B426" s="6"/>
      <c r="C426" s="76" t="s">
        <v>30</v>
      </c>
      <c r="D426" s="76" t="s">
        <v>36</v>
      </c>
      <c r="E426" s="76" t="s">
        <v>897</v>
      </c>
      <c r="F426" s="76" t="s">
        <v>47</v>
      </c>
      <c r="G426" s="76" t="s">
        <v>34</v>
      </c>
      <c r="H426" s="76">
        <f>STOCK[[#This Row],[Precio Final]]</f>
        <v>25</v>
      </c>
      <c r="I426" s="76">
        <f>STOCK[[#This Row],[Precio Venta Ideal (x1.5)]]</f>
        <v>26.7443181818183</v>
      </c>
      <c r="J426" s="91">
        <v>2</v>
      </c>
      <c r="K426" s="91">
        <f>SUMIFS(VENTAS[Cantidad],VENTAS[Código del producto Vendido],STOCK[[#This Row],[Code]])</f>
        <v>2</v>
      </c>
      <c r="L426" s="91">
        <f>STOCK[[#This Row],[Entradas]]-STOCK[[#This Row],[Salidas]]</f>
        <v>0</v>
      </c>
      <c r="M426" s="76">
        <f>STOCK[[#This Row],[Precio Final]]*10%</f>
        <v>2.5</v>
      </c>
      <c r="N426" s="76">
        <v>195</v>
      </c>
      <c r="O426" s="76">
        <v>17.6</v>
      </c>
      <c r="P426" s="76">
        <v>11.0795454545455</v>
      </c>
      <c r="Q426" s="91">
        <v>250</v>
      </c>
      <c r="R426" s="76">
        <v>17</v>
      </c>
      <c r="S426" s="76">
        <f>STOCK[[#This Row],[Peso (g)]]*STOCK[[#This Row],[Precio Envío Kilogramo (USD)]]/1000</f>
        <v>4.25</v>
      </c>
      <c r="T426" s="76">
        <f>STOCK[[#This Row],[Costo Unitario (USD)]]+STOCK[[#This Row],[Costo Envío (USD)]]+STOCK[[#This Row],[Comisión 10%]]</f>
        <v>17.8295454545455</v>
      </c>
      <c r="U426" s="76">
        <f>STOCK[[#This Row],[Costo total]]*1.5</f>
        <v>26.7443181818183</v>
      </c>
      <c r="V426" s="76">
        <v>25</v>
      </c>
      <c r="W426" s="76">
        <f>STOCK[[#This Row],[Precio Final]]-STOCK[[#This Row],[Costo total]]</f>
        <v>7.1704545454545</v>
      </c>
      <c r="X426" s="76">
        <f>STOCK[[#This Row],[Ganancia Unitaria]]*STOCK[[#This Row],[Salidas]]</f>
        <v>14.340909090909</v>
      </c>
      <c r="Y426" s="76" t="s">
        <v>894</v>
      </c>
      <c r="AA426" s="76">
        <f>STOCK[[#This Row],[Costo total]]*STOCK[[#This Row],[Entradas]]</f>
        <v>35.659090909091</v>
      </c>
      <c r="AB426" s="76">
        <f>STOCK[[#This Row],[Stock Actual]]*STOCK[[#This Row],[Costo total]]</f>
        <v>0</v>
      </c>
    </row>
    <row r="427" s="77" customFormat="1" ht="50" customHeight="1" spans="1:29">
      <c r="A427" s="77" t="s">
        <v>900</v>
      </c>
      <c r="B427" s="6"/>
      <c r="C427" s="77" t="s">
        <v>30</v>
      </c>
      <c r="D427" s="77" t="s">
        <v>202</v>
      </c>
      <c r="E427" s="77" t="s">
        <v>901</v>
      </c>
      <c r="F427" s="77" t="s">
        <v>40</v>
      </c>
      <c r="G427" s="77" t="s">
        <v>34</v>
      </c>
      <c r="H427" s="77">
        <f>STOCK[[#This Row],[Precio Final]]</f>
        <v>35</v>
      </c>
      <c r="I427" s="77">
        <f>STOCK[[#This Row],[Precio Venta Ideal (x1.5)]]</f>
        <v>37.4345454545454</v>
      </c>
      <c r="J427" s="92">
        <v>1</v>
      </c>
      <c r="K427" s="92">
        <f>SUMIFS(VENTAS[Cantidad],VENTAS[Código del producto Vendido],STOCK[[#This Row],[Code]])</f>
        <v>0</v>
      </c>
      <c r="L427" s="92">
        <f>STOCK[[#This Row],[Entradas]]-STOCK[[#This Row],[Salidas]]</f>
        <v>1</v>
      </c>
      <c r="M427" s="77">
        <f>STOCK[[#This Row],[Precio Final]]*10%</f>
        <v>3.5</v>
      </c>
      <c r="N427" s="77">
        <v>240</v>
      </c>
      <c r="O427" s="77">
        <v>17.6</v>
      </c>
      <c r="P427" s="77">
        <v>13.6363636363636</v>
      </c>
      <c r="Q427" s="92">
        <v>460</v>
      </c>
      <c r="R427" s="77">
        <v>17</v>
      </c>
      <c r="S427" s="77">
        <f>STOCK[[#This Row],[Peso (g)]]*STOCK[[#This Row],[Precio Envío Kilogramo (USD)]]/1000</f>
        <v>7.82</v>
      </c>
      <c r="T427" s="76">
        <f>STOCK[[#This Row],[Costo Unitario (USD)]]+STOCK[[#This Row],[Costo Envío (USD)]]+STOCK[[#This Row],[Comisión 10%]]</f>
        <v>24.9563636363636</v>
      </c>
      <c r="U427" s="77">
        <f>STOCK[[#This Row],[Costo total]]*1.5</f>
        <v>37.4345454545454</v>
      </c>
      <c r="V427" s="77">
        <v>35</v>
      </c>
      <c r="W427" s="77">
        <f>STOCK[[#This Row],[Precio Final]]-STOCK[[#This Row],[Costo total]]</f>
        <v>10.0436363636364</v>
      </c>
      <c r="X427" s="77">
        <f>STOCK[[#This Row],[Ganancia Unitaria]]*STOCK[[#This Row],[Salidas]]</f>
        <v>0</v>
      </c>
      <c r="Y427" s="77" t="s">
        <v>894</v>
      </c>
      <c r="AA427" s="77">
        <f>STOCK[[#This Row],[Costo total]]*STOCK[[#This Row],[Entradas]]</f>
        <v>24.9563636363636</v>
      </c>
      <c r="AB427" s="77">
        <f>STOCK[[#This Row],[Stock Actual]]*STOCK[[#This Row],[Costo total]]</f>
        <v>24.9563636363636</v>
      </c>
      <c r="AC427" s="77">
        <v>30</v>
      </c>
    </row>
    <row r="428" s="76" customFormat="1" ht="50" customHeight="1" spans="1:28">
      <c r="A428" s="76" t="s">
        <v>902</v>
      </c>
      <c r="B428" s="6"/>
      <c r="C428" s="76" t="s">
        <v>30</v>
      </c>
      <c r="D428" s="76" t="s">
        <v>42</v>
      </c>
      <c r="E428" s="76" t="s">
        <v>901</v>
      </c>
      <c r="F428" s="76" t="s">
        <v>44</v>
      </c>
      <c r="G428" s="76" t="s">
        <v>34</v>
      </c>
      <c r="H428" s="76">
        <f>STOCK[[#This Row],[Precio Final]]</f>
        <v>35</v>
      </c>
      <c r="I428" s="76">
        <f>STOCK[[#This Row],[Precio Venta Ideal (x1.5)]]</f>
        <v>37.4345454545454</v>
      </c>
      <c r="J428" s="91">
        <v>1</v>
      </c>
      <c r="K428" s="91">
        <f>SUMIFS(VENTAS[Cantidad],VENTAS[Código del producto Vendido],STOCK[[#This Row],[Code]])</f>
        <v>1</v>
      </c>
      <c r="L428" s="91">
        <f>STOCK[[#This Row],[Entradas]]-STOCK[[#This Row],[Salidas]]</f>
        <v>0</v>
      </c>
      <c r="M428" s="76">
        <f>STOCK[[#This Row],[Precio Final]]*10%</f>
        <v>3.5</v>
      </c>
      <c r="N428" s="76">
        <v>240</v>
      </c>
      <c r="O428" s="76">
        <v>17.6</v>
      </c>
      <c r="P428" s="76">
        <v>13.6363636363636</v>
      </c>
      <c r="Q428" s="91">
        <v>460</v>
      </c>
      <c r="R428" s="76">
        <v>17</v>
      </c>
      <c r="S428" s="76">
        <f>STOCK[[#This Row],[Peso (g)]]*STOCK[[#This Row],[Precio Envío Kilogramo (USD)]]/1000</f>
        <v>7.82</v>
      </c>
      <c r="T428" s="76">
        <f>STOCK[[#This Row],[Costo Unitario (USD)]]+STOCK[[#This Row],[Costo Envío (USD)]]+STOCK[[#This Row],[Comisión 10%]]</f>
        <v>24.9563636363636</v>
      </c>
      <c r="U428" s="76">
        <f>STOCK[[#This Row],[Costo total]]*1.5</f>
        <v>37.4345454545454</v>
      </c>
      <c r="V428" s="76">
        <v>35</v>
      </c>
      <c r="W428" s="76">
        <f>STOCK[[#This Row],[Precio Final]]-STOCK[[#This Row],[Costo total]]</f>
        <v>10.0436363636364</v>
      </c>
      <c r="X428" s="76">
        <f>STOCK[[#This Row],[Ganancia Unitaria]]*STOCK[[#This Row],[Salidas]]</f>
        <v>10.0436363636364</v>
      </c>
      <c r="Y428" s="76" t="s">
        <v>894</v>
      </c>
      <c r="AA428" s="76">
        <f>STOCK[[#This Row],[Costo total]]*STOCK[[#This Row],[Entradas]]</f>
        <v>24.9563636363636</v>
      </c>
      <c r="AB428" s="76">
        <f>STOCK[[#This Row],[Stock Actual]]*STOCK[[#This Row],[Costo total]]</f>
        <v>0</v>
      </c>
    </row>
    <row r="429" s="77" customFormat="1" ht="50" customHeight="1" spans="1:28">
      <c r="A429" s="77" t="s">
        <v>903</v>
      </c>
      <c r="B429" s="6"/>
      <c r="C429" s="77" t="s">
        <v>30</v>
      </c>
      <c r="D429" s="77" t="s">
        <v>42</v>
      </c>
      <c r="E429" s="77" t="s">
        <v>901</v>
      </c>
      <c r="F429" s="77" t="s">
        <v>47</v>
      </c>
      <c r="G429" s="77" t="s">
        <v>34</v>
      </c>
      <c r="H429" s="77">
        <f>STOCK[[#This Row],[Precio Final]]</f>
        <v>35</v>
      </c>
      <c r="I429" s="77">
        <f>STOCK[[#This Row],[Precio Venta Ideal (x1.5)]]</f>
        <v>37.4345454545454</v>
      </c>
      <c r="J429" s="92">
        <v>1</v>
      </c>
      <c r="K429" s="92">
        <f>SUMIFS(VENTAS[Cantidad],VENTAS[Código del producto Vendido],STOCK[[#This Row],[Code]])</f>
        <v>1</v>
      </c>
      <c r="L429" s="92">
        <f>STOCK[[#This Row],[Entradas]]-STOCK[[#This Row],[Salidas]]</f>
        <v>0</v>
      </c>
      <c r="M429" s="77">
        <f>STOCK[[#This Row],[Precio Final]]*10%</f>
        <v>3.5</v>
      </c>
      <c r="N429" s="77">
        <v>240</v>
      </c>
      <c r="O429" s="77">
        <v>17.6</v>
      </c>
      <c r="P429" s="77">
        <v>13.6363636363636</v>
      </c>
      <c r="Q429" s="92">
        <v>460</v>
      </c>
      <c r="R429" s="77">
        <v>17</v>
      </c>
      <c r="S429" s="77">
        <f>STOCK[[#This Row],[Peso (g)]]*STOCK[[#This Row],[Precio Envío Kilogramo (USD)]]/1000</f>
        <v>7.82</v>
      </c>
      <c r="T429" s="76">
        <f>STOCK[[#This Row],[Costo Unitario (USD)]]+STOCK[[#This Row],[Costo Envío (USD)]]+STOCK[[#This Row],[Comisión 10%]]</f>
        <v>24.9563636363636</v>
      </c>
      <c r="U429" s="77">
        <f>STOCK[[#This Row],[Costo total]]*1.5</f>
        <v>37.4345454545454</v>
      </c>
      <c r="V429" s="77">
        <v>35</v>
      </c>
      <c r="W429" s="77">
        <f>STOCK[[#This Row],[Precio Final]]-STOCK[[#This Row],[Costo total]]</f>
        <v>10.0436363636364</v>
      </c>
      <c r="X429" s="77">
        <f>STOCK[[#This Row],[Ganancia Unitaria]]*STOCK[[#This Row],[Salidas]]</f>
        <v>10.0436363636364</v>
      </c>
      <c r="AA429" s="77">
        <f>STOCK[[#This Row],[Costo total]]*STOCK[[#This Row],[Entradas]]</f>
        <v>24.9563636363636</v>
      </c>
      <c r="AB429" s="77">
        <f>STOCK[[#This Row],[Stock Actual]]*STOCK[[#This Row],[Costo total]]</f>
        <v>0</v>
      </c>
    </row>
    <row r="430" s="76" customFormat="1" ht="50" customHeight="1" spans="1:28">
      <c r="A430" s="76" t="s">
        <v>904</v>
      </c>
      <c r="B430" s="6"/>
      <c r="C430" s="76" t="s">
        <v>30</v>
      </c>
      <c r="D430" s="76" t="s">
        <v>36</v>
      </c>
      <c r="E430" s="76" t="s">
        <v>37</v>
      </c>
      <c r="F430" s="76" t="s">
        <v>47</v>
      </c>
      <c r="G430" s="76" t="s">
        <v>34</v>
      </c>
      <c r="H430" s="76">
        <f>STOCK[[#This Row],[Precio Final]]</f>
        <v>25</v>
      </c>
      <c r="I430" s="76">
        <f>STOCK[[#This Row],[Precio Venta Ideal (x1.5)]]</f>
        <v>30.0190909090909</v>
      </c>
      <c r="J430" s="91">
        <v>1</v>
      </c>
      <c r="K430" s="91">
        <f>SUMIFS(VENTAS[Cantidad],VENTAS[Código del producto Vendido],STOCK[[#This Row],[Code]])</f>
        <v>1</v>
      </c>
      <c r="L430" s="91">
        <f>STOCK[[#This Row],[Entradas]]-STOCK[[#This Row],[Salidas]]</f>
        <v>0</v>
      </c>
      <c r="M430" s="76">
        <f>STOCK[[#This Row],[Precio Final]]*10%</f>
        <v>2.5</v>
      </c>
      <c r="N430" s="76">
        <v>205</v>
      </c>
      <c r="O430" s="76">
        <v>17.6</v>
      </c>
      <c r="P430" s="76">
        <v>11.6477272727273</v>
      </c>
      <c r="Q430" s="91">
        <v>345</v>
      </c>
      <c r="R430" s="76">
        <v>17</v>
      </c>
      <c r="S430" s="76">
        <f>STOCK[[#This Row],[Peso (g)]]*STOCK[[#This Row],[Precio Envío Kilogramo (USD)]]/1000</f>
        <v>5.865</v>
      </c>
      <c r="T430" s="76">
        <f>STOCK[[#This Row],[Costo Unitario (USD)]]+STOCK[[#This Row],[Costo Envío (USD)]]+STOCK[[#This Row],[Comisión 10%]]</f>
        <v>20.0127272727273</v>
      </c>
      <c r="U430" s="76">
        <f>STOCK[[#This Row],[Costo total]]*1.5</f>
        <v>30.0190909090909</v>
      </c>
      <c r="V430" s="76">
        <v>25</v>
      </c>
      <c r="W430" s="76">
        <f>STOCK[[#This Row],[Precio Final]]-STOCK[[#This Row],[Costo total]]</f>
        <v>4.9872727272727</v>
      </c>
      <c r="X430" s="76">
        <f>STOCK[[#This Row],[Ganancia Unitaria]]*STOCK[[#This Row],[Salidas]]</f>
        <v>4.9872727272727</v>
      </c>
      <c r="Y430" s="76" t="s">
        <v>894</v>
      </c>
      <c r="AA430" s="76">
        <f>STOCK[[#This Row],[Costo total]]*STOCK[[#This Row],[Entradas]]</f>
        <v>20.0127272727273</v>
      </c>
      <c r="AB430" s="76">
        <f>STOCK[[#This Row],[Stock Actual]]*STOCK[[#This Row],[Costo total]]</f>
        <v>0</v>
      </c>
    </row>
    <row r="431" s="77" customFormat="1" ht="50" customHeight="1" spans="1:28">
      <c r="A431" s="77" t="s">
        <v>905</v>
      </c>
      <c r="B431" s="6"/>
      <c r="C431" s="77" t="s">
        <v>30</v>
      </c>
      <c r="D431" s="77" t="s">
        <v>36</v>
      </c>
      <c r="E431" s="77" t="s">
        <v>37</v>
      </c>
      <c r="F431" s="77" t="s">
        <v>40</v>
      </c>
      <c r="G431" s="77" t="s">
        <v>34</v>
      </c>
      <c r="H431" s="77">
        <f>STOCK[[#This Row],[Precio Final]]</f>
        <v>25</v>
      </c>
      <c r="I431" s="77">
        <f>STOCK[[#This Row],[Precio Venta Ideal (x1.5)]]</f>
        <v>30.0190909090909</v>
      </c>
      <c r="J431" s="92">
        <v>3</v>
      </c>
      <c r="K431" s="92">
        <f>SUMIFS(VENTAS[Cantidad],VENTAS[Código del producto Vendido],STOCK[[#This Row],[Code]])</f>
        <v>3</v>
      </c>
      <c r="L431" s="92">
        <f>STOCK[[#This Row],[Entradas]]-STOCK[[#This Row],[Salidas]]</f>
        <v>0</v>
      </c>
      <c r="M431" s="77">
        <f>STOCK[[#This Row],[Precio Final]]*10%</f>
        <v>2.5</v>
      </c>
      <c r="N431" s="77">
        <v>205</v>
      </c>
      <c r="O431" s="77">
        <v>17.6</v>
      </c>
      <c r="P431" s="77">
        <v>11.6477272727273</v>
      </c>
      <c r="Q431" s="92">
        <v>345</v>
      </c>
      <c r="R431" s="77">
        <v>17</v>
      </c>
      <c r="S431" s="77">
        <f>STOCK[[#This Row],[Peso (g)]]*STOCK[[#This Row],[Precio Envío Kilogramo (USD)]]/1000</f>
        <v>5.865</v>
      </c>
      <c r="T431" s="76">
        <f>STOCK[[#This Row],[Costo Unitario (USD)]]+STOCK[[#This Row],[Costo Envío (USD)]]+STOCK[[#This Row],[Comisión 10%]]</f>
        <v>20.0127272727273</v>
      </c>
      <c r="U431" s="77">
        <f>STOCK[[#This Row],[Costo total]]*1.5</f>
        <v>30.0190909090909</v>
      </c>
      <c r="V431" s="77">
        <v>25</v>
      </c>
      <c r="W431" s="77">
        <f>STOCK[[#This Row],[Precio Final]]-STOCK[[#This Row],[Costo total]]</f>
        <v>4.9872727272727</v>
      </c>
      <c r="X431" s="77">
        <f>STOCK[[#This Row],[Ganancia Unitaria]]*STOCK[[#This Row],[Salidas]]</f>
        <v>14.9618181818181</v>
      </c>
      <c r="Y431" s="77" t="s">
        <v>894</v>
      </c>
      <c r="AA431" s="77">
        <f>STOCK[[#This Row],[Costo total]]*STOCK[[#This Row],[Entradas]]</f>
        <v>60.0381818181819</v>
      </c>
      <c r="AB431" s="77">
        <f>STOCK[[#This Row],[Stock Actual]]*STOCK[[#This Row],[Costo total]]</f>
        <v>0</v>
      </c>
    </row>
    <row r="432" s="76" customFormat="1" ht="50" customHeight="1" spans="1:28">
      <c r="A432" s="76" t="s">
        <v>906</v>
      </c>
      <c r="B432" s="6"/>
      <c r="C432" s="76" t="s">
        <v>30</v>
      </c>
      <c r="D432" s="76" t="s">
        <v>173</v>
      </c>
      <c r="E432" s="76" t="s">
        <v>907</v>
      </c>
      <c r="F432" s="76" t="s">
        <v>60</v>
      </c>
      <c r="G432" s="76" t="s">
        <v>34</v>
      </c>
      <c r="H432" s="76">
        <f>STOCK[[#This Row],[Precio Final]]</f>
        <v>12</v>
      </c>
      <c r="I432" s="76">
        <f>STOCK[[#This Row],[Precio Venta Ideal (x1.5)]]</f>
        <v>13.8081818181818</v>
      </c>
      <c r="J432" s="91">
        <v>3</v>
      </c>
      <c r="K432" s="91">
        <f>SUMIFS(VENTAS[Cantidad],VENTAS[Código del producto Vendido],STOCK[[#This Row],[Code]])</f>
        <v>3</v>
      </c>
      <c r="L432" s="91">
        <f>STOCK[[#This Row],[Entradas]]-STOCK[[#This Row],[Salidas]]</f>
        <v>0</v>
      </c>
      <c r="M432" s="76">
        <f>STOCK[[#This Row],[Precio Final]]*10%</f>
        <v>1.2</v>
      </c>
      <c r="N432" s="76">
        <v>102</v>
      </c>
      <c r="O432" s="76">
        <v>17.6</v>
      </c>
      <c r="P432" s="76">
        <v>5.79545454545454</v>
      </c>
      <c r="Q432" s="91">
        <v>130</v>
      </c>
      <c r="R432" s="76">
        <v>17</v>
      </c>
      <c r="S432" s="76">
        <f>STOCK[[#This Row],[Peso (g)]]*STOCK[[#This Row],[Precio Envío Kilogramo (USD)]]/1000</f>
        <v>2.21</v>
      </c>
      <c r="T432" s="76">
        <f>STOCK[[#This Row],[Costo Unitario (USD)]]+STOCK[[#This Row],[Costo Envío (USD)]]+STOCK[[#This Row],[Comisión 10%]]</f>
        <v>9.20545454545454</v>
      </c>
      <c r="U432" s="76">
        <f>STOCK[[#This Row],[Costo total]]*1.5</f>
        <v>13.8081818181818</v>
      </c>
      <c r="V432" s="76">
        <v>12</v>
      </c>
      <c r="W432" s="76">
        <f>STOCK[[#This Row],[Precio Final]]-STOCK[[#This Row],[Costo total]]</f>
        <v>2.79454545454546</v>
      </c>
      <c r="X432" s="76">
        <f>STOCK[[#This Row],[Ganancia Unitaria]]*STOCK[[#This Row],[Salidas]]</f>
        <v>8.38363636363638</v>
      </c>
      <c r="Y432" s="76" t="s">
        <v>891</v>
      </c>
      <c r="AA432" s="76">
        <f>STOCK[[#This Row],[Costo total]]*STOCK[[#This Row],[Entradas]]</f>
        <v>27.6163636363636</v>
      </c>
      <c r="AB432" s="76">
        <f>STOCK[[#This Row],[Stock Actual]]*STOCK[[#This Row],[Costo total]]</f>
        <v>0</v>
      </c>
    </row>
    <row r="433" s="77" customFormat="1" ht="50" customHeight="1" spans="1:28">
      <c r="A433" s="77" t="s">
        <v>908</v>
      </c>
      <c r="B433" s="6"/>
      <c r="C433" s="77" t="s">
        <v>30</v>
      </c>
      <c r="D433" s="77" t="s">
        <v>36</v>
      </c>
      <c r="E433" s="77" t="s">
        <v>909</v>
      </c>
      <c r="F433" s="77" t="s">
        <v>47</v>
      </c>
      <c r="G433" s="77" t="s">
        <v>34</v>
      </c>
      <c r="H433" s="77">
        <f>STOCK[[#This Row],[Precio Final]]</f>
        <v>25</v>
      </c>
      <c r="I433" s="77">
        <f>STOCK[[#This Row],[Precio Venta Ideal (x1.5)]]</f>
        <v>26.3181818181817</v>
      </c>
      <c r="J433" s="92">
        <v>1</v>
      </c>
      <c r="K433" s="92">
        <f>SUMIFS(VENTAS[Cantidad],VENTAS[Código del producto Vendido],STOCK[[#This Row],[Code]])</f>
        <v>1</v>
      </c>
      <c r="L433" s="92">
        <f>STOCK[[#This Row],[Entradas]]-STOCK[[#This Row],[Salidas]]</f>
        <v>0</v>
      </c>
      <c r="M433" s="77">
        <f>STOCK[[#This Row],[Precio Final]]*10%</f>
        <v>2.5</v>
      </c>
      <c r="N433" s="77">
        <v>190</v>
      </c>
      <c r="O433" s="77">
        <v>17.6</v>
      </c>
      <c r="P433" s="77">
        <v>10.7954545454545</v>
      </c>
      <c r="Q433" s="92">
        <v>250</v>
      </c>
      <c r="R433" s="77">
        <v>17</v>
      </c>
      <c r="S433" s="77">
        <f>STOCK[[#This Row],[Peso (g)]]*STOCK[[#This Row],[Precio Envío Kilogramo (USD)]]/1000</f>
        <v>4.25</v>
      </c>
      <c r="T433" s="76">
        <f>STOCK[[#This Row],[Costo Unitario (USD)]]+STOCK[[#This Row],[Costo Envío (USD)]]+STOCK[[#This Row],[Comisión 10%]]</f>
        <v>17.5454545454545</v>
      </c>
      <c r="U433" s="77">
        <f>STOCK[[#This Row],[Costo total]]*1.5</f>
        <v>26.3181818181817</v>
      </c>
      <c r="V433" s="77">
        <v>25</v>
      </c>
      <c r="W433" s="77">
        <f>STOCK[[#This Row],[Precio Final]]-STOCK[[#This Row],[Costo total]]</f>
        <v>7.4545454545455</v>
      </c>
      <c r="X433" s="77">
        <f>STOCK[[#This Row],[Ganancia Unitaria]]*STOCK[[#This Row],[Salidas]]</f>
        <v>7.4545454545455</v>
      </c>
      <c r="Y433" s="77" t="s">
        <v>910</v>
      </c>
      <c r="AA433" s="77">
        <f>STOCK[[#This Row],[Costo total]]*STOCK[[#This Row],[Entradas]]</f>
        <v>17.5454545454545</v>
      </c>
      <c r="AB433" s="77">
        <f>STOCK[[#This Row],[Stock Actual]]*STOCK[[#This Row],[Costo total]]</f>
        <v>0</v>
      </c>
    </row>
    <row r="434" s="76" customFormat="1" ht="50" customHeight="1" spans="1:28">
      <c r="A434" s="76" t="s">
        <v>911</v>
      </c>
      <c r="B434" s="6"/>
      <c r="C434" s="76" t="s">
        <v>30</v>
      </c>
      <c r="D434" s="76" t="s">
        <v>80</v>
      </c>
      <c r="E434" s="76" t="s">
        <v>912</v>
      </c>
      <c r="F434" s="76" t="s">
        <v>81</v>
      </c>
      <c r="G434" s="76" t="s">
        <v>34</v>
      </c>
      <c r="H434" s="76">
        <f>STOCK[[#This Row],[Precio Final]]</f>
        <v>25</v>
      </c>
      <c r="I434" s="76">
        <f>STOCK[[#This Row],[Precio Venta Ideal (x1.5)]]</f>
        <v>27.5897727272727</v>
      </c>
      <c r="J434" s="91">
        <v>3</v>
      </c>
      <c r="K434" s="91">
        <f>SUMIFS(VENTAS[Cantidad],VENTAS[Código del producto Vendido],STOCK[[#This Row],[Code]])</f>
        <v>3</v>
      </c>
      <c r="L434" s="91">
        <f>STOCK[[#This Row],[Entradas]]-STOCK[[#This Row],[Salidas]]</f>
        <v>0</v>
      </c>
      <c r="M434" s="76">
        <f>STOCK[[#This Row],[Precio Final]]*10%</f>
        <v>2.5</v>
      </c>
      <c r="N434" s="76">
        <v>175</v>
      </c>
      <c r="O434" s="76">
        <v>17.6</v>
      </c>
      <c r="P434" s="76">
        <v>9.94318181818182</v>
      </c>
      <c r="Q434" s="91">
        <v>350</v>
      </c>
      <c r="R434" s="76">
        <v>17</v>
      </c>
      <c r="S434" s="76">
        <f>STOCK[[#This Row],[Peso (g)]]*STOCK[[#This Row],[Precio Envío Kilogramo (USD)]]/1000</f>
        <v>5.95</v>
      </c>
      <c r="T434" s="76">
        <f>STOCK[[#This Row],[Costo Unitario (USD)]]+STOCK[[#This Row],[Costo Envío (USD)]]+STOCK[[#This Row],[Comisión 10%]]</f>
        <v>18.3931818181818</v>
      </c>
      <c r="U434" s="76">
        <f>STOCK[[#This Row],[Costo total]]*1.5</f>
        <v>27.5897727272727</v>
      </c>
      <c r="V434" s="76">
        <v>25</v>
      </c>
      <c r="W434" s="76">
        <f>STOCK[[#This Row],[Precio Final]]-STOCK[[#This Row],[Costo total]]</f>
        <v>6.60681818181818</v>
      </c>
      <c r="X434" s="76">
        <f>STOCK[[#This Row],[Ganancia Unitaria]]*STOCK[[#This Row],[Salidas]]</f>
        <v>19.8204545454545</v>
      </c>
      <c r="Y434" s="76" t="s">
        <v>894</v>
      </c>
      <c r="AA434" s="76">
        <f>STOCK[[#This Row],[Costo total]]*STOCK[[#This Row],[Entradas]]</f>
        <v>55.1795454545455</v>
      </c>
      <c r="AB434" s="76">
        <f>STOCK[[#This Row],[Stock Actual]]*STOCK[[#This Row],[Costo total]]</f>
        <v>0</v>
      </c>
    </row>
    <row r="435" s="77" customFormat="1" ht="50" customHeight="1" spans="1:28">
      <c r="A435" s="77" t="s">
        <v>913</v>
      </c>
      <c r="B435" s="6"/>
      <c r="C435" s="77" t="s">
        <v>30</v>
      </c>
      <c r="D435" s="77" t="s">
        <v>173</v>
      </c>
      <c r="E435" s="77" t="s">
        <v>914</v>
      </c>
      <c r="F435" s="77" t="s">
        <v>47</v>
      </c>
      <c r="G435" s="77" t="s">
        <v>34</v>
      </c>
      <c r="H435" s="77">
        <f>STOCK[[#This Row],[Precio Final]]</f>
        <v>14</v>
      </c>
      <c r="I435" s="77">
        <f>STOCK[[#This Row],[Precio Venta Ideal (x1.5)]]</f>
        <v>17.2159090909091</v>
      </c>
      <c r="J435" s="92">
        <v>2</v>
      </c>
      <c r="K435" s="92">
        <f>SUMIFS(VENTAS[Cantidad],VENTAS[Código del producto Vendido],STOCK[[#This Row],[Code]])</f>
        <v>2</v>
      </c>
      <c r="L435" s="92">
        <f>STOCK[[#This Row],[Entradas]]-STOCK[[#This Row],[Salidas]]</f>
        <v>0</v>
      </c>
      <c r="M435" s="77">
        <f>STOCK[[#This Row],[Precio Final]]*10%</f>
        <v>1.4</v>
      </c>
      <c r="N435" s="77">
        <v>125</v>
      </c>
      <c r="O435" s="77">
        <v>17.6</v>
      </c>
      <c r="P435" s="77">
        <v>7.10227272727273</v>
      </c>
      <c r="Q435" s="92">
        <v>175</v>
      </c>
      <c r="R435" s="77">
        <v>17</v>
      </c>
      <c r="S435" s="77">
        <f>STOCK[[#This Row],[Peso (g)]]*STOCK[[#This Row],[Precio Envío Kilogramo (USD)]]/1000</f>
        <v>2.975</v>
      </c>
      <c r="T435" s="76">
        <f>STOCK[[#This Row],[Costo Unitario (USD)]]+STOCK[[#This Row],[Costo Envío (USD)]]+STOCK[[#This Row],[Comisión 10%]]</f>
        <v>11.4772727272727</v>
      </c>
      <c r="U435" s="77">
        <f>STOCK[[#This Row],[Costo total]]*1.5</f>
        <v>17.2159090909091</v>
      </c>
      <c r="V435" s="77">
        <v>14</v>
      </c>
      <c r="W435" s="77">
        <f>STOCK[[#This Row],[Precio Final]]-STOCK[[#This Row],[Costo total]]</f>
        <v>2.52272727272727</v>
      </c>
      <c r="X435" s="77">
        <f>STOCK[[#This Row],[Ganancia Unitaria]]*STOCK[[#This Row],[Salidas]]</f>
        <v>5.04545454545454</v>
      </c>
      <c r="Y435" s="77" t="s">
        <v>894</v>
      </c>
      <c r="AA435" s="77">
        <f>STOCK[[#This Row],[Costo total]]*STOCK[[#This Row],[Entradas]]</f>
        <v>22.9545454545455</v>
      </c>
      <c r="AB435" s="77">
        <f>STOCK[[#This Row],[Stock Actual]]*STOCK[[#This Row],[Costo total]]</f>
        <v>0</v>
      </c>
    </row>
    <row r="436" s="76" customFormat="1" ht="50" customHeight="1" spans="1:28">
      <c r="A436" s="76" t="s">
        <v>915</v>
      </c>
      <c r="B436" s="6"/>
      <c r="C436" s="76" t="s">
        <v>30</v>
      </c>
      <c r="D436" s="76" t="s">
        <v>173</v>
      </c>
      <c r="E436" s="76" t="s">
        <v>916</v>
      </c>
      <c r="F436" s="76" t="s">
        <v>44</v>
      </c>
      <c r="G436" s="76" t="s">
        <v>34</v>
      </c>
      <c r="H436" s="76">
        <f>STOCK[[#This Row],[Precio Final]]</f>
        <v>14</v>
      </c>
      <c r="I436" s="76">
        <f>STOCK[[#This Row],[Precio Venta Ideal (x1.5)]]</f>
        <v>17.3434090909091</v>
      </c>
      <c r="J436" s="91">
        <v>1</v>
      </c>
      <c r="K436" s="91">
        <f>SUMIFS(VENTAS[Cantidad],VENTAS[Código del producto Vendido],STOCK[[#This Row],[Code]])</f>
        <v>1</v>
      </c>
      <c r="L436" s="91">
        <f>STOCK[[#This Row],[Entradas]]-STOCK[[#This Row],[Salidas]]</f>
        <v>0</v>
      </c>
      <c r="M436" s="76">
        <f>STOCK[[#This Row],[Precio Final]]*10%</f>
        <v>1.4</v>
      </c>
      <c r="N436" s="76">
        <v>125</v>
      </c>
      <c r="O436" s="76">
        <v>17.6</v>
      </c>
      <c r="P436" s="76">
        <v>7.10227272727273</v>
      </c>
      <c r="Q436" s="91">
        <v>180</v>
      </c>
      <c r="R436" s="76">
        <v>17</v>
      </c>
      <c r="S436" s="76">
        <f>STOCK[[#This Row],[Peso (g)]]*STOCK[[#This Row],[Precio Envío Kilogramo (USD)]]/1000</f>
        <v>3.06</v>
      </c>
      <c r="T436" s="76">
        <f>STOCK[[#This Row],[Costo Unitario (USD)]]+STOCK[[#This Row],[Costo Envío (USD)]]+STOCK[[#This Row],[Comisión 10%]]</f>
        <v>11.5622727272727</v>
      </c>
      <c r="U436" s="76">
        <f>STOCK[[#This Row],[Costo total]]*1.5</f>
        <v>17.3434090909091</v>
      </c>
      <c r="V436" s="76">
        <v>14</v>
      </c>
      <c r="W436" s="76">
        <f>STOCK[[#This Row],[Precio Final]]-STOCK[[#This Row],[Costo total]]</f>
        <v>2.43772727272727</v>
      </c>
      <c r="X436" s="76">
        <f>STOCK[[#This Row],[Ganancia Unitaria]]*STOCK[[#This Row],[Salidas]]</f>
        <v>2.43772727272727</v>
      </c>
      <c r="Y436" s="76" t="s">
        <v>894</v>
      </c>
      <c r="AA436" s="76">
        <f>STOCK[[#This Row],[Costo total]]*STOCK[[#This Row],[Entradas]]</f>
        <v>11.5622727272727</v>
      </c>
      <c r="AB436" s="76">
        <f>STOCK[[#This Row],[Stock Actual]]*STOCK[[#This Row],[Costo total]]</f>
        <v>0</v>
      </c>
    </row>
    <row r="437" s="77" customFormat="1" ht="50" customHeight="1" spans="1:28">
      <c r="A437" s="77" t="s">
        <v>917</v>
      </c>
      <c r="B437" s="6"/>
      <c r="C437" s="77" t="s">
        <v>30</v>
      </c>
      <c r="D437" s="77" t="s">
        <v>42</v>
      </c>
      <c r="E437" s="77" t="s">
        <v>918</v>
      </c>
      <c r="F437" s="77" t="s">
        <v>919</v>
      </c>
      <c r="G437" s="77" t="s">
        <v>34</v>
      </c>
      <c r="H437" s="77">
        <f>STOCK[[#This Row],[Precio Final]]</f>
        <v>25</v>
      </c>
      <c r="I437" s="77">
        <f>STOCK[[#This Row],[Precio Venta Ideal (x1.5)]]</f>
        <v>24.6170454545454</v>
      </c>
      <c r="J437" s="92">
        <v>2</v>
      </c>
      <c r="K437" s="92">
        <f>SUMIFS(VENTAS[Cantidad],VENTAS[Código del producto Vendido],STOCK[[#This Row],[Code]])</f>
        <v>2</v>
      </c>
      <c r="L437" s="92">
        <f>STOCK[[#This Row],[Entradas]]-STOCK[[#This Row],[Salidas]]</f>
        <v>0</v>
      </c>
      <c r="M437" s="77">
        <f>STOCK[[#This Row],[Precio Final]]*10%</f>
        <v>2.5</v>
      </c>
      <c r="N437" s="77">
        <v>185</v>
      </c>
      <c r="O437" s="77">
        <v>17.6</v>
      </c>
      <c r="P437" s="77">
        <v>10.5113636363636</v>
      </c>
      <c r="Q437" s="92">
        <v>200</v>
      </c>
      <c r="R437" s="77">
        <v>17</v>
      </c>
      <c r="S437" s="77">
        <f>STOCK[[#This Row],[Peso (g)]]*STOCK[[#This Row],[Precio Envío Kilogramo (USD)]]/1000</f>
        <v>3.4</v>
      </c>
      <c r="T437" s="76">
        <f>STOCK[[#This Row],[Costo Unitario (USD)]]+STOCK[[#This Row],[Costo Envío (USD)]]+STOCK[[#This Row],[Comisión 10%]]</f>
        <v>16.4113636363636</v>
      </c>
      <c r="U437" s="77">
        <f>STOCK[[#This Row],[Costo total]]*1.5</f>
        <v>24.6170454545454</v>
      </c>
      <c r="V437" s="77">
        <v>25</v>
      </c>
      <c r="W437" s="77">
        <f>STOCK[[#This Row],[Precio Final]]-STOCK[[#This Row],[Costo total]]</f>
        <v>8.5886363636364</v>
      </c>
      <c r="X437" s="77">
        <f>STOCK[[#This Row],[Ganancia Unitaria]]*STOCK[[#This Row],[Salidas]]</f>
        <v>17.1772727272728</v>
      </c>
      <c r="AA437" s="77">
        <f>STOCK[[#This Row],[Costo total]]*STOCK[[#This Row],[Entradas]]</f>
        <v>32.8227272727272</v>
      </c>
      <c r="AB437" s="77">
        <f>STOCK[[#This Row],[Stock Actual]]*STOCK[[#This Row],[Costo total]]</f>
        <v>0</v>
      </c>
    </row>
    <row r="438" s="76" customFormat="1" ht="50" customHeight="1" spans="1:28">
      <c r="A438" s="76" t="s">
        <v>920</v>
      </c>
      <c r="B438" s="6"/>
      <c r="C438" s="76" t="s">
        <v>30</v>
      </c>
      <c r="D438" s="76" t="s">
        <v>212</v>
      </c>
      <c r="E438" s="76" t="s">
        <v>921</v>
      </c>
      <c r="F438" s="76" t="s">
        <v>922</v>
      </c>
      <c r="G438" s="76" t="s">
        <v>34</v>
      </c>
      <c r="H438" s="76">
        <f>STOCK[[#This Row],[Precio Final]]</f>
        <v>25</v>
      </c>
      <c r="I438" s="76">
        <f>STOCK[[#This Row],[Precio Venta Ideal (x1.5)]]</f>
        <v>24.6170454545454</v>
      </c>
      <c r="J438" s="91">
        <v>2</v>
      </c>
      <c r="K438" s="91">
        <f>SUMIFS(VENTAS[Cantidad],VENTAS[Código del producto Vendido],STOCK[[#This Row],[Code]])</f>
        <v>2</v>
      </c>
      <c r="L438" s="91">
        <f>STOCK[[#This Row],[Entradas]]-STOCK[[#This Row],[Salidas]]</f>
        <v>0</v>
      </c>
      <c r="M438" s="76">
        <f>STOCK[[#This Row],[Precio Final]]*10%</f>
        <v>2.5</v>
      </c>
      <c r="N438" s="76">
        <v>185</v>
      </c>
      <c r="O438" s="76">
        <v>17.6</v>
      </c>
      <c r="P438" s="76">
        <v>10.5113636363636</v>
      </c>
      <c r="Q438" s="91">
        <v>200</v>
      </c>
      <c r="R438" s="76">
        <v>17</v>
      </c>
      <c r="S438" s="76">
        <f>STOCK[[#This Row],[Peso (g)]]*STOCK[[#This Row],[Precio Envío Kilogramo (USD)]]/1000</f>
        <v>3.4</v>
      </c>
      <c r="T438" s="76">
        <f>STOCK[[#This Row],[Costo Unitario (USD)]]+STOCK[[#This Row],[Costo Envío (USD)]]+STOCK[[#This Row],[Comisión 10%]]</f>
        <v>16.4113636363636</v>
      </c>
      <c r="U438" s="76">
        <f>STOCK[[#This Row],[Costo total]]*1.5</f>
        <v>24.6170454545454</v>
      </c>
      <c r="V438" s="76">
        <v>25</v>
      </c>
      <c r="W438" s="76">
        <f>STOCK[[#This Row],[Precio Final]]-STOCK[[#This Row],[Costo total]]</f>
        <v>8.5886363636364</v>
      </c>
      <c r="X438" s="76">
        <f>STOCK[[#This Row],[Ganancia Unitaria]]*STOCK[[#This Row],[Salidas]]</f>
        <v>17.1772727272728</v>
      </c>
      <c r="AA438" s="76">
        <f>STOCK[[#This Row],[Costo total]]*STOCK[[#This Row],[Entradas]]</f>
        <v>32.8227272727272</v>
      </c>
      <c r="AB438" s="76">
        <f>STOCK[[#This Row],[Stock Actual]]*STOCK[[#This Row],[Costo total]]</f>
        <v>0</v>
      </c>
    </row>
    <row r="439" s="77" customFormat="1" ht="50" customHeight="1" spans="1:28">
      <c r="A439" s="77" t="s">
        <v>923</v>
      </c>
      <c r="B439" s="6"/>
      <c r="C439" s="77" t="s">
        <v>30</v>
      </c>
      <c r="D439" s="77" t="s">
        <v>151</v>
      </c>
      <c r="E439" s="77" t="s">
        <v>924</v>
      </c>
      <c r="F439" s="77" t="s">
        <v>60</v>
      </c>
      <c r="G439" s="77" t="s">
        <v>34</v>
      </c>
      <c r="H439" s="77">
        <f>STOCK[[#This Row],[Precio Final]]</f>
        <v>20</v>
      </c>
      <c r="I439" s="77">
        <f>STOCK[[#This Row],[Precio Venta Ideal (x1.5)]]</f>
        <v>20.4143181818182</v>
      </c>
      <c r="J439" s="92">
        <v>1</v>
      </c>
      <c r="K439" s="92">
        <f>SUMIFS(VENTAS[Cantidad],VENTAS[Código del producto Vendido],STOCK[[#This Row],[Code]])</f>
        <v>1</v>
      </c>
      <c r="L439" s="92">
        <f>STOCK[[#This Row],[Entradas]]-STOCK[[#This Row],[Salidas]]</f>
        <v>0</v>
      </c>
      <c r="M439" s="77">
        <f>STOCK[[#This Row],[Precio Final]]*10%</f>
        <v>2</v>
      </c>
      <c r="N439" s="77">
        <v>140</v>
      </c>
      <c r="O439" s="77">
        <v>17.6</v>
      </c>
      <c r="P439" s="77">
        <v>7.95454545454545</v>
      </c>
      <c r="Q439" s="92">
        <v>215</v>
      </c>
      <c r="R439" s="77">
        <v>17</v>
      </c>
      <c r="S439" s="77">
        <f>STOCK[[#This Row],[Peso (g)]]*STOCK[[#This Row],[Precio Envío Kilogramo (USD)]]/1000</f>
        <v>3.655</v>
      </c>
      <c r="T439" s="76">
        <f>STOCK[[#This Row],[Costo Unitario (USD)]]+STOCK[[#This Row],[Costo Envío (USD)]]+STOCK[[#This Row],[Comisión 10%]]</f>
        <v>13.6095454545454</v>
      </c>
      <c r="U439" s="77">
        <f>STOCK[[#This Row],[Costo total]]*1.5</f>
        <v>20.4143181818182</v>
      </c>
      <c r="V439" s="77">
        <v>20</v>
      </c>
      <c r="W439" s="77">
        <f>STOCK[[#This Row],[Precio Final]]-STOCK[[#This Row],[Costo total]]</f>
        <v>6.39045454545455</v>
      </c>
      <c r="X439" s="77">
        <f>STOCK[[#This Row],[Ganancia Unitaria]]*STOCK[[#This Row],[Salidas]]</f>
        <v>6.39045454545455</v>
      </c>
      <c r="Y439" s="77" t="s">
        <v>894</v>
      </c>
      <c r="AA439" s="77">
        <f>STOCK[[#This Row],[Costo total]]*STOCK[[#This Row],[Entradas]]</f>
        <v>13.6095454545454</v>
      </c>
      <c r="AB439" s="77">
        <f>STOCK[[#This Row],[Stock Actual]]*STOCK[[#This Row],[Costo total]]</f>
        <v>0</v>
      </c>
    </row>
    <row r="440" s="76" customFormat="1" ht="50" customHeight="1" spans="1:28">
      <c r="A440" s="76" t="s">
        <v>925</v>
      </c>
      <c r="B440" s="6"/>
      <c r="C440" s="76" t="s">
        <v>30</v>
      </c>
      <c r="D440" s="76" t="s">
        <v>151</v>
      </c>
      <c r="E440" s="76" t="s">
        <v>924</v>
      </c>
      <c r="F440" s="76" t="s">
        <v>47</v>
      </c>
      <c r="G440" s="76" t="s">
        <v>34</v>
      </c>
      <c r="H440" s="76">
        <f>STOCK[[#This Row],[Precio Final]]</f>
        <v>20</v>
      </c>
      <c r="I440" s="76">
        <f>STOCK[[#This Row],[Precio Venta Ideal (x1.5)]]</f>
        <v>20.4143181818182</v>
      </c>
      <c r="J440" s="91">
        <v>1</v>
      </c>
      <c r="K440" s="91">
        <f>SUMIFS(VENTAS[Cantidad],VENTAS[Código del producto Vendido],STOCK[[#This Row],[Code]])</f>
        <v>1</v>
      </c>
      <c r="L440" s="91">
        <f>STOCK[[#This Row],[Entradas]]-STOCK[[#This Row],[Salidas]]</f>
        <v>0</v>
      </c>
      <c r="M440" s="76">
        <f>STOCK[[#This Row],[Precio Final]]*10%</f>
        <v>2</v>
      </c>
      <c r="N440" s="76">
        <v>140</v>
      </c>
      <c r="O440" s="76">
        <v>17.6</v>
      </c>
      <c r="P440" s="76">
        <v>7.95454545454545</v>
      </c>
      <c r="Q440" s="91">
        <v>215</v>
      </c>
      <c r="R440" s="76">
        <v>17</v>
      </c>
      <c r="S440" s="76">
        <f>STOCK[[#This Row],[Peso (g)]]*STOCK[[#This Row],[Precio Envío Kilogramo (USD)]]/1000</f>
        <v>3.655</v>
      </c>
      <c r="T440" s="76">
        <f>STOCK[[#This Row],[Costo Unitario (USD)]]+STOCK[[#This Row],[Costo Envío (USD)]]+STOCK[[#This Row],[Comisión 10%]]</f>
        <v>13.6095454545454</v>
      </c>
      <c r="U440" s="76">
        <f>STOCK[[#This Row],[Costo total]]*1.5</f>
        <v>20.4143181818182</v>
      </c>
      <c r="V440" s="76">
        <v>20</v>
      </c>
      <c r="W440" s="76">
        <f>STOCK[[#This Row],[Precio Final]]-STOCK[[#This Row],[Costo total]]</f>
        <v>6.39045454545455</v>
      </c>
      <c r="X440" s="76">
        <f>STOCK[[#This Row],[Ganancia Unitaria]]*STOCK[[#This Row],[Salidas]]</f>
        <v>6.39045454545455</v>
      </c>
      <c r="Y440" s="76" t="s">
        <v>926</v>
      </c>
      <c r="AA440" s="76">
        <f>STOCK[[#This Row],[Costo total]]*STOCK[[#This Row],[Entradas]]</f>
        <v>13.6095454545454</v>
      </c>
      <c r="AB440" s="76">
        <f>STOCK[[#This Row],[Stock Actual]]*STOCK[[#This Row],[Costo total]]</f>
        <v>0</v>
      </c>
    </row>
    <row r="441" s="77" customFormat="1" ht="50" customHeight="1" spans="1:28">
      <c r="A441" s="77" t="s">
        <v>927</v>
      </c>
      <c r="B441" s="6"/>
      <c r="C441" s="77" t="s">
        <v>30</v>
      </c>
      <c r="D441" s="77" t="s">
        <v>151</v>
      </c>
      <c r="E441" s="77" t="s">
        <v>924</v>
      </c>
      <c r="F441" s="77" t="s">
        <v>44</v>
      </c>
      <c r="G441" s="77" t="s">
        <v>34</v>
      </c>
      <c r="H441" s="77">
        <f>STOCK[[#This Row],[Precio Final]]</f>
        <v>20</v>
      </c>
      <c r="I441" s="77">
        <f>STOCK[[#This Row],[Precio Venta Ideal (x1.5)]]</f>
        <v>20.4143181818182</v>
      </c>
      <c r="J441" s="92">
        <v>1</v>
      </c>
      <c r="K441" s="92">
        <f>SUMIFS(VENTAS[Cantidad],VENTAS[Código del producto Vendido],STOCK[[#This Row],[Code]])</f>
        <v>1</v>
      </c>
      <c r="L441" s="92">
        <f>STOCK[[#This Row],[Entradas]]-STOCK[[#This Row],[Salidas]]</f>
        <v>0</v>
      </c>
      <c r="M441" s="77">
        <f>STOCK[[#This Row],[Precio Final]]*10%</f>
        <v>2</v>
      </c>
      <c r="N441" s="77">
        <v>140</v>
      </c>
      <c r="O441" s="77">
        <v>17.6</v>
      </c>
      <c r="P441" s="77">
        <v>7.95454545454545</v>
      </c>
      <c r="Q441" s="92">
        <v>215</v>
      </c>
      <c r="R441" s="77">
        <v>17</v>
      </c>
      <c r="S441" s="77">
        <f>STOCK[[#This Row],[Peso (g)]]*STOCK[[#This Row],[Precio Envío Kilogramo (USD)]]/1000</f>
        <v>3.655</v>
      </c>
      <c r="T441" s="76">
        <f>STOCK[[#This Row],[Costo Unitario (USD)]]+STOCK[[#This Row],[Costo Envío (USD)]]+STOCK[[#This Row],[Comisión 10%]]</f>
        <v>13.6095454545454</v>
      </c>
      <c r="U441" s="77">
        <f>STOCK[[#This Row],[Costo total]]*1.5</f>
        <v>20.4143181818182</v>
      </c>
      <c r="V441" s="77">
        <v>20</v>
      </c>
      <c r="W441" s="77">
        <f>STOCK[[#This Row],[Precio Final]]-STOCK[[#This Row],[Costo total]]</f>
        <v>6.39045454545455</v>
      </c>
      <c r="X441" s="77">
        <f>STOCK[[#This Row],[Ganancia Unitaria]]*STOCK[[#This Row],[Salidas]]</f>
        <v>6.39045454545455</v>
      </c>
      <c r="Y441" s="77" t="s">
        <v>894</v>
      </c>
      <c r="AA441" s="77">
        <f>STOCK[[#This Row],[Costo total]]*STOCK[[#This Row],[Entradas]]</f>
        <v>13.6095454545454</v>
      </c>
      <c r="AB441" s="77">
        <f>STOCK[[#This Row],[Stock Actual]]*STOCK[[#This Row],[Costo total]]</f>
        <v>0</v>
      </c>
    </row>
    <row r="442" s="76" customFormat="1" ht="50" customHeight="1" spans="1:28">
      <c r="A442" s="76" t="s">
        <v>928</v>
      </c>
      <c r="B442" s="6"/>
      <c r="C442" s="76" t="s">
        <v>30</v>
      </c>
      <c r="D442" s="76" t="s">
        <v>151</v>
      </c>
      <c r="E442" s="76" t="s">
        <v>929</v>
      </c>
      <c r="F442" s="76" t="s">
        <v>38</v>
      </c>
      <c r="G442" s="76" t="s">
        <v>34</v>
      </c>
      <c r="H442" s="76">
        <f>STOCK[[#This Row],[Precio Final]]</f>
        <v>15</v>
      </c>
      <c r="I442" s="76">
        <f>STOCK[[#This Row],[Precio Venta Ideal (x1.5)]]</f>
        <v>14.0004545454545</v>
      </c>
      <c r="J442" s="91">
        <v>1</v>
      </c>
      <c r="K442" s="91">
        <f>SUMIFS(VENTAS[Cantidad],VENTAS[Código del producto Vendido],STOCK[[#This Row],[Code]])</f>
        <v>0</v>
      </c>
      <c r="L442" s="91">
        <f>STOCK[[#This Row],[Entradas]]-STOCK[[#This Row],[Salidas]]</f>
        <v>1</v>
      </c>
      <c r="M442" s="76">
        <f>STOCK[[#This Row],[Precio Final]]*10%</f>
        <v>1.5</v>
      </c>
      <c r="N442" s="76">
        <v>90</v>
      </c>
      <c r="O442" s="76">
        <v>17.6</v>
      </c>
      <c r="P442" s="76">
        <v>5.11363636363636</v>
      </c>
      <c r="Q442" s="91">
        <v>160</v>
      </c>
      <c r="R442" s="76">
        <v>17</v>
      </c>
      <c r="S442" s="76">
        <f>STOCK[[#This Row],[Peso (g)]]*STOCK[[#This Row],[Precio Envío Kilogramo (USD)]]/1000</f>
        <v>2.72</v>
      </c>
      <c r="T442" s="76">
        <f>STOCK[[#This Row],[Costo Unitario (USD)]]+STOCK[[#This Row],[Costo Envío (USD)]]+STOCK[[#This Row],[Comisión 10%]]</f>
        <v>9.33363636363636</v>
      </c>
      <c r="U442" s="76">
        <f>STOCK[[#This Row],[Costo total]]*1.5</f>
        <v>14.0004545454545</v>
      </c>
      <c r="V442" s="76">
        <v>15</v>
      </c>
      <c r="W442" s="76">
        <f>STOCK[[#This Row],[Precio Final]]-STOCK[[#This Row],[Costo total]]</f>
        <v>5.66636363636364</v>
      </c>
      <c r="X442" s="76">
        <f>STOCK[[#This Row],[Ganancia Unitaria]]*STOCK[[#This Row],[Salidas]]</f>
        <v>0</v>
      </c>
      <c r="AA442" s="76">
        <f>STOCK[[#This Row],[Costo total]]*STOCK[[#This Row],[Entradas]]</f>
        <v>9.33363636363636</v>
      </c>
      <c r="AB442" s="76">
        <f>STOCK[[#This Row],[Stock Actual]]*STOCK[[#This Row],[Costo total]]</f>
        <v>9.33363636363636</v>
      </c>
    </row>
    <row r="443" s="77" customFormat="1" ht="50" customHeight="1" spans="1:28">
      <c r="A443" s="77" t="s">
        <v>930</v>
      </c>
      <c r="B443" s="6"/>
      <c r="C443" s="77" t="s">
        <v>30</v>
      </c>
      <c r="D443" s="77" t="s">
        <v>151</v>
      </c>
      <c r="E443" s="77" t="s">
        <v>929</v>
      </c>
      <c r="F443" s="77" t="s">
        <v>60</v>
      </c>
      <c r="G443" s="77" t="s">
        <v>34</v>
      </c>
      <c r="H443" s="77">
        <f>STOCK[[#This Row],[Precio Final]]</f>
        <v>15</v>
      </c>
      <c r="I443" s="77">
        <f>STOCK[[#This Row],[Precio Venta Ideal (x1.5)]]</f>
        <v>14.0004545454545</v>
      </c>
      <c r="J443" s="92">
        <v>2</v>
      </c>
      <c r="K443" s="92">
        <f>SUMIFS(VENTAS[Cantidad],VENTAS[Código del producto Vendido],STOCK[[#This Row],[Code]])</f>
        <v>1</v>
      </c>
      <c r="L443" s="92">
        <f>STOCK[[#This Row],[Entradas]]-STOCK[[#This Row],[Salidas]]</f>
        <v>1</v>
      </c>
      <c r="M443" s="77">
        <f>STOCK[[#This Row],[Precio Final]]*10%</f>
        <v>1.5</v>
      </c>
      <c r="N443" s="77">
        <v>90</v>
      </c>
      <c r="O443" s="77">
        <v>17.6</v>
      </c>
      <c r="P443" s="77">
        <v>5.11363636363636</v>
      </c>
      <c r="Q443" s="92">
        <v>160</v>
      </c>
      <c r="R443" s="77">
        <v>17</v>
      </c>
      <c r="S443" s="77">
        <f>STOCK[[#This Row],[Peso (g)]]*STOCK[[#This Row],[Precio Envío Kilogramo (USD)]]/1000</f>
        <v>2.72</v>
      </c>
      <c r="T443" s="76">
        <f>STOCK[[#This Row],[Costo Unitario (USD)]]+STOCK[[#This Row],[Costo Envío (USD)]]+STOCK[[#This Row],[Comisión 10%]]</f>
        <v>9.33363636363636</v>
      </c>
      <c r="U443" s="77">
        <f>STOCK[[#This Row],[Costo total]]*1.5</f>
        <v>14.0004545454545</v>
      </c>
      <c r="V443" s="77">
        <v>15</v>
      </c>
      <c r="W443" s="77">
        <f>STOCK[[#This Row],[Precio Final]]-STOCK[[#This Row],[Costo total]]</f>
        <v>5.66636363636364</v>
      </c>
      <c r="X443" s="77">
        <f>STOCK[[#This Row],[Ganancia Unitaria]]*STOCK[[#This Row],[Salidas]]</f>
        <v>5.66636363636364</v>
      </c>
      <c r="AA443" s="77">
        <f>STOCK[[#This Row],[Costo total]]*STOCK[[#This Row],[Entradas]]</f>
        <v>18.6672727272727</v>
      </c>
      <c r="AB443" s="77">
        <f>STOCK[[#This Row],[Stock Actual]]*STOCK[[#This Row],[Costo total]]</f>
        <v>9.33363636363636</v>
      </c>
    </row>
    <row r="444" s="76" customFormat="1" ht="50" customHeight="1" spans="1:28">
      <c r="A444" s="76" t="s">
        <v>931</v>
      </c>
      <c r="B444" s="6"/>
      <c r="C444" s="76" t="s">
        <v>30</v>
      </c>
      <c r="D444" s="76" t="s">
        <v>151</v>
      </c>
      <c r="E444" s="76" t="s">
        <v>929</v>
      </c>
      <c r="F444" s="76" t="s">
        <v>47</v>
      </c>
      <c r="G444" s="76" t="s">
        <v>34</v>
      </c>
      <c r="H444" s="76">
        <f>STOCK[[#This Row],[Precio Final]]</f>
        <v>15</v>
      </c>
      <c r="I444" s="76">
        <f>STOCK[[#This Row],[Precio Venta Ideal (x1.5)]]</f>
        <v>13.8729545454545</v>
      </c>
      <c r="J444" s="91">
        <v>2</v>
      </c>
      <c r="K444" s="91">
        <f>SUMIFS(VENTAS[Cantidad],VENTAS[Código del producto Vendido],STOCK[[#This Row],[Code]])</f>
        <v>1</v>
      </c>
      <c r="L444" s="91">
        <f>STOCK[[#This Row],[Entradas]]-STOCK[[#This Row],[Salidas]]</f>
        <v>1</v>
      </c>
      <c r="M444" s="76">
        <f>STOCK[[#This Row],[Precio Final]]*10%</f>
        <v>1.5</v>
      </c>
      <c r="N444" s="76">
        <v>90</v>
      </c>
      <c r="O444" s="76">
        <v>17.6</v>
      </c>
      <c r="P444" s="76">
        <v>5.11363636363636</v>
      </c>
      <c r="Q444" s="91">
        <v>155</v>
      </c>
      <c r="R444" s="76">
        <v>17</v>
      </c>
      <c r="S444" s="76">
        <f>STOCK[[#This Row],[Peso (g)]]*STOCK[[#This Row],[Precio Envío Kilogramo (USD)]]/1000</f>
        <v>2.635</v>
      </c>
      <c r="T444" s="76">
        <f>STOCK[[#This Row],[Costo Unitario (USD)]]+STOCK[[#This Row],[Costo Envío (USD)]]+STOCK[[#This Row],[Comisión 10%]]</f>
        <v>9.24863636363636</v>
      </c>
      <c r="U444" s="76">
        <f>STOCK[[#This Row],[Costo total]]*1.5</f>
        <v>13.8729545454545</v>
      </c>
      <c r="V444" s="76">
        <v>15</v>
      </c>
      <c r="W444" s="76">
        <f>STOCK[[#This Row],[Precio Final]]-STOCK[[#This Row],[Costo total]]</f>
        <v>5.75136363636364</v>
      </c>
      <c r="X444" s="76">
        <f>STOCK[[#This Row],[Ganancia Unitaria]]*STOCK[[#This Row],[Salidas]]</f>
        <v>5.75136363636364</v>
      </c>
      <c r="AA444" s="76">
        <f>STOCK[[#This Row],[Costo total]]*STOCK[[#This Row],[Entradas]]</f>
        <v>18.4972727272727</v>
      </c>
      <c r="AB444" s="76">
        <f>STOCK[[#This Row],[Stock Actual]]*STOCK[[#This Row],[Costo total]]</f>
        <v>9.24863636363636</v>
      </c>
    </row>
    <row r="445" s="77" customFormat="1" ht="50" customHeight="1" spans="1:28">
      <c r="A445" s="77" t="s">
        <v>932</v>
      </c>
      <c r="B445" s="6"/>
      <c r="C445" s="77" t="s">
        <v>30</v>
      </c>
      <c r="D445" s="77" t="s">
        <v>933</v>
      </c>
      <c r="E445" s="77" t="s">
        <v>929</v>
      </c>
      <c r="F445" s="77" t="s">
        <v>44</v>
      </c>
      <c r="G445" s="77" t="s">
        <v>34</v>
      </c>
      <c r="H445" s="77">
        <f>STOCK[[#This Row],[Precio Final]]</f>
        <v>15</v>
      </c>
      <c r="I445" s="77">
        <f>STOCK[[#This Row],[Precio Venta Ideal (x1.5)]]</f>
        <v>13.8729545454545</v>
      </c>
      <c r="J445" s="92">
        <v>2</v>
      </c>
      <c r="K445" s="92">
        <f>SUMIFS(VENTAS[Cantidad],VENTAS[Código del producto Vendido],STOCK[[#This Row],[Code]])</f>
        <v>1</v>
      </c>
      <c r="L445" s="92">
        <f>STOCK[[#This Row],[Entradas]]-STOCK[[#This Row],[Salidas]]</f>
        <v>1</v>
      </c>
      <c r="M445" s="77">
        <f>STOCK[[#This Row],[Precio Final]]*10%</f>
        <v>1.5</v>
      </c>
      <c r="N445" s="77">
        <v>90</v>
      </c>
      <c r="O445" s="77">
        <v>17.6</v>
      </c>
      <c r="P445" s="77">
        <v>5.11363636363636</v>
      </c>
      <c r="Q445" s="92">
        <v>155</v>
      </c>
      <c r="R445" s="77">
        <v>17</v>
      </c>
      <c r="S445" s="77">
        <f>STOCK[[#This Row],[Peso (g)]]*STOCK[[#This Row],[Precio Envío Kilogramo (USD)]]/1000</f>
        <v>2.635</v>
      </c>
      <c r="T445" s="76">
        <f>STOCK[[#This Row],[Costo Unitario (USD)]]+STOCK[[#This Row],[Costo Envío (USD)]]+STOCK[[#This Row],[Comisión 10%]]</f>
        <v>9.24863636363636</v>
      </c>
      <c r="U445" s="77">
        <f>STOCK[[#This Row],[Costo total]]*1.5</f>
        <v>13.8729545454545</v>
      </c>
      <c r="V445" s="77">
        <v>15</v>
      </c>
      <c r="W445" s="77">
        <f>STOCK[[#This Row],[Precio Final]]-STOCK[[#This Row],[Costo total]]</f>
        <v>5.75136363636364</v>
      </c>
      <c r="X445" s="77">
        <f>STOCK[[#This Row],[Ganancia Unitaria]]*STOCK[[#This Row],[Salidas]]</f>
        <v>5.75136363636364</v>
      </c>
      <c r="AA445" s="77">
        <f>STOCK[[#This Row],[Costo total]]*STOCK[[#This Row],[Entradas]]</f>
        <v>18.4972727272727</v>
      </c>
      <c r="AB445" s="77">
        <f>STOCK[[#This Row],[Stock Actual]]*STOCK[[#This Row],[Costo total]]</f>
        <v>9.24863636363636</v>
      </c>
    </row>
    <row r="446" s="76" customFormat="1" ht="50" customHeight="1" spans="1:28">
      <c r="A446" s="76" t="s">
        <v>934</v>
      </c>
      <c r="B446" s="6"/>
      <c r="C446" s="76" t="s">
        <v>30</v>
      </c>
      <c r="D446" s="76" t="s">
        <v>36</v>
      </c>
      <c r="E446" s="76" t="s">
        <v>912</v>
      </c>
      <c r="F446" s="76" t="s">
        <v>60</v>
      </c>
      <c r="G446" s="76" t="s">
        <v>34</v>
      </c>
      <c r="H446" s="76">
        <f>STOCK[[#This Row],[Precio Final]]</f>
        <v>25</v>
      </c>
      <c r="I446" s="76">
        <f>STOCK[[#This Row],[Precio Venta Ideal (x1.5)]]</f>
        <v>24.7847727272727</v>
      </c>
      <c r="J446" s="91">
        <v>2</v>
      </c>
      <c r="K446" s="91">
        <f>SUMIFS(VENTAS[Cantidad],VENTAS[Código del producto Vendido],STOCK[[#This Row],[Code]])</f>
        <v>2</v>
      </c>
      <c r="L446" s="91">
        <f>STOCK[[#This Row],[Entradas]]-STOCK[[#This Row],[Salidas]]</f>
        <v>0</v>
      </c>
      <c r="M446" s="76">
        <f>STOCK[[#This Row],[Precio Final]]*10%</f>
        <v>2.5</v>
      </c>
      <c r="N446" s="76">
        <v>175</v>
      </c>
      <c r="O446" s="76">
        <v>17.6</v>
      </c>
      <c r="P446" s="76">
        <v>9.94318181818182</v>
      </c>
      <c r="Q446" s="91">
        <v>240</v>
      </c>
      <c r="R446" s="76">
        <v>17</v>
      </c>
      <c r="S446" s="76">
        <f>STOCK[[#This Row],[Peso (g)]]*STOCK[[#This Row],[Precio Envío Kilogramo (USD)]]/1000</f>
        <v>4.08</v>
      </c>
      <c r="T446" s="76">
        <f>STOCK[[#This Row],[Costo Unitario (USD)]]+STOCK[[#This Row],[Costo Envío (USD)]]+STOCK[[#This Row],[Comisión 10%]]</f>
        <v>16.5231818181818</v>
      </c>
      <c r="U446" s="76">
        <f>STOCK[[#This Row],[Costo total]]*1.5</f>
        <v>24.7847727272727</v>
      </c>
      <c r="V446" s="76">
        <v>25</v>
      </c>
      <c r="W446" s="76">
        <f>STOCK[[#This Row],[Precio Final]]-STOCK[[#This Row],[Costo total]]</f>
        <v>8.47681818181818</v>
      </c>
      <c r="X446" s="76">
        <f>STOCK[[#This Row],[Ganancia Unitaria]]*STOCK[[#This Row],[Salidas]]</f>
        <v>16.9536363636364</v>
      </c>
      <c r="Y446" s="76" t="s">
        <v>894</v>
      </c>
      <c r="AA446" s="76">
        <f>STOCK[[#This Row],[Costo total]]*STOCK[[#This Row],[Entradas]]</f>
        <v>33.0463636363636</v>
      </c>
      <c r="AB446" s="76">
        <f>STOCK[[#This Row],[Stock Actual]]*STOCK[[#This Row],[Costo total]]</f>
        <v>0</v>
      </c>
    </row>
    <row r="447" s="77" customFormat="1" ht="50" customHeight="1" spans="1:28">
      <c r="A447" s="77" t="s">
        <v>935</v>
      </c>
      <c r="B447" s="6"/>
      <c r="C447" s="77" t="s">
        <v>30</v>
      </c>
      <c r="D447" s="77" t="s">
        <v>36</v>
      </c>
      <c r="E447" s="77" t="s">
        <v>936</v>
      </c>
      <c r="F447" s="77" t="s">
        <v>47</v>
      </c>
      <c r="G447" s="77" t="s">
        <v>34</v>
      </c>
      <c r="H447" s="77">
        <f>STOCK[[#This Row],[Precio Final]]</f>
        <v>25</v>
      </c>
      <c r="I447" s="77">
        <f>STOCK[[#This Row],[Precio Venta Ideal (x1.5)]]</f>
        <v>24.7847727272727</v>
      </c>
      <c r="J447" s="92">
        <v>4</v>
      </c>
      <c r="K447" s="92">
        <f>SUMIFS(VENTAS[Cantidad],VENTAS[Código del producto Vendido],STOCK[[#This Row],[Code]])</f>
        <v>4</v>
      </c>
      <c r="L447" s="92">
        <f>STOCK[[#This Row],[Entradas]]-STOCK[[#This Row],[Salidas]]</f>
        <v>0</v>
      </c>
      <c r="M447" s="77">
        <f>STOCK[[#This Row],[Precio Final]]*10%</f>
        <v>2.5</v>
      </c>
      <c r="N447" s="77">
        <v>175</v>
      </c>
      <c r="O447" s="77">
        <v>17.6</v>
      </c>
      <c r="P447" s="77">
        <v>9.94318181818182</v>
      </c>
      <c r="Q447" s="92">
        <v>240</v>
      </c>
      <c r="R447" s="77">
        <v>17</v>
      </c>
      <c r="S447" s="77">
        <f>STOCK[[#This Row],[Peso (g)]]*STOCK[[#This Row],[Precio Envío Kilogramo (USD)]]/1000</f>
        <v>4.08</v>
      </c>
      <c r="T447" s="76">
        <f>STOCK[[#This Row],[Costo Unitario (USD)]]+STOCK[[#This Row],[Costo Envío (USD)]]+STOCK[[#This Row],[Comisión 10%]]</f>
        <v>16.5231818181818</v>
      </c>
      <c r="U447" s="77">
        <f>STOCK[[#This Row],[Costo total]]*1.5</f>
        <v>24.7847727272727</v>
      </c>
      <c r="V447" s="77">
        <v>25</v>
      </c>
      <c r="W447" s="77">
        <f>STOCK[[#This Row],[Precio Final]]-STOCK[[#This Row],[Costo total]]</f>
        <v>8.47681818181818</v>
      </c>
      <c r="X447" s="77">
        <f>STOCK[[#This Row],[Ganancia Unitaria]]*STOCK[[#This Row],[Salidas]]</f>
        <v>33.9072727272727</v>
      </c>
      <c r="AA447" s="77">
        <f>STOCK[[#This Row],[Costo total]]*STOCK[[#This Row],[Entradas]]</f>
        <v>66.0927272727273</v>
      </c>
      <c r="AB447" s="77">
        <f>STOCK[[#This Row],[Stock Actual]]*STOCK[[#This Row],[Costo total]]</f>
        <v>0</v>
      </c>
    </row>
    <row r="448" s="76" customFormat="1" ht="50" customHeight="1" spans="1:28">
      <c r="A448" s="76" t="s">
        <v>937</v>
      </c>
      <c r="B448" s="6"/>
      <c r="C448" s="76" t="s">
        <v>30</v>
      </c>
      <c r="D448" s="76" t="s">
        <v>42</v>
      </c>
      <c r="E448" s="76" t="s">
        <v>938</v>
      </c>
      <c r="F448" s="76" t="s">
        <v>40</v>
      </c>
      <c r="G448" s="76" t="s">
        <v>34</v>
      </c>
      <c r="H448" s="76">
        <f>STOCK[[#This Row],[Precio Final]]</f>
        <v>30</v>
      </c>
      <c r="I448" s="76">
        <f>STOCK[[#This Row],[Precio Venta Ideal (x1.5)]]</f>
        <v>33.0279545454546</v>
      </c>
      <c r="J448" s="91">
        <v>1</v>
      </c>
      <c r="K448" s="91">
        <f>SUMIFS(VENTAS[Cantidad],VENTAS[Código del producto Vendido],STOCK[[#This Row],[Code]])</f>
        <v>1</v>
      </c>
      <c r="L448" s="91">
        <f>STOCK[[#This Row],[Entradas]]-STOCK[[#This Row],[Salidas]]</f>
        <v>0</v>
      </c>
      <c r="M448" s="76">
        <f>STOCK[[#This Row],[Precio Final]]*10%</f>
        <v>3</v>
      </c>
      <c r="N448" s="76">
        <v>233</v>
      </c>
      <c r="O448" s="76">
        <v>17.6</v>
      </c>
      <c r="P448" s="76">
        <v>13.2386363636364</v>
      </c>
      <c r="Q448" s="91">
        <v>340</v>
      </c>
      <c r="R448" s="76">
        <v>17</v>
      </c>
      <c r="S448" s="76">
        <f>STOCK[[#This Row],[Peso (g)]]*STOCK[[#This Row],[Precio Envío Kilogramo (USD)]]/1000</f>
        <v>5.78</v>
      </c>
      <c r="T448" s="76">
        <f>STOCK[[#This Row],[Costo Unitario (USD)]]+STOCK[[#This Row],[Costo Envío (USD)]]+STOCK[[#This Row],[Comisión 10%]]</f>
        <v>22.0186363636364</v>
      </c>
      <c r="U448" s="76">
        <f>STOCK[[#This Row],[Costo total]]*1.5</f>
        <v>33.0279545454546</v>
      </c>
      <c r="V448" s="76">
        <v>30</v>
      </c>
      <c r="W448" s="76">
        <f>STOCK[[#This Row],[Precio Final]]-STOCK[[#This Row],[Costo total]]</f>
        <v>7.9813636363636</v>
      </c>
      <c r="X448" s="76">
        <f>STOCK[[#This Row],[Ganancia Unitaria]]*STOCK[[#This Row],[Salidas]]</f>
        <v>7.9813636363636</v>
      </c>
      <c r="Y448" s="76" t="s">
        <v>894</v>
      </c>
      <c r="AA448" s="76">
        <f>STOCK[[#This Row],[Costo total]]*STOCK[[#This Row],[Entradas]]</f>
        <v>22.0186363636364</v>
      </c>
      <c r="AB448" s="76">
        <f>STOCK[[#This Row],[Stock Actual]]*STOCK[[#This Row],[Costo total]]</f>
        <v>0</v>
      </c>
    </row>
    <row r="449" s="77" customFormat="1" ht="50" customHeight="1" spans="1:28">
      <c r="A449" s="77" t="s">
        <v>939</v>
      </c>
      <c r="B449" s="6"/>
      <c r="C449" s="77" t="s">
        <v>30</v>
      </c>
      <c r="D449" s="77" t="s">
        <v>42</v>
      </c>
      <c r="E449" s="77" t="s">
        <v>940</v>
      </c>
      <c r="F449" s="77" t="s">
        <v>44</v>
      </c>
      <c r="G449" s="77" t="s">
        <v>34</v>
      </c>
      <c r="H449" s="77">
        <f>STOCK[[#This Row],[Precio Final]]</f>
        <v>30</v>
      </c>
      <c r="I449" s="77">
        <f>STOCK[[#This Row],[Precio Venta Ideal (x1.5)]]</f>
        <v>33.0279545454546</v>
      </c>
      <c r="J449" s="92">
        <v>2</v>
      </c>
      <c r="K449" s="92">
        <f>SUMIFS(VENTAS[Cantidad],VENTAS[Código del producto Vendido],STOCK[[#This Row],[Code]])</f>
        <v>2</v>
      </c>
      <c r="L449" s="92">
        <f>STOCK[[#This Row],[Entradas]]-STOCK[[#This Row],[Salidas]]</f>
        <v>0</v>
      </c>
      <c r="M449" s="77">
        <f>STOCK[[#This Row],[Precio Final]]*10%</f>
        <v>3</v>
      </c>
      <c r="N449" s="77">
        <v>233</v>
      </c>
      <c r="O449" s="77">
        <v>17.6</v>
      </c>
      <c r="P449" s="77">
        <v>13.2386363636364</v>
      </c>
      <c r="Q449" s="92">
        <v>340</v>
      </c>
      <c r="R449" s="77">
        <v>17</v>
      </c>
      <c r="S449" s="77">
        <f>STOCK[[#This Row],[Peso (g)]]*STOCK[[#This Row],[Precio Envío Kilogramo (USD)]]/1000</f>
        <v>5.78</v>
      </c>
      <c r="T449" s="76">
        <f>STOCK[[#This Row],[Costo Unitario (USD)]]+STOCK[[#This Row],[Costo Envío (USD)]]+STOCK[[#This Row],[Comisión 10%]]</f>
        <v>22.0186363636364</v>
      </c>
      <c r="U449" s="77">
        <f>STOCK[[#This Row],[Costo total]]*1.5</f>
        <v>33.0279545454546</v>
      </c>
      <c r="V449" s="77">
        <v>30</v>
      </c>
      <c r="W449" s="77">
        <f>STOCK[[#This Row],[Precio Final]]-STOCK[[#This Row],[Costo total]]</f>
        <v>7.9813636363636</v>
      </c>
      <c r="X449" s="77">
        <f>STOCK[[#This Row],[Ganancia Unitaria]]*STOCK[[#This Row],[Salidas]]</f>
        <v>15.9627272727272</v>
      </c>
      <c r="Y449" s="77" t="s">
        <v>926</v>
      </c>
      <c r="AA449" s="77">
        <f>STOCK[[#This Row],[Costo total]]*STOCK[[#This Row],[Entradas]]</f>
        <v>44.0372727272728</v>
      </c>
      <c r="AB449" s="77">
        <f>STOCK[[#This Row],[Stock Actual]]*STOCK[[#This Row],[Costo total]]</f>
        <v>0</v>
      </c>
    </row>
    <row r="450" s="76" customFormat="1" ht="50" customHeight="1" spans="1:28">
      <c r="A450" s="76" t="s">
        <v>941</v>
      </c>
      <c r="B450" s="6"/>
      <c r="C450" s="76" t="s">
        <v>30</v>
      </c>
      <c r="D450" s="76" t="s">
        <v>42</v>
      </c>
      <c r="E450" s="76" t="s">
        <v>940</v>
      </c>
      <c r="F450" s="76" t="s">
        <v>60</v>
      </c>
      <c r="G450" s="76" t="s">
        <v>34</v>
      </c>
      <c r="H450" s="76">
        <f>STOCK[[#This Row],[Precio Final]]</f>
        <v>30</v>
      </c>
      <c r="I450" s="76">
        <f>STOCK[[#This Row],[Precio Venta Ideal (x1.5)]]</f>
        <v>32.7729545454546</v>
      </c>
      <c r="J450" s="91">
        <v>1</v>
      </c>
      <c r="K450" s="91">
        <f>SUMIFS(VENTAS[Cantidad],VENTAS[Código del producto Vendido],STOCK[[#This Row],[Code]])</f>
        <v>1</v>
      </c>
      <c r="L450" s="91">
        <f>STOCK[[#This Row],[Entradas]]-STOCK[[#This Row],[Salidas]]</f>
        <v>0</v>
      </c>
      <c r="M450" s="76">
        <f>STOCK[[#This Row],[Precio Final]]*10%</f>
        <v>3</v>
      </c>
      <c r="N450" s="76">
        <v>233</v>
      </c>
      <c r="O450" s="76">
        <v>17.6</v>
      </c>
      <c r="P450" s="76">
        <v>13.2386363636364</v>
      </c>
      <c r="Q450" s="91">
        <v>330</v>
      </c>
      <c r="R450" s="76">
        <v>17</v>
      </c>
      <c r="S450" s="76">
        <f>STOCK[[#This Row],[Peso (g)]]*STOCK[[#This Row],[Precio Envío Kilogramo (USD)]]/1000</f>
        <v>5.61</v>
      </c>
      <c r="T450" s="76">
        <f>STOCK[[#This Row],[Costo Unitario (USD)]]+STOCK[[#This Row],[Costo Envío (USD)]]+STOCK[[#This Row],[Comisión 10%]]</f>
        <v>21.8486363636364</v>
      </c>
      <c r="U450" s="76">
        <f>STOCK[[#This Row],[Costo total]]*1.5</f>
        <v>32.7729545454546</v>
      </c>
      <c r="V450" s="76">
        <v>30</v>
      </c>
      <c r="W450" s="76">
        <f>STOCK[[#This Row],[Precio Final]]-STOCK[[#This Row],[Costo total]]</f>
        <v>8.1513636363636</v>
      </c>
      <c r="X450" s="76">
        <f>STOCK[[#This Row],[Ganancia Unitaria]]*STOCK[[#This Row],[Salidas]]</f>
        <v>8.1513636363636</v>
      </c>
      <c r="Y450" s="76" t="s">
        <v>894</v>
      </c>
      <c r="AA450" s="76">
        <f>STOCK[[#This Row],[Costo total]]*STOCK[[#This Row],[Entradas]]</f>
        <v>21.8486363636364</v>
      </c>
      <c r="AB450" s="76">
        <f>STOCK[[#This Row],[Stock Actual]]*STOCK[[#This Row],[Costo total]]</f>
        <v>0</v>
      </c>
    </row>
    <row r="451" s="77" customFormat="1" ht="50" customHeight="1" spans="1:28">
      <c r="A451" s="77" t="s">
        <v>942</v>
      </c>
      <c r="B451" s="6"/>
      <c r="C451" s="77" t="s">
        <v>30</v>
      </c>
      <c r="D451" s="77" t="s">
        <v>42</v>
      </c>
      <c r="E451" s="77" t="s">
        <v>940</v>
      </c>
      <c r="F451" s="77" t="s">
        <v>47</v>
      </c>
      <c r="G451" s="77" t="s">
        <v>34</v>
      </c>
      <c r="H451" s="77">
        <f>STOCK[[#This Row],[Precio Final]]</f>
        <v>30</v>
      </c>
      <c r="I451" s="77">
        <f>STOCK[[#This Row],[Precio Venta Ideal (x1.5)]]</f>
        <v>33.0279545454546</v>
      </c>
      <c r="J451" s="92">
        <v>2</v>
      </c>
      <c r="K451" s="92">
        <f>SUMIFS(VENTAS[Cantidad],VENTAS[Código del producto Vendido],STOCK[[#This Row],[Code]])</f>
        <v>2</v>
      </c>
      <c r="L451" s="92">
        <f>STOCK[[#This Row],[Entradas]]-STOCK[[#This Row],[Salidas]]</f>
        <v>0</v>
      </c>
      <c r="M451" s="77">
        <f>STOCK[[#This Row],[Precio Final]]*10%</f>
        <v>3</v>
      </c>
      <c r="N451" s="77">
        <v>233</v>
      </c>
      <c r="O451" s="77">
        <v>17.6</v>
      </c>
      <c r="P451" s="77">
        <v>13.2386363636364</v>
      </c>
      <c r="Q451" s="92">
        <v>340</v>
      </c>
      <c r="R451" s="77">
        <v>17</v>
      </c>
      <c r="S451" s="77">
        <f>STOCK[[#This Row],[Peso (g)]]*STOCK[[#This Row],[Precio Envío Kilogramo (USD)]]/1000</f>
        <v>5.78</v>
      </c>
      <c r="T451" s="76">
        <f>STOCK[[#This Row],[Costo Unitario (USD)]]+STOCK[[#This Row],[Costo Envío (USD)]]+STOCK[[#This Row],[Comisión 10%]]</f>
        <v>22.0186363636364</v>
      </c>
      <c r="U451" s="77">
        <f>STOCK[[#This Row],[Costo total]]*1.5</f>
        <v>33.0279545454546</v>
      </c>
      <c r="V451" s="77">
        <v>30</v>
      </c>
      <c r="W451" s="77">
        <f>STOCK[[#This Row],[Precio Final]]-STOCK[[#This Row],[Costo total]]</f>
        <v>7.9813636363636</v>
      </c>
      <c r="X451" s="77">
        <f>STOCK[[#This Row],[Ganancia Unitaria]]*STOCK[[#This Row],[Salidas]]</f>
        <v>15.9627272727272</v>
      </c>
      <c r="Y451" s="77" t="s">
        <v>894</v>
      </c>
      <c r="AA451" s="77">
        <f>STOCK[[#This Row],[Costo total]]*STOCK[[#This Row],[Entradas]]</f>
        <v>44.0372727272728</v>
      </c>
      <c r="AB451" s="77">
        <f>STOCK[[#This Row],[Stock Actual]]*STOCK[[#This Row],[Costo total]]</f>
        <v>0</v>
      </c>
    </row>
    <row r="452" s="76" customFormat="1" ht="50" customHeight="1" spans="1:28">
      <c r="A452" s="76" t="s">
        <v>943</v>
      </c>
      <c r="B452" s="6"/>
      <c r="C452" s="76" t="s">
        <v>30</v>
      </c>
      <c r="D452" s="76" t="s">
        <v>173</v>
      </c>
      <c r="E452" s="76" t="s">
        <v>944</v>
      </c>
      <c r="F452" s="76" t="s">
        <v>47</v>
      </c>
      <c r="G452" s="76" t="s">
        <v>34</v>
      </c>
      <c r="H452" s="76">
        <f>STOCK[[#This Row],[Precio Final]]</f>
        <v>12</v>
      </c>
      <c r="I452" s="76">
        <f>STOCK[[#This Row],[Precio Venta Ideal (x1.5)]]</f>
        <v>12.6136363636364</v>
      </c>
      <c r="J452" s="91">
        <v>1</v>
      </c>
      <c r="K452" s="91">
        <f>SUMIFS(VENTAS[Cantidad],VENTAS[Código del producto Vendido],STOCK[[#This Row],[Code]])</f>
        <v>1</v>
      </c>
      <c r="L452" s="91">
        <f>STOCK[[#This Row],[Entradas]]-STOCK[[#This Row],[Salidas]]</f>
        <v>0</v>
      </c>
      <c r="M452" s="76">
        <f>STOCK[[#This Row],[Precio Final]]*10%</f>
        <v>1.2</v>
      </c>
      <c r="N452" s="76">
        <v>82</v>
      </c>
      <c r="O452" s="76">
        <v>17.6</v>
      </c>
      <c r="P452" s="76">
        <v>4.65909090909091</v>
      </c>
      <c r="Q452" s="91">
        <v>150</v>
      </c>
      <c r="R452" s="76">
        <v>17</v>
      </c>
      <c r="S452" s="76">
        <f>STOCK[[#This Row],[Peso (g)]]*STOCK[[#This Row],[Precio Envío Kilogramo (USD)]]/1000</f>
        <v>2.55</v>
      </c>
      <c r="T452" s="76">
        <f>STOCK[[#This Row],[Costo Unitario (USD)]]+STOCK[[#This Row],[Costo Envío (USD)]]+STOCK[[#This Row],[Comisión 10%]]</f>
        <v>8.40909090909091</v>
      </c>
      <c r="U452" s="76">
        <f>STOCK[[#This Row],[Costo total]]*1.5</f>
        <v>12.6136363636364</v>
      </c>
      <c r="V452" s="76">
        <v>12</v>
      </c>
      <c r="W452" s="76">
        <f>STOCK[[#This Row],[Precio Final]]-STOCK[[#This Row],[Costo total]]</f>
        <v>3.59090909090909</v>
      </c>
      <c r="X452" s="76">
        <f>STOCK[[#This Row],[Ganancia Unitaria]]*STOCK[[#This Row],[Salidas]]</f>
        <v>3.59090909090909</v>
      </c>
      <c r="Y452" s="76" t="s">
        <v>926</v>
      </c>
      <c r="AA452" s="76">
        <f>STOCK[[#This Row],[Costo total]]*STOCK[[#This Row],[Entradas]]</f>
        <v>8.40909090909091</v>
      </c>
      <c r="AB452" s="76">
        <f>STOCK[[#This Row],[Stock Actual]]*STOCK[[#This Row],[Costo total]]</f>
        <v>0</v>
      </c>
    </row>
    <row r="453" s="77" customFormat="1" ht="50" customHeight="1" spans="1:28">
      <c r="A453" s="77" t="s">
        <v>945</v>
      </c>
      <c r="B453" s="6"/>
      <c r="C453" s="77" t="s">
        <v>30</v>
      </c>
      <c r="D453" s="77" t="s">
        <v>173</v>
      </c>
      <c r="E453" s="77" t="s">
        <v>946</v>
      </c>
      <c r="F453" s="77" t="s">
        <v>947</v>
      </c>
      <c r="G453" s="77" t="s">
        <v>34</v>
      </c>
      <c r="H453" s="77">
        <f>STOCK[[#This Row],[Precio Final]]</f>
        <v>12</v>
      </c>
      <c r="I453" s="77">
        <f>STOCK[[#This Row],[Precio Venta Ideal (x1.5)]]</f>
        <v>12.6136363636364</v>
      </c>
      <c r="J453" s="92">
        <v>1</v>
      </c>
      <c r="K453" s="92">
        <f>SUMIFS(VENTAS[Cantidad],VENTAS[Código del producto Vendido],STOCK[[#This Row],[Code]])</f>
        <v>1</v>
      </c>
      <c r="L453" s="92">
        <f>STOCK[[#This Row],[Entradas]]-STOCK[[#This Row],[Salidas]]</f>
        <v>0</v>
      </c>
      <c r="M453" s="77">
        <f>STOCK[[#This Row],[Precio Final]]*10%</f>
        <v>1.2</v>
      </c>
      <c r="N453" s="77">
        <v>82</v>
      </c>
      <c r="O453" s="77">
        <v>17.6</v>
      </c>
      <c r="P453" s="77">
        <v>4.65909090909091</v>
      </c>
      <c r="Q453" s="92">
        <v>150</v>
      </c>
      <c r="R453" s="77">
        <v>17</v>
      </c>
      <c r="S453" s="77">
        <f>STOCK[[#This Row],[Peso (g)]]*STOCK[[#This Row],[Precio Envío Kilogramo (USD)]]/1000</f>
        <v>2.55</v>
      </c>
      <c r="T453" s="76">
        <f>STOCK[[#This Row],[Costo Unitario (USD)]]+STOCK[[#This Row],[Costo Envío (USD)]]+STOCK[[#This Row],[Comisión 10%]]</f>
        <v>8.40909090909091</v>
      </c>
      <c r="U453" s="77">
        <f>STOCK[[#This Row],[Costo total]]*1.5</f>
        <v>12.6136363636364</v>
      </c>
      <c r="V453" s="77">
        <v>12</v>
      </c>
      <c r="W453" s="77">
        <f>STOCK[[#This Row],[Precio Final]]-STOCK[[#This Row],[Costo total]]</f>
        <v>3.59090909090909</v>
      </c>
      <c r="X453" s="77">
        <f>STOCK[[#This Row],[Ganancia Unitaria]]*STOCK[[#This Row],[Salidas]]</f>
        <v>3.59090909090909</v>
      </c>
      <c r="Y453" s="77" t="s">
        <v>926</v>
      </c>
      <c r="AA453" s="77">
        <f>STOCK[[#This Row],[Costo total]]*STOCK[[#This Row],[Entradas]]</f>
        <v>8.40909090909091</v>
      </c>
      <c r="AB453" s="77">
        <f>STOCK[[#This Row],[Stock Actual]]*STOCK[[#This Row],[Costo total]]</f>
        <v>0</v>
      </c>
    </row>
    <row r="454" s="76" customFormat="1" ht="50" customHeight="1" spans="1:28">
      <c r="A454" s="76" t="s">
        <v>948</v>
      </c>
      <c r="B454" s="6"/>
      <c r="C454" s="76" t="s">
        <v>30</v>
      </c>
      <c r="D454" s="76" t="s">
        <v>151</v>
      </c>
      <c r="E454" s="76" t="s">
        <v>949</v>
      </c>
      <c r="F454" s="76" t="s">
        <v>38</v>
      </c>
      <c r="G454" s="76" t="s">
        <v>34</v>
      </c>
      <c r="H454" s="76">
        <f>STOCK[[#This Row],[Precio Final]]</f>
        <v>25</v>
      </c>
      <c r="I454" s="76">
        <f>STOCK[[#This Row],[Precio Venta Ideal (x1.5)]]</f>
        <v>26.0570454545454</v>
      </c>
      <c r="J454" s="91">
        <v>2</v>
      </c>
      <c r="K454" s="91">
        <f>SUMIFS(VENTAS[Cantidad],VENTAS[Código del producto Vendido],STOCK[[#This Row],[Code]])</f>
        <v>2</v>
      </c>
      <c r="L454" s="91">
        <f>STOCK[[#This Row],[Entradas]]-STOCK[[#This Row],[Salidas]]</f>
        <v>0</v>
      </c>
      <c r="M454" s="76">
        <f>STOCK[[#This Row],[Precio Final]]*10%</f>
        <v>2.5</v>
      </c>
      <c r="N454" s="76">
        <v>163</v>
      </c>
      <c r="O454" s="76">
        <v>17.6</v>
      </c>
      <c r="P454" s="76">
        <v>9.26136363636363</v>
      </c>
      <c r="Q454" s="91">
        <v>330</v>
      </c>
      <c r="R454" s="76">
        <v>17</v>
      </c>
      <c r="S454" s="76">
        <f>STOCK[[#This Row],[Peso (g)]]*STOCK[[#This Row],[Precio Envío Kilogramo (USD)]]/1000</f>
        <v>5.61</v>
      </c>
      <c r="T454" s="76">
        <f>STOCK[[#This Row],[Costo Unitario (USD)]]+STOCK[[#This Row],[Costo Envío (USD)]]+STOCK[[#This Row],[Comisión 10%]]</f>
        <v>17.3713636363636</v>
      </c>
      <c r="U454" s="76">
        <f>STOCK[[#This Row],[Costo total]]*1.5</f>
        <v>26.0570454545454</v>
      </c>
      <c r="V454" s="76">
        <v>25</v>
      </c>
      <c r="W454" s="76">
        <f>STOCK[[#This Row],[Precio Final]]-STOCK[[#This Row],[Costo total]]</f>
        <v>7.62863636363637</v>
      </c>
      <c r="X454" s="76">
        <f>STOCK[[#This Row],[Ganancia Unitaria]]*STOCK[[#This Row],[Salidas]]</f>
        <v>15.2572727272727</v>
      </c>
      <c r="Y454" s="76" t="s">
        <v>926</v>
      </c>
      <c r="AA454" s="76">
        <f>STOCK[[#This Row],[Costo total]]*STOCK[[#This Row],[Entradas]]</f>
        <v>34.7427272727273</v>
      </c>
      <c r="AB454" s="76">
        <f>STOCK[[#This Row],[Stock Actual]]*STOCK[[#This Row],[Costo total]]</f>
        <v>0</v>
      </c>
    </row>
    <row r="455" s="77" customFormat="1" ht="50" customHeight="1" spans="1:28">
      <c r="A455" s="77" t="s">
        <v>950</v>
      </c>
      <c r="B455" s="6"/>
      <c r="C455" s="77" t="s">
        <v>30</v>
      </c>
      <c r="D455" s="77" t="s">
        <v>151</v>
      </c>
      <c r="E455" s="77" t="s">
        <v>949</v>
      </c>
      <c r="F455" s="77" t="s">
        <v>60</v>
      </c>
      <c r="G455" s="77" t="s">
        <v>34</v>
      </c>
      <c r="H455" s="77">
        <f>STOCK[[#This Row],[Precio Final]]</f>
        <v>25</v>
      </c>
      <c r="I455" s="77">
        <f>STOCK[[#This Row],[Precio Venta Ideal (x1.5)]]</f>
        <v>26.0570454545454</v>
      </c>
      <c r="J455" s="92">
        <v>3</v>
      </c>
      <c r="K455" s="92">
        <f>SUMIFS(VENTAS[Cantidad],VENTAS[Código del producto Vendido],STOCK[[#This Row],[Code]])</f>
        <v>3</v>
      </c>
      <c r="L455" s="92">
        <f>STOCK[[#This Row],[Entradas]]-STOCK[[#This Row],[Salidas]]</f>
        <v>0</v>
      </c>
      <c r="M455" s="77">
        <f>STOCK[[#This Row],[Precio Final]]*10%</f>
        <v>2.5</v>
      </c>
      <c r="N455" s="77">
        <v>163</v>
      </c>
      <c r="O455" s="77">
        <v>17.6</v>
      </c>
      <c r="P455" s="77">
        <v>9.26136363636363</v>
      </c>
      <c r="Q455" s="92">
        <v>330</v>
      </c>
      <c r="R455" s="77">
        <v>17</v>
      </c>
      <c r="S455" s="77">
        <f>STOCK[[#This Row],[Peso (g)]]*STOCK[[#This Row],[Precio Envío Kilogramo (USD)]]/1000</f>
        <v>5.61</v>
      </c>
      <c r="T455" s="76">
        <f>STOCK[[#This Row],[Costo Unitario (USD)]]+STOCK[[#This Row],[Costo Envío (USD)]]+STOCK[[#This Row],[Comisión 10%]]</f>
        <v>17.3713636363636</v>
      </c>
      <c r="U455" s="77">
        <f>STOCK[[#This Row],[Costo total]]*1.5</f>
        <v>26.0570454545454</v>
      </c>
      <c r="V455" s="77">
        <v>25</v>
      </c>
      <c r="W455" s="77">
        <f>STOCK[[#This Row],[Precio Final]]-STOCK[[#This Row],[Costo total]]</f>
        <v>7.62863636363637</v>
      </c>
      <c r="X455" s="77">
        <f>STOCK[[#This Row],[Ganancia Unitaria]]*STOCK[[#This Row],[Salidas]]</f>
        <v>22.8859090909091</v>
      </c>
      <c r="Y455" s="77" t="s">
        <v>926</v>
      </c>
      <c r="AA455" s="77">
        <f>STOCK[[#This Row],[Costo total]]*STOCK[[#This Row],[Entradas]]</f>
        <v>52.1140909090909</v>
      </c>
      <c r="AB455" s="77">
        <f>STOCK[[#This Row],[Stock Actual]]*STOCK[[#This Row],[Costo total]]</f>
        <v>0</v>
      </c>
    </row>
    <row r="456" s="76" customFormat="1" ht="50" customHeight="1" spans="1:28">
      <c r="A456" s="76" t="s">
        <v>951</v>
      </c>
      <c r="B456" s="6"/>
      <c r="C456" s="76" t="s">
        <v>30</v>
      </c>
      <c r="D456" s="76" t="s">
        <v>151</v>
      </c>
      <c r="E456" s="76" t="s">
        <v>949</v>
      </c>
      <c r="F456" s="76" t="s">
        <v>47</v>
      </c>
      <c r="G456" s="76" t="s">
        <v>34</v>
      </c>
      <c r="H456" s="76">
        <f>STOCK[[#This Row],[Precio Final]]</f>
        <v>25</v>
      </c>
      <c r="I456" s="76">
        <f>STOCK[[#This Row],[Precio Venta Ideal (x1.5)]]</f>
        <v>26.0570454545454</v>
      </c>
      <c r="J456" s="91">
        <v>2</v>
      </c>
      <c r="K456" s="91">
        <f>SUMIFS(VENTAS[Cantidad],VENTAS[Código del producto Vendido],STOCK[[#This Row],[Code]])</f>
        <v>2</v>
      </c>
      <c r="L456" s="91">
        <f>STOCK[[#This Row],[Entradas]]-STOCK[[#This Row],[Salidas]]</f>
        <v>0</v>
      </c>
      <c r="M456" s="76">
        <f>STOCK[[#This Row],[Precio Final]]*10%</f>
        <v>2.5</v>
      </c>
      <c r="N456" s="76">
        <v>163</v>
      </c>
      <c r="O456" s="76">
        <v>17.6</v>
      </c>
      <c r="P456" s="76">
        <v>9.26136363636363</v>
      </c>
      <c r="Q456" s="91">
        <v>330</v>
      </c>
      <c r="R456" s="76">
        <v>17</v>
      </c>
      <c r="S456" s="76">
        <f>STOCK[[#This Row],[Peso (g)]]*STOCK[[#This Row],[Precio Envío Kilogramo (USD)]]/1000</f>
        <v>5.61</v>
      </c>
      <c r="T456" s="76">
        <f>STOCK[[#This Row],[Costo Unitario (USD)]]+STOCK[[#This Row],[Costo Envío (USD)]]+STOCK[[#This Row],[Comisión 10%]]</f>
        <v>17.3713636363636</v>
      </c>
      <c r="U456" s="76">
        <f>STOCK[[#This Row],[Costo total]]*1.5</f>
        <v>26.0570454545454</v>
      </c>
      <c r="V456" s="76">
        <v>25</v>
      </c>
      <c r="W456" s="76">
        <f>STOCK[[#This Row],[Precio Final]]-STOCK[[#This Row],[Costo total]]</f>
        <v>7.62863636363637</v>
      </c>
      <c r="X456" s="76">
        <f>STOCK[[#This Row],[Ganancia Unitaria]]*STOCK[[#This Row],[Salidas]]</f>
        <v>15.2572727272727</v>
      </c>
      <c r="Y456" s="76" t="s">
        <v>894</v>
      </c>
      <c r="AA456" s="76">
        <f>STOCK[[#This Row],[Costo total]]*STOCK[[#This Row],[Entradas]]</f>
        <v>34.7427272727273</v>
      </c>
      <c r="AB456" s="76">
        <f>STOCK[[#This Row],[Stock Actual]]*STOCK[[#This Row],[Costo total]]</f>
        <v>0</v>
      </c>
    </row>
    <row r="457" s="77" customFormat="1" ht="50" customHeight="1" spans="1:28">
      <c r="A457" s="77" t="s">
        <v>952</v>
      </c>
      <c r="B457" s="6"/>
      <c r="C457" s="77" t="s">
        <v>30</v>
      </c>
      <c r="D457" s="77" t="s">
        <v>123</v>
      </c>
      <c r="E457" s="77" t="s">
        <v>953</v>
      </c>
      <c r="F457" s="77" t="s">
        <v>954</v>
      </c>
      <c r="G457" s="77" t="s">
        <v>34</v>
      </c>
      <c r="H457" s="77">
        <f>STOCK[[#This Row],[Precio Final]]</f>
        <v>25</v>
      </c>
      <c r="I457" s="77">
        <f>STOCK[[#This Row],[Precio Venta Ideal (x1.5)]]</f>
        <v>22.3159090909091</v>
      </c>
      <c r="J457" s="92">
        <v>1</v>
      </c>
      <c r="K457" s="92">
        <f>SUMIFS(VENTAS[Cantidad],VENTAS[Código del producto Vendido],STOCK[[#This Row],[Code]])</f>
        <v>1</v>
      </c>
      <c r="L457" s="92">
        <f>STOCK[[#This Row],[Entradas]]-STOCK[[#This Row],[Salidas]]</f>
        <v>0</v>
      </c>
      <c r="M457" s="77">
        <f>STOCK[[#This Row],[Precio Final]]*10%</f>
        <v>2.5</v>
      </c>
      <c r="N457" s="77">
        <v>158</v>
      </c>
      <c r="O457" s="77">
        <v>17.6</v>
      </c>
      <c r="P457" s="77">
        <v>8.97727272727273</v>
      </c>
      <c r="Q457" s="92">
        <v>200</v>
      </c>
      <c r="R457" s="77">
        <v>17</v>
      </c>
      <c r="S457" s="77">
        <f>STOCK[[#This Row],[Peso (g)]]*STOCK[[#This Row],[Precio Envío Kilogramo (USD)]]/1000</f>
        <v>3.4</v>
      </c>
      <c r="T457" s="76">
        <f>STOCK[[#This Row],[Costo Unitario (USD)]]+STOCK[[#This Row],[Costo Envío (USD)]]+STOCK[[#This Row],[Comisión 10%]]</f>
        <v>14.8772727272727</v>
      </c>
      <c r="U457" s="77">
        <f>STOCK[[#This Row],[Costo total]]*1.5</f>
        <v>22.3159090909091</v>
      </c>
      <c r="V457" s="77">
        <v>25</v>
      </c>
      <c r="W457" s="77">
        <f>STOCK[[#This Row],[Precio Final]]-STOCK[[#This Row],[Costo total]]</f>
        <v>10.1227272727273</v>
      </c>
      <c r="X457" s="77">
        <f>STOCK[[#This Row],[Ganancia Unitaria]]*STOCK[[#This Row],[Salidas]]</f>
        <v>10.1227272727273</v>
      </c>
      <c r="Y457" s="77" t="s">
        <v>926</v>
      </c>
      <c r="AA457" s="77">
        <f>STOCK[[#This Row],[Costo total]]*STOCK[[#This Row],[Entradas]]</f>
        <v>14.8772727272727</v>
      </c>
      <c r="AB457" s="77">
        <f>STOCK[[#This Row],[Stock Actual]]*STOCK[[#This Row],[Costo total]]</f>
        <v>0</v>
      </c>
    </row>
    <row r="458" s="76" customFormat="1" ht="50" customHeight="1" spans="1:28">
      <c r="A458" s="76" t="s">
        <v>955</v>
      </c>
      <c r="B458" s="6"/>
      <c r="C458" s="76" t="s">
        <v>30</v>
      </c>
      <c r="D458" s="76" t="s">
        <v>36</v>
      </c>
      <c r="E458" s="76" t="s">
        <v>956</v>
      </c>
      <c r="F458" s="76" t="s">
        <v>44</v>
      </c>
      <c r="G458" s="76" t="s">
        <v>34</v>
      </c>
      <c r="H458" s="76">
        <f>STOCK[[#This Row],[Precio Final]]</f>
        <v>20</v>
      </c>
      <c r="I458" s="76">
        <f>STOCK[[#This Row],[Precio Venta Ideal (x1.5)]]</f>
        <v>20.8840909090909</v>
      </c>
      <c r="J458" s="91">
        <v>1</v>
      </c>
      <c r="K458" s="91">
        <f>SUMIFS(VENTAS[Cantidad],VENTAS[Código del producto Vendido],STOCK[[#This Row],[Code]])</f>
        <v>1</v>
      </c>
      <c r="L458" s="91">
        <f>STOCK[[#This Row],[Entradas]]-STOCK[[#This Row],[Salidas]]</f>
        <v>0</v>
      </c>
      <c r="M458" s="76">
        <f>STOCK[[#This Row],[Precio Final]]*10%</f>
        <v>2</v>
      </c>
      <c r="N458" s="76">
        <v>150</v>
      </c>
      <c r="O458" s="76">
        <v>17.6</v>
      </c>
      <c r="P458" s="76">
        <v>8.52272727272727</v>
      </c>
      <c r="Q458" s="91">
        <v>200</v>
      </c>
      <c r="R458" s="76">
        <v>17</v>
      </c>
      <c r="S458" s="76">
        <f>STOCK[[#This Row],[Peso (g)]]*STOCK[[#This Row],[Precio Envío Kilogramo (USD)]]/1000</f>
        <v>3.4</v>
      </c>
      <c r="T458" s="76">
        <f>STOCK[[#This Row],[Costo Unitario (USD)]]+STOCK[[#This Row],[Costo Envío (USD)]]+STOCK[[#This Row],[Comisión 10%]]</f>
        <v>13.9227272727273</v>
      </c>
      <c r="U458" s="76">
        <f>STOCK[[#This Row],[Costo total]]*1.5</f>
        <v>20.8840909090909</v>
      </c>
      <c r="V458" s="76">
        <v>20</v>
      </c>
      <c r="W458" s="76">
        <f>STOCK[[#This Row],[Precio Final]]-STOCK[[#This Row],[Costo total]]</f>
        <v>6.07727272727273</v>
      </c>
      <c r="X458" s="76">
        <f>STOCK[[#This Row],[Ganancia Unitaria]]*STOCK[[#This Row],[Salidas]]</f>
        <v>6.07727272727273</v>
      </c>
      <c r="Y458" s="76" t="s">
        <v>910</v>
      </c>
      <c r="AA458" s="76">
        <f>STOCK[[#This Row],[Costo total]]*STOCK[[#This Row],[Entradas]]</f>
        <v>13.9227272727273</v>
      </c>
      <c r="AB458" s="76">
        <f>STOCK[[#This Row],[Stock Actual]]*STOCK[[#This Row],[Costo total]]</f>
        <v>0</v>
      </c>
    </row>
    <row r="459" s="77" customFormat="1" ht="50" customHeight="1" spans="1:28">
      <c r="A459" s="77" t="s">
        <v>957</v>
      </c>
      <c r="B459" s="6"/>
      <c r="C459" s="77" t="s">
        <v>30</v>
      </c>
      <c r="D459" s="77" t="s">
        <v>151</v>
      </c>
      <c r="E459" s="77" t="s">
        <v>958</v>
      </c>
      <c r="F459" s="77" t="s">
        <v>38</v>
      </c>
      <c r="G459" s="77" t="s">
        <v>34</v>
      </c>
      <c r="H459" s="77">
        <f>STOCK[[#This Row],[Precio Final]]</f>
        <v>30</v>
      </c>
      <c r="I459" s="77">
        <f>STOCK[[#This Row],[Precio Venta Ideal (x1.5)]]</f>
        <v>36.5584090909091</v>
      </c>
      <c r="J459" s="92">
        <v>0</v>
      </c>
      <c r="K459" s="92">
        <f>SUMIFS(VENTAS[Cantidad],VENTAS[Código del producto Vendido],STOCK[[#This Row],[Code]])</f>
        <v>0</v>
      </c>
      <c r="L459" s="92">
        <f>STOCK[[#This Row],[Entradas]]-STOCK[[#This Row],[Salidas]]</f>
        <v>0</v>
      </c>
      <c r="M459" s="77">
        <f>STOCK[[#This Row],[Precio Final]]*10%</f>
        <v>3</v>
      </c>
      <c r="N459" s="77">
        <v>246</v>
      </c>
      <c r="O459" s="77">
        <v>17.6</v>
      </c>
      <c r="P459" s="77">
        <v>13.9772727272727</v>
      </c>
      <c r="Q459" s="92">
        <v>435</v>
      </c>
      <c r="R459" s="77">
        <v>17</v>
      </c>
      <c r="S459" s="77">
        <f>STOCK[[#This Row],[Peso (g)]]*STOCK[[#This Row],[Precio Envío Kilogramo (USD)]]/1000</f>
        <v>7.395</v>
      </c>
      <c r="T459" s="76">
        <f>STOCK[[#This Row],[Costo Unitario (USD)]]+STOCK[[#This Row],[Costo Envío (USD)]]+STOCK[[#This Row],[Comisión 10%]]</f>
        <v>24.3722727272727</v>
      </c>
      <c r="U459" s="77">
        <f>STOCK[[#This Row],[Costo total]]*1.5</f>
        <v>36.5584090909091</v>
      </c>
      <c r="V459" s="77">
        <v>30</v>
      </c>
      <c r="W459" s="77">
        <f>STOCK[[#This Row],[Precio Final]]-STOCK[[#This Row],[Costo total]]</f>
        <v>5.6277272727273</v>
      </c>
      <c r="X459" s="77">
        <f>STOCK[[#This Row],[Ganancia Unitaria]]*STOCK[[#This Row],[Salidas]]</f>
        <v>0</v>
      </c>
      <c r="AA459" s="77">
        <f>STOCK[[#This Row],[Costo total]]*STOCK[[#This Row],[Entradas]]</f>
        <v>0</v>
      </c>
      <c r="AB459" s="77">
        <f>STOCK[[#This Row],[Stock Actual]]*STOCK[[#This Row],[Costo total]]</f>
        <v>0</v>
      </c>
    </row>
    <row r="460" s="76" customFormat="1" ht="50" customHeight="1" spans="1:28">
      <c r="A460" s="76" t="s">
        <v>959</v>
      </c>
      <c r="B460" s="6"/>
      <c r="C460" s="76" t="s">
        <v>30</v>
      </c>
      <c r="D460" s="76" t="s">
        <v>151</v>
      </c>
      <c r="E460" s="76" t="s">
        <v>960</v>
      </c>
      <c r="F460" s="76" t="s">
        <v>60</v>
      </c>
      <c r="G460" s="76" t="s">
        <v>34</v>
      </c>
      <c r="H460" s="76">
        <f>STOCK[[#This Row],[Precio Final]]</f>
        <v>28</v>
      </c>
      <c r="I460" s="76">
        <f>STOCK[[#This Row],[Precio Venta Ideal (x1.5)]]</f>
        <v>36.2584090909091</v>
      </c>
      <c r="J460" s="91">
        <v>2</v>
      </c>
      <c r="K460" s="91">
        <f>SUMIFS(VENTAS[Cantidad],VENTAS[Código del producto Vendido],STOCK[[#This Row],[Code]])</f>
        <v>2</v>
      </c>
      <c r="L460" s="91">
        <f>STOCK[[#This Row],[Entradas]]-STOCK[[#This Row],[Salidas]]</f>
        <v>0</v>
      </c>
      <c r="M460" s="76">
        <f>STOCK[[#This Row],[Precio Final]]*10%</f>
        <v>2.8</v>
      </c>
      <c r="N460" s="76">
        <v>246</v>
      </c>
      <c r="O460" s="76">
        <v>17.6</v>
      </c>
      <c r="P460" s="76">
        <v>13.9772727272727</v>
      </c>
      <c r="Q460" s="91">
        <v>435</v>
      </c>
      <c r="R460" s="76">
        <v>17</v>
      </c>
      <c r="S460" s="76">
        <f>STOCK[[#This Row],[Peso (g)]]*STOCK[[#This Row],[Precio Envío Kilogramo (USD)]]/1000</f>
        <v>7.395</v>
      </c>
      <c r="T460" s="76">
        <f>STOCK[[#This Row],[Costo Unitario (USD)]]+STOCK[[#This Row],[Costo Envío (USD)]]+STOCK[[#This Row],[Comisión 10%]]</f>
        <v>24.1722727272727</v>
      </c>
      <c r="U460" s="76">
        <f>STOCK[[#This Row],[Costo total]]*1.5</f>
        <v>36.2584090909091</v>
      </c>
      <c r="V460" s="76">
        <v>28</v>
      </c>
      <c r="W460" s="76">
        <f>STOCK[[#This Row],[Precio Final]]-STOCK[[#This Row],[Costo total]]</f>
        <v>3.8277272727273</v>
      </c>
      <c r="X460" s="76">
        <f>STOCK[[#This Row],[Ganancia Unitaria]]*STOCK[[#This Row],[Salidas]]</f>
        <v>7.6554545454546</v>
      </c>
      <c r="Y460" s="76" t="s">
        <v>926</v>
      </c>
      <c r="AA460" s="76">
        <f>STOCK[[#This Row],[Costo total]]*STOCK[[#This Row],[Entradas]]</f>
        <v>48.3445454545454</v>
      </c>
      <c r="AB460" s="76">
        <f>STOCK[[#This Row],[Stock Actual]]*STOCK[[#This Row],[Costo total]]</f>
        <v>0</v>
      </c>
    </row>
    <row r="461" s="77" customFormat="1" ht="50" customHeight="1" spans="1:28">
      <c r="A461" s="77" t="s">
        <v>961</v>
      </c>
      <c r="B461" s="6"/>
      <c r="C461" s="77" t="s">
        <v>30</v>
      </c>
      <c r="D461" s="77" t="s">
        <v>151</v>
      </c>
      <c r="E461" s="77" t="s">
        <v>958</v>
      </c>
      <c r="F461" s="77" t="s">
        <v>47</v>
      </c>
      <c r="G461" s="77" t="s">
        <v>34</v>
      </c>
      <c r="H461" s="77">
        <f>STOCK[[#This Row],[Precio Final]]</f>
        <v>28</v>
      </c>
      <c r="I461" s="77">
        <f>STOCK[[#This Row],[Precio Venta Ideal (x1.5)]]</f>
        <v>36.2584090909091</v>
      </c>
      <c r="J461" s="92">
        <v>2</v>
      </c>
      <c r="K461" s="92">
        <f>SUMIFS(VENTAS[Cantidad],VENTAS[Código del producto Vendido],STOCK[[#This Row],[Code]])</f>
        <v>2</v>
      </c>
      <c r="L461" s="92">
        <f>STOCK[[#This Row],[Entradas]]-STOCK[[#This Row],[Salidas]]</f>
        <v>0</v>
      </c>
      <c r="M461" s="77">
        <f>STOCK[[#This Row],[Precio Final]]*10%</f>
        <v>2.8</v>
      </c>
      <c r="N461" s="77">
        <v>246</v>
      </c>
      <c r="O461" s="77">
        <v>17.6</v>
      </c>
      <c r="P461" s="77">
        <v>13.9772727272727</v>
      </c>
      <c r="Q461" s="92">
        <v>435</v>
      </c>
      <c r="R461" s="77">
        <v>17</v>
      </c>
      <c r="S461" s="77">
        <f>STOCK[[#This Row],[Peso (g)]]*STOCK[[#This Row],[Precio Envío Kilogramo (USD)]]/1000</f>
        <v>7.395</v>
      </c>
      <c r="T461" s="76">
        <f>STOCK[[#This Row],[Costo Unitario (USD)]]+STOCK[[#This Row],[Costo Envío (USD)]]+STOCK[[#This Row],[Comisión 10%]]</f>
        <v>24.1722727272727</v>
      </c>
      <c r="U461" s="77">
        <f>STOCK[[#This Row],[Costo total]]*1.5</f>
        <v>36.2584090909091</v>
      </c>
      <c r="V461" s="77">
        <v>28</v>
      </c>
      <c r="W461" s="77">
        <f>STOCK[[#This Row],[Precio Final]]-STOCK[[#This Row],[Costo total]]</f>
        <v>3.8277272727273</v>
      </c>
      <c r="X461" s="77">
        <f>STOCK[[#This Row],[Ganancia Unitaria]]*STOCK[[#This Row],[Salidas]]</f>
        <v>7.6554545454546</v>
      </c>
      <c r="AA461" s="77">
        <f>STOCK[[#This Row],[Costo total]]*STOCK[[#This Row],[Entradas]]</f>
        <v>48.3445454545454</v>
      </c>
      <c r="AB461" s="77">
        <f>STOCK[[#This Row],[Stock Actual]]*STOCK[[#This Row],[Costo total]]</f>
        <v>0</v>
      </c>
    </row>
    <row r="462" s="76" customFormat="1" ht="50" customHeight="1" spans="1:28">
      <c r="A462" s="76" t="s">
        <v>962</v>
      </c>
      <c r="B462" s="6"/>
      <c r="C462" s="76" t="s">
        <v>30</v>
      </c>
      <c r="D462" s="76" t="s">
        <v>963</v>
      </c>
      <c r="E462" s="76" t="s">
        <v>960</v>
      </c>
      <c r="F462" s="76" t="s">
        <v>204</v>
      </c>
      <c r="G462" s="76" t="s">
        <v>34</v>
      </c>
      <c r="H462" s="76">
        <f>STOCK[[#This Row],[Precio Final]]</f>
        <v>28</v>
      </c>
      <c r="I462" s="76">
        <f>STOCK[[#This Row],[Precio Venta Ideal (x1.5)]]</f>
        <v>36.2584090909091</v>
      </c>
      <c r="J462" s="91">
        <v>3</v>
      </c>
      <c r="K462" s="91">
        <f>SUMIFS(VENTAS[Cantidad],VENTAS[Código del producto Vendido],STOCK[[#This Row],[Code]])</f>
        <v>3</v>
      </c>
      <c r="L462" s="91">
        <f>STOCK[[#This Row],[Entradas]]-STOCK[[#This Row],[Salidas]]</f>
        <v>0</v>
      </c>
      <c r="M462" s="76">
        <f>STOCK[[#This Row],[Precio Final]]*10%</f>
        <v>2.8</v>
      </c>
      <c r="N462" s="76">
        <v>246</v>
      </c>
      <c r="O462" s="76">
        <v>17.6</v>
      </c>
      <c r="P462" s="76">
        <v>13.9772727272727</v>
      </c>
      <c r="Q462" s="91">
        <v>435</v>
      </c>
      <c r="R462" s="76">
        <v>17</v>
      </c>
      <c r="S462" s="76">
        <f>STOCK[[#This Row],[Peso (g)]]*STOCK[[#This Row],[Precio Envío Kilogramo (USD)]]/1000</f>
        <v>7.395</v>
      </c>
      <c r="T462" s="76">
        <f>STOCK[[#This Row],[Costo Unitario (USD)]]+STOCK[[#This Row],[Costo Envío (USD)]]+STOCK[[#This Row],[Comisión 10%]]</f>
        <v>24.1722727272727</v>
      </c>
      <c r="U462" s="76">
        <f>STOCK[[#This Row],[Costo total]]*1.5</f>
        <v>36.2584090909091</v>
      </c>
      <c r="V462" s="76">
        <v>28</v>
      </c>
      <c r="W462" s="76">
        <f>STOCK[[#This Row],[Precio Final]]-STOCK[[#This Row],[Costo total]]</f>
        <v>3.8277272727273</v>
      </c>
      <c r="X462" s="76">
        <f>STOCK[[#This Row],[Ganancia Unitaria]]*STOCK[[#This Row],[Salidas]]</f>
        <v>11.4831818181819</v>
      </c>
      <c r="AA462" s="76">
        <f>STOCK[[#This Row],[Costo total]]*STOCK[[#This Row],[Entradas]]</f>
        <v>72.5168181818181</v>
      </c>
      <c r="AB462" s="76">
        <f>STOCK[[#This Row],[Stock Actual]]*STOCK[[#This Row],[Costo total]]</f>
        <v>0</v>
      </c>
    </row>
    <row r="463" s="77" customFormat="1" ht="50" customHeight="1" spans="1:28">
      <c r="A463" s="77" t="s">
        <v>964</v>
      </c>
      <c r="B463" s="6"/>
      <c r="C463" s="77" t="s">
        <v>30</v>
      </c>
      <c r="D463" s="77" t="s">
        <v>965</v>
      </c>
      <c r="E463" s="77" t="s">
        <v>946</v>
      </c>
      <c r="F463" s="77" t="s">
        <v>60</v>
      </c>
      <c r="G463" s="77" t="s">
        <v>34</v>
      </c>
      <c r="H463" s="77">
        <f>STOCK[[#This Row],[Precio Final]]</f>
        <v>10</v>
      </c>
      <c r="I463" s="77">
        <f>STOCK[[#This Row],[Precio Venta Ideal (x1.5)]]</f>
        <v>11.6761363636364</v>
      </c>
      <c r="J463" s="92">
        <v>2</v>
      </c>
      <c r="K463" s="92">
        <f>SUMIFS(VENTAS[Cantidad],VENTAS[Código del producto Vendido],STOCK[[#This Row],[Code]])</f>
        <v>2</v>
      </c>
      <c r="L463" s="92">
        <f>STOCK[[#This Row],[Entradas]]-STOCK[[#This Row],[Salidas]]</f>
        <v>0</v>
      </c>
      <c r="M463" s="77">
        <f>STOCK[[#This Row],[Precio Final]]*10%</f>
        <v>1</v>
      </c>
      <c r="N463" s="77">
        <v>82</v>
      </c>
      <c r="O463" s="77">
        <v>17.6</v>
      </c>
      <c r="P463" s="77">
        <v>4.65909090909091</v>
      </c>
      <c r="Q463" s="92">
        <v>125</v>
      </c>
      <c r="R463" s="77">
        <v>17</v>
      </c>
      <c r="S463" s="77">
        <f>STOCK[[#This Row],[Peso (g)]]*STOCK[[#This Row],[Precio Envío Kilogramo (USD)]]/1000</f>
        <v>2.125</v>
      </c>
      <c r="T463" s="76">
        <f>STOCK[[#This Row],[Costo Unitario (USD)]]+STOCK[[#This Row],[Costo Envío (USD)]]+STOCK[[#This Row],[Comisión 10%]]</f>
        <v>7.78409090909091</v>
      </c>
      <c r="U463" s="77">
        <f>STOCK[[#This Row],[Costo total]]*1.5</f>
        <v>11.6761363636364</v>
      </c>
      <c r="V463" s="77">
        <v>10</v>
      </c>
      <c r="W463" s="77">
        <f>STOCK[[#This Row],[Precio Final]]-STOCK[[#This Row],[Costo total]]</f>
        <v>2.21590909090909</v>
      </c>
      <c r="X463" s="77">
        <f>STOCK[[#This Row],[Ganancia Unitaria]]*STOCK[[#This Row],[Salidas]]</f>
        <v>4.43181818181818</v>
      </c>
      <c r="AA463" s="77">
        <f>STOCK[[#This Row],[Costo total]]*STOCK[[#This Row],[Entradas]]</f>
        <v>15.5681818181818</v>
      </c>
      <c r="AB463" s="77">
        <f>STOCK[[#This Row],[Stock Actual]]*STOCK[[#This Row],[Costo total]]</f>
        <v>0</v>
      </c>
    </row>
    <row r="464" s="76" customFormat="1" ht="50" customHeight="1" spans="1:28">
      <c r="A464" s="76" t="s">
        <v>966</v>
      </c>
      <c r="B464" s="6"/>
      <c r="C464" s="76" t="s">
        <v>30</v>
      </c>
      <c r="D464" s="76" t="s">
        <v>965</v>
      </c>
      <c r="E464" s="76" t="s">
        <v>967</v>
      </c>
      <c r="F464" s="76" t="s">
        <v>968</v>
      </c>
      <c r="G464" s="76" t="s">
        <v>34</v>
      </c>
      <c r="H464" s="76">
        <f>STOCK[[#This Row],[Precio Final]]</f>
        <v>10</v>
      </c>
      <c r="I464" s="76">
        <f>STOCK[[#This Row],[Precio Venta Ideal (x1.5)]]</f>
        <v>11.6761363636364</v>
      </c>
      <c r="J464" s="91">
        <v>2</v>
      </c>
      <c r="K464" s="91">
        <f>SUMIFS(VENTAS[Cantidad],VENTAS[Código del producto Vendido],STOCK[[#This Row],[Code]])</f>
        <v>2</v>
      </c>
      <c r="L464" s="91">
        <f>STOCK[[#This Row],[Entradas]]-STOCK[[#This Row],[Salidas]]</f>
        <v>0</v>
      </c>
      <c r="M464" s="76">
        <f>STOCK[[#This Row],[Precio Final]]*10%</f>
        <v>1</v>
      </c>
      <c r="N464" s="76">
        <v>82</v>
      </c>
      <c r="O464" s="76">
        <v>17.6</v>
      </c>
      <c r="P464" s="76">
        <v>4.65909090909091</v>
      </c>
      <c r="Q464" s="91">
        <v>125</v>
      </c>
      <c r="R464" s="76">
        <v>17</v>
      </c>
      <c r="S464" s="76">
        <f>STOCK[[#This Row],[Peso (g)]]*STOCK[[#This Row],[Precio Envío Kilogramo (USD)]]/1000</f>
        <v>2.125</v>
      </c>
      <c r="T464" s="76">
        <f>STOCK[[#This Row],[Costo Unitario (USD)]]+STOCK[[#This Row],[Costo Envío (USD)]]+STOCK[[#This Row],[Comisión 10%]]</f>
        <v>7.78409090909091</v>
      </c>
      <c r="U464" s="76">
        <f>STOCK[[#This Row],[Costo total]]*1.5</f>
        <v>11.6761363636364</v>
      </c>
      <c r="V464" s="76">
        <v>10</v>
      </c>
      <c r="W464" s="76">
        <f>STOCK[[#This Row],[Precio Final]]-STOCK[[#This Row],[Costo total]]</f>
        <v>2.21590909090909</v>
      </c>
      <c r="X464" s="76">
        <f>STOCK[[#This Row],[Ganancia Unitaria]]*STOCK[[#This Row],[Salidas]]</f>
        <v>4.43181818181818</v>
      </c>
      <c r="AA464" s="76">
        <f>STOCK[[#This Row],[Costo total]]*STOCK[[#This Row],[Entradas]]</f>
        <v>15.5681818181818</v>
      </c>
      <c r="AB464" s="76">
        <f>STOCK[[#This Row],[Stock Actual]]*STOCK[[#This Row],[Costo total]]</f>
        <v>0</v>
      </c>
    </row>
    <row r="465" s="77" customFormat="1" ht="50" customHeight="1" spans="1:28">
      <c r="A465" s="77" t="s">
        <v>969</v>
      </c>
      <c r="B465" s="6"/>
      <c r="C465" s="77" t="s">
        <v>30</v>
      </c>
      <c r="D465" s="77" t="s">
        <v>965</v>
      </c>
      <c r="E465" s="77" t="s">
        <v>967</v>
      </c>
      <c r="F465" s="77" t="s">
        <v>970</v>
      </c>
      <c r="G465" s="77" t="s">
        <v>34</v>
      </c>
      <c r="H465" s="77">
        <f>STOCK[[#This Row],[Precio Final]]</f>
        <v>10</v>
      </c>
      <c r="I465" s="77">
        <f>STOCK[[#This Row],[Precio Venta Ideal (x1.5)]]</f>
        <v>11.6761363636364</v>
      </c>
      <c r="J465" s="92">
        <v>1</v>
      </c>
      <c r="K465" s="92">
        <f>SUMIFS(VENTAS[Cantidad],VENTAS[Código del producto Vendido],STOCK[[#This Row],[Code]])</f>
        <v>1</v>
      </c>
      <c r="L465" s="92">
        <f>STOCK[[#This Row],[Entradas]]-STOCK[[#This Row],[Salidas]]</f>
        <v>0</v>
      </c>
      <c r="M465" s="77">
        <f>STOCK[[#This Row],[Precio Final]]*10%</f>
        <v>1</v>
      </c>
      <c r="N465" s="77">
        <v>82</v>
      </c>
      <c r="O465" s="77">
        <v>17.6</v>
      </c>
      <c r="P465" s="77">
        <v>4.65909090909091</v>
      </c>
      <c r="Q465" s="92">
        <v>125</v>
      </c>
      <c r="R465" s="77">
        <v>17</v>
      </c>
      <c r="S465" s="77">
        <f>STOCK[[#This Row],[Peso (g)]]*STOCK[[#This Row],[Precio Envío Kilogramo (USD)]]/1000</f>
        <v>2.125</v>
      </c>
      <c r="T465" s="76">
        <f>STOCK[[#This Row],[Costo Unitario (USD)]]+STOCK[[#This Row],[Costo Envío (USD)]]+STOCK[[#This Row],[Comisión 10%]]</f>
        <v>7.78409090909091</v>
      </c>
      <c r="U465" s="77">
        <f>STOCK[[#This Row],[Costo total]]*1.5</f>
        <v>11.6761363636364</v>
      </c>
      <c r="V465" s="77">
        <v>10</v>
      </c>
      <c r="W465" s="77">
        <f>STOCK[[#This Row],[Precio Final]]-STOCK[[#This Row],[Costo total]]</f>
        <v>2.21590909090909</v>
      </c>
      <c r="X465" s="77">
        <f>STOCK[[#This Row],[Ganancia Unitaria]]*STOCK[[#This Row],[Salidas]]</f>
        <v>2.21590909090909</v>
      </c>
      <c r="AA465" s="77">
        <f>STOCK[[#This Row],[Costo total]]*STOCK[[#This Row],[Entradas]]</f>
        <v>7.78409090909091</v>
      </c>
      <c r="AB465" s="77">
        <f>STOCK[[#This Row],[Stock Actual]]*STOCK[[#This Row],[Costo total]]</f>
        <v>0</v>
      </c>
    </row>
    <row r="466" s="76" customFormat="1" ht="50" customHeight="1" spans="1:28">
      <c r="A466" s="76" t="s">
        <v>971</v>
      </c>
      <c r="B466" s="6"/>
      <c r="C466" s="76" t="s">
        <v>30</v>
      </c>
      <c r="D466" s="76" t="s">
        <v>36</v>
      </c>
      <c r="E466" s="76" t="s">
        <v>972</v>
      </c>
      <c r="F466" s="76" t="s">
        <v>60</v>
      </c>
      <c r="G466" s="76" t="s">
        <v>34</v>
      </c>
      <c r="H466" s="76">
        <f>STOCK[[#This Row],[Precio Final]]</f>
        <v>25</v>
      </c>
      <c r="I466" s="76">
        <f>STOCK[[#This Row],[Precio Venta Ideal (x1.5)]]</f>
        <v>26.7375</v>
      </c>
      <c r="J466" s="91">
        <v>1</v>
      </c>
      <c r="K466" s="91">
        <f>SUMIFS(VENTAS[Cantidad],VENTAS[Código del producto Vendido],STOCK[[#This Row],[Code]])</f>
        <v>1</v>
      </c>
      <c r="L466" s="91">
        <f>STOCK[[#This Row],[Entradas]]-STOCK[[#This Row],[Salidas]]</f>
        <v>0</v>
      </c>
      <c r="M466" s="76">
        <f>STOCK[[#This Row],[Precio Final]]*10%</f>
        <v>2.5</v>
      </c>
      <c r="N466" s="76">
        <v>165</v>
      </c>
      <c r="O466" s="76">
        <v>17.6</v>
      </c>
      <c r="P466" s="76">
        <v>9.375</v>
      </c>
      <c r="Q466" s="91">
        <v>350</v>
      </c>
      <c r="R466" s="76">
        <v>17</v>
      </c>
      <c r="S466" s="76">
        <f>STOCK[[#This Row],[Peso (g)]]*STOCK[[#This Row],[Precio Envío Kilogramo (USD)]]/1000</f>
        <v>5.95</v>
      </c>
      <c r="T466" s="76">
        <f>STOCK[[#This Row],[Costo Unitario (USD)]]+STOCK[[#This Row],[Costo Envío (USD)]]+STOCK[[#This Row],[Comisión 10%]]</f>
        <v>17.825</v>
      </c>
      <c r="U466" s="76">
        <f>STOCK[[#This Row],[Costo total]]*1.5</f>
        <v>26.7375</v>
      </c>
      <c r="V466" s="76">
        <v>25</v>
      </c>
      <c r="W466" s="76">
        <f>STOCK[[#This Row],[Precio Final]]-STOCK[[#This Row],[Costo total]]</f>
        <v>7.175</v>
      </c>
      <c r="X466" s="76">
        <f>STOCK[[#This Row],[Ganancia Unitaria]]*STOCK[[#This Row],[Salidas]]</f>
        <v>7.175</v>
      </c>
      <c r="Y466" s="76" t="s">
        <v>926</v>
      </c>
      <c r="AA466" s="76">
        <f>STOCK[[#This Row],[Costo total]]*STOCK[[#This Row],[Entradas]]</f>
        <v>17.825</v>
      </c>
      <c r="AB466" s="76">
        <f>STOCK[[#This Row],[Stock Actual]]*STOCK[[#This Row],[Costo total]]</f>
        <v>0</v>
      </c>
    </row>
    <row r="467" s="77" customFormat="1" ht="50" customHeight="1" spans="1:28">
      <c r="A467" s="77" t="s">
        <v>973</v>
      </c>
      <c r="B467" s="6"/>
      <c r="C467" s="77" t="s">
        <v>30</v>
      </c>
      <c r="D467" s="77" t="s">
        <v>974</v>
      </c>
      <c r="E467" s="77" t="s">
        <v>975</v>
      </c>
      <c r="F467" s="77" t="s">
        <v>44</v>
      </c>
      <c r="G467" s="77" t="s">
        <v>34</v>
      </c>
      <c r="H467" s="77">
        <f>STOCK[[#This Row],[Precio Final]]</f>
        <v>25</v>
      </c>
      <c r="I467" s="77">
        <f>STOCK[[#This Row],[Precio Venta Ideal (x1.5)]]</f>
        <v>26.7375</v>
      </c>
      <c r="J467" s="92">
        <v>2</v>
      </c>
      <c r="K467" s="92">
        <f>SUMIFS(VENTAS[Cantidad],VENTAS[Código del producto Vendido],STOCK[[#This Row],[Code]])</f>
        <v>2</v>
      </c>
      <c r="L467" s="92">
        <f>STOCK[[#This Row],[Entradas]]-STOCK[[#This Row],[Salidas]]</f>
        <v>0</v>
      </c>
      <c r="M467" s="77">
        <f>STOCK[[#This Row],[Precio Final]]*10%</f>
        <v>2.5</v>
      </c>
      <c r="N467" s="77">
        <v>165</v>
      </c>
      <c r="O467" s="77">
        <v>17.6</v>
      </c>
      <c r="P467" s="77">
        <v>9.375</v>
      </c>
      <c r="Q467" s="92">
        <v>350</v>
      </c>
      <c r="R467" s="77">
        <v>17</v>
      </c>
      <c r="S467" s="77">
        <f>STOCK[[#This Row],[Peso (g)]]*STOCK[[#This Row],[Precio Envío Kilogramo (USD)]]/1000</f>
        <v>5.95</v>
      </c>
      <c r="T467" s="76">
        <f>STOCK[[#This Row],[Costo Unitario (USD)]]+STOCK[[#This Row],[Costo Envío (USD)]]+STOCK[[#This Row],[Comisión 10%]]</f>
        <v>17.825</v>
      </c>
      <c r="U467" s="77">
        <f>STOCK[[#This Row],[Costo total]]*1.5</f>
        <v>26.7375</v>
      </c>
      <c r="V467" s="77">
        <v>25</v>
      </c>
      <c r="W467" s="77">
        <f>STOCK[[#This Row],[Precio Final]]-STOCK[[#This Row],[Costo total]]</f>
        <v>7.175</v>
      </c>
      <c r="X467" s="77">
        <f>STOCK[[#This Row],[Ganancia Unitaria]]*STOCK[[#This Row],[Salidas]]</f>
        <v>14.35</v>
      </c>
      <c r="AA467" s="77">
        <f>STOCK[[#This Row],[Costo total]]*STOCK[[#This Row],[Entradas]]</f>
        <v>35.65</v>
      </c>
      <c r="AB467" s="77">
        <f>STOCK[[#This Row],[Stock Actual]]*STOCK[[#This Row],[Costo total]]</f>
        <v>0</v>
      </c>
    </row>
    <row r="468" s="76" customFormat="1" ht="50" customHeight="1" spans="1:28">
      <c r="A468" s="76" t="s">
        <v>976</v>
      </c>
      <c r="B468" s="6"/>
      <c r="C468" s="76" t="s">
        <v>30</v>
      </c>
      <c r="D468" s="76" t="s">
        <v>123</v>
      </c>
      <c r="E468" s="76" t="s">
        <v>977</v>
      </c>
      <c r="F468" s="76" t="s">
        <v>954</v>
      </c>
      <c r="G468" s="76" t="s">
        <v>34</v>
      </c>
      <c r="H468" s="76">
        <f>STOCK[[#This Row],[Precio Final]]</f>
        <v>25</v>
      </c>
      <c r="I468" s="76">
        <f>STOCK[[#This Row],[Precio Venta Ideal (x1.5)]]</f>
        <v>25.465909090909</v>
      </c>
      <c r="J468" s="91">
        <v>1</v>
      </c>
      <c r="K468" s="91">
        <f>SUMIFS(VENTAS[Cantidad],VENTAS[Código del producto Vendido],STOCK[[#This Row],[Code]])</f>
        <v>1</v>
      </c>
      <c r="L468" s="91">
        <f>STOCK[[#This Row],[Entradas]]-STOCK[[#This Row],[Salidas]]</f>
        <v>0</v>
      </c>
      <c r="M468" s="76">
        <f>STOCK[[#This Row],[Precio Final]]*10%</f>
        <v>2.5</v>
      </c>
      <c r="N468" s="76">
        <v>180</v>
      </c>
      <c r="O468" s="76">
        <v>17.6</v>
      </c>
      <c r="P468" s="76">
        <v>10.2272727272727</v>
      </c>
      <c r="Q468" s="91">
        <v>250</v>
      </c>
      <c r="R468" s="76">
        <v>17</v>
      </c>
      <c r="S468" s="76">
        <f>STOCK[[#This Row],[Peso (g)]]*STOCK[[#This Row],[Precio Envío Kilogramo (USD)]]/1000</f>
        <v>4.25</v>
      </c>
      <c r="T468" s="76">
        <f>STOCK[[#This Row],[Costo Unitario (USD)]]+STOCK[[#This Row],[Costo Envío (USD)]]+STOCK[[#This Row],[Comisión 10%]]</f>
        <v>16.9772727272727</v>
      </c>
      <c r="U468" s="76">
        <f>STOCK[[#This Row],[Costo total]]*1.5</f>
        <v>25.465909090909</v>
      </c>
      <c r="V468" s="76">
        <v>25</v>
      </c>
      <c r="W468" s="76">
        <f>STOCK[[#This Row],[Precio Final]]-STOCK[[#This Row],[Costo total]]</f>
        <v>8.0227272727273</v>
      </c>
      <c r="X468" s="76">
        <f>STOCK[[#This Row],[Ganancia Unitaria]]*STOCK[[#This Row],[Salidas]]</f>
        <v>8.0227272727273</v>
      </c>
      <c r="Y468" s="76" t="s">
        <v>978</v>
      </c>
      <c r="AA468" s="76">
        <f>STOCK[[#This Row],[Costo total]]*STOCK[[#This Row],[Entradas]]</f>
        <v>16.9772727272727</v>
      </c>
      <c r="AB468" s="76">
        <f>STOCK[[#This Row],[Stock Actual]]*STOCK[[#This Row],[Costo total]]</f>
        <v>0</v>
      </c>
    </row>
    <row r="469" s="77" customFormat="1" ht="50" customHeight="1" spans="1:28">
      <c r="A469" s="77" t="s">
        <v>979</v>
      </c>
      <c r="B469" s="6"/>
      <c r="C469" s="77" t="s">
        <v>30</v>
      </c>
      <c r="D469" s="77" t="s">
        <v>173</v>
      </c>
      <c r="E469" s="77" t="s">
        <v>980</v>
      </c>
      <c r="F469" s="77" t="s">
        <v>44</v>
      </c>
      <c r="G469" s="77" t="s">
        <v>34</v>
      </c>
      <c r="H469" s="77">
        <f>STOCK[[#This Row],[Precio Final]]</f>
        <v>12</v>
      </c>
      <c r="I469" s="77">
        <f>STOCK[[#This Row],[Precio Venta Ideal (x1.5)]]</f>
        <v>12.0170454545455</v>
      </c>
      <c r="J469" s="92">
        <v>1</v>
      </c>
      <c r="K469" s="92">
        <f>SUMIFS(VENTAS[Cantidad],VENTAS[Código del producto Vendido],STOCK[[#This Row],[Code]])</f>
        <v>1</v>
      </c>
      <c r="L469" s="92">
        <f>STOCK[[#This Row],[Entradas]]-STOCK[[#This Row],[Salidas]]</f>
        <v>0</v>
      </c>
      <c r="M469" s="77">
        <f>STOCK[[#This Row],[Precio Final]]*10%</f>
        <v>1.2</v>
      </c>
      <c r="N469" s="77">
        <v>75</v>
      </c>
      <c r="O469" s="77">
        <v>17.6</v>
      </c>
      <c r="P469" s="77">
        <v>4.26136363636364</v>
      </c>
      <c r="Q469" s="92">
        <v>150</v>
      </c>
      <c r="R469" s="77">
        <v>17</v>
      </c>
      <c r="S469" s="77">
        <f>STOCK[[#This Row],[Peso (g)]]*STOCK[[#This Row],[Precio Envío Kilogramo (USD)]]/1000</f>
        <v>2.55</v>
      </c>
      <c r="T469" s="76">
        <f>STOCK[[#This Row],[Costo Unitario (USD)]]+STOCK[[#This Row],[Costo Envío (USD)]]+STOCK[[#This Row],[Comisión 10%]]</f>
        <v>8.01136363636364</v>
      </c>
      <c r="U469" s="77">
        <f>STOCK[[#This Row],[Costo total]]*1.5</f>
        <v>12.0170454545455</v>
      </c>
      <c r="V469" s="77">
        <v>12</v>
      </c>
      <c r="W469" s="77">
        <f>STOCK[[#This Row],[Precio Final]]-STOCK[[#This Row],[Costo total]]</f>
        <v>3.98863636363636</v>
      </c>
      <c r="X469" s="77">
        <f>STOCK[[#This Row],[Ganancia Unitaria]]*STOCK[[#This Row],[Salidas]]</f>
        <v>3.98863636363636</v>
      </c>
      <c r="AA469" s="77">
        <f>STOCK[[#This Row],[Costo total]]*STOCK[[#This Row],[Entradas]]</f>
        <v>8.01136363636364</v>
      </c>
      <c r="AB469" s="77">
        <f>STOCK[[#This Row],[Stock Actual]]*STOCK[[#This Row],[Costo total]]</f>
        <v>0</v>
      </c>
    </row>
    <row r="470" s="76" customFormat="1" ht="50" customHeight="1" spans="1:28">
      <c r="A470" s="76" t="s">
        <v>981</v>
      </c>
      <c r="B470" s="6"/>
      <c r="C470" s="76" t="s">
        <v>30</v>
      </c>
      <c r="D470" s="76" t="s">
        <v>173</v>
      </c>
      <c r="E470" s="76" t="s">
        <v>980</v>
      </c>
      <c r="F470" s="76" t="s">
        <v>47</v>
      </c>
      <c r="G470" s="76" t="s">
        <v>34</v>
      </c>
      <c r="H470" s="76">
        <f>STOCK[[#This Row],[Precio Final]]</f>
        <v>12</v>
      </c>
      <c r="I470" s="76">
        <f>STOCK[[#This Row],[Precio Venta Ideal (x1.5)]]</f>
        <v>12.0170454545455</v>
      </c>
      <c r="J470" s="91">
        <v>1</v>
      </c>
      <c r="K470" s="91">
        <f>SUMIFS(VENTAS[Cantidad],VENTAS[Código del producto Vendido],STOCK[[#This Row],[Code]])</f>
        <v>1</v>
      </c>
      <c r="L470" s="91">
        <f>STOCK[[#This Row],[Entradas]]-STOCK[[#This Row],[Salidas]]</f>
        <v>0</v>
      </c>
      <c r="M470" s="76">
        <f>STOCK[[#This Row],[Precio Final]]*10%</f>
        <v>1.2</v>
      </c>
      <c r="N470" s="76">
        <v>75</v>
      </c>
      <c r="O470" s="76">
        <v>17.6</v>
      </c>
      <c r="P470" s="76">
        <v>4.26136363636364</v>
      </c>
      <c r="Q470" s="91">
        <v>150</v>
      </c>
      <c r="R470" s="76">
        <v>17</v>
      </c>
      <c r="S470" s="76">
        <f>STOCK[[#This Row],[Peso (g)]]*STOCK[[#This Row],[Precio Envío Kilogramo (USD)]]/1000</f>
        <v>2.55</v>
      </c>
      <c r="T470" s="76">
        <f>STOCK[[#This Row],[Costo Unitario (USD)]]+STOCK[[#This Row],[Costo Envío (USD)]]+STOCK[[#This Row],[Comisión 10%]]</f>
        <v>8.01136363636364</v>
      </c>
      <c r="U470" s="76">
        <f>STOCK[[#This Row],[Costo total]]*1.5</f>
        <v>12.0170454545455</v>
      </c>
      <c r="V470" s="76">
        <v>12</v>
      </c>
      <c r="W470" s="76">
        <f>STOCK[[#This Row],[Precio Final]]-STOCK[[#This Row],[Costo total]]</f>
        <v>3.98863636363636</v>
      </c>
      <c r="X470" s="76">
        <f>STOCK[[#This Row],[Ganancia Unitaria]]*STOCK[[#This Row],[Salidas]]</f>
        <v>3.98863636363636</v>
      </c>
      <c r="Y470" s="76" t="s">
        <v>926</v>
      </c>
      <c r="AA470" s="76">
        <f>STOCK[[#This Row],[Costo total]]*STOCK[[#This Row],[Entradas]]</f>
        <v>8.01136363636364</v>
      </c>
      <c r="AB470" s="76">
        <f>STOCK[[#This Row],[Stock Actual]]*STOCK[[#This Row],[Costo total]]</f>
        <v>0</v>
      </c>
    </row>
    <row r="471" s="77" customFormat="1" ht="50" customHeight="1" spans="1:28">
      <c r="A471" s="77" t="s">
        <v>982</v>
      </c>
      <c r="B471" s="6"/>
      <c r="C471" s="77" t="s">
        <v>30</v>
      </c>
      <c r="D471" s="77" t="s">
        <v>173</v>
      </c>
      <c r="E471" s="77" t="s">
        <v>980</v>
      </c>
      <c r="F471" s="77" t="s">
        <v>60</v>
      </c>
      <c r="G471" s="77" t="s">
        <v>34</v>
      </c>
      <c r="H471" s="77">
        <f>STOCK[[#This Row],[Precio Final]]</f>
        <v>12</v>
      </c>
      <c r="I471" s="77">
        <f>STOCK[[#This Row],[Precio Venta Ideal (x1.5)]]</f>
        <v>12.0170454545455</v>
      </c>
      <c r="J471" s="92">
        <v>1</v>
      </c>
      <c r="K471" s="92">
        <f>SUMIFS(VENTAS[Cantidad],VENTAS[Código del producto Vendido],STOCK[[#This Row],[Code]])</f>
        <v>1</v>
      </c>
      <c r="L471" s="92">
        <f>STOCK[[#This Row],[Entradas]]-STOCK[[#This Row],[Salidas]]</f>
        <v>0</v>
      </c>
      <c r="M471" s="77">
        <f>STOCK[[#This Row],[Precio Final]]*10%</f>
        <v>1.2</v>
      </c>
      <c r="N471" s="77">
        <v>75</v>
      </c>
      <c r="O471" s="77">
        <v>17.6</v>
      </c>
      <c r="P471" s="77">
        <v>4.26136363636364</v>
      </c>
      <c r="Q471" s="92">
        <v>150</v>
      </c>
      <c r="R471" s="77">
        <v>17</v>
      </c>
      <c r="S471" s="77">
        <f>STOCK[[#This Row],[Peso (g)]]*STOCK[[#This Row],[Precio Envío Kilogramo (USD)]]/1000</f>
        <v>2.55</v>
      </c>
      <c r="T471" s="76">
        <f>STOCK[[#This Row],[Costo Unitario (USD)]]+STOCK[[#This Row],[Costo Envío (USD)]]+STOCK[[#This Row],[Comisión 10%]]</f>
        <v>8.01136363636364</v>
      </c>
      <c r="U471" s="77">
        <f>STOCK[[#This Row],[Costo total]]*1.5</f>
        <v>12.0170454545455</v>
      </c>
      <c r="V471" s="77">
        <v>12</v>
      </c>
      <c r="W471" s="77">
        <f>STOCK[[#This Row],[Precio Final]]-STOCK[[#This Row],[Costo total]]</f>
        <v>3.98863636363636</v>
      </c>
      <c r="X471" s="77">
        <f>STOCK[[#This Row],[Ganancia Unitaria]]*STOCK[[#This Row],[Salidas]]</f>
        <v>3.98863636363636</v>
      </c>
      <c r="AA471" s="77">
        <f>STOCK[[#This Row],[Costo total]]*STOCK[[#This Row],[Entradas]]</f>
        <v>8.01136363636364</v>
      </c>
      <c r="AB471" s="77">
        <f>STOCK[[#This Row],[Stock Actual]]*STOCK[[#This Row],[Costo total]]</f>
        <v>0</v>
      </c>
    </row>
    <row r="472" s="76" customFormat="1" ht="50" customHeight="1" spans="1:28">
      <c r="A472" s="76" t="s">
        <v>983</v>
      </c>
      <c r="B472" s="6"/>
      <c r="C472" s="76" t="s">
        <v>30</v>
      </c>
      <c r="D472" s="76" t="s">
        <v>42</v>
      </c>
      <c r="E472" s="76" t="s">
        <v>984</v>
      </c>
      <c r="F472" s="76" t="s">
        <v>60</v>
      </c>
      <c r="G472" s="76" t="s">
        <v>34</v>
      </c>
      <c r="H472" s="76">
        <f>STOCK[[#This Row],[Precio Final]]</f>
        <v>25</v>
      </c>
      <c r="I472" s="76">
        <f>STOCK[[#This Row],[Precio Venta Ideal (x1.5)]]</f>
        <v>27.0415909090909</v>
      </c>
      <c r="J472" s="91">
        <v>1</v>
      </c>
      <c r="K472" s="91">
        <f>SUMIFS(VENTAS[Cantidad],VENTAS[Código del producto Vendido],STOCK[[#This Row],[Code]])</f>
        <v>1</v>
      </c>
      <c r="L472" s="91">
        <f>STOCK[[#This Row],[Entradas]]-STOCK[[#This Row],[Salidas]]</f>
        <v>0</v>
      </c>
      <c r="M472" s="76">
        <f>STOCK[[#This Row],[Precio Final]]*10%</f>
        <v>2.5</v>
      </c>
      <c r="N472" s="76">
        <v>194</v>
      </c>
      <c r="O472" s="76">
        <v>17.6</v>
      </c>
      <c r="P472" s="76">
        <v>11.0227272727273</v>
      </c>
      <c r="Q472" s="91">
        <v>265</v>
      </c>
      <c r="R472" s="76">
        <v>17</v>
      </c>
      <c r="S472" s="76">
        <f>STOCK[[#This Row],[Peso (g)]]*STOCK[[#This Row],[Precio Envío Kilogramo (USD)]]/1000</f>
        <v>4.505</v>
      </c>
      <c r="T472" s="76">
        <f>STOCK[[#This Row],[Costo Unitario (USD)]]+STOCK[[#This Row],[Costo Envío (USD)]]+STOCK[[#This Row],[Comisión 10%]]</f>
        <v>18.0277272727273</v>
      </c>
      <c r="U472" s="76">
        <f>STOCK[[#This Row],[Costo total]]*1.5</f>
        <v>27.0415909090909</v>
      </c>
      <c r="V472" s="76">
        <v>25</v>
      </c>
      <c r="W472" s="76">
        <f>STOCK[[#This Row],[Precio Final]]-STOCK[[#This Row],[Costo total]]</f>
        <v>6.9722727272727</v>
      </c>
      <c r="X472" s="76">
        <f>STOCK[[#This Row],[Ganancia Unitaria]]*STOCK[[#This Row],[Salidas]]</f>
        <v>6.9722727272727</v>
      </c>
      <c r="Y472" s="76" t="s">
        <v>894</v>
      </c>
      <c r="AA472" s="76">
        <f>STOCK[[#This Row],[Costo total]]*STOCK[[#This Row],[Entradas]]</f>
        <v>18.0277272727273</v>
      </c>
      <c r="AB472" s="76">
        <f>STOCK[[#This Row],[Stock Actual]]*STOCK[[#This Row],[Costo total]]</f>
        <v>0</v>
      </c>
    </row>
    <row r="473" s="77" customFormat="1" ht="50" customHeight="1" spans="1:28">
      <c r="A473" s="77" t="s">
        <v>985</v>
      </c>
      <c r="B473" s="6"/>
      <c r="C473" s="77" t="s">
        <v>30</v>
      </c>
      <c r="D473" s="77" t="s">
        <v>42</v>
      </c>
      <c r="E473" s="77" t="s">
        <v>984</v>
      </c>
      <c r="F473" s="77" t="s">
        <v>47</v>
      </c>
      <c r="G473" s="77" t="s">
        <v>34</v>
      </c>
      <c r="H473" s="77">
        <f>STOCK[[#This Row],[Precio Final]]</f>
        <v>25</v>
      </c>
      <c r="I473" s="77">
        <f>STOCK[[#This Row],[Precio Venta Ideal (x1.5)]]</f>
        <v>27.0415909090909</v>
      </c>
      <c r="J473" s="92">
        <v>1</v>
      </c>
      <c r="K473" s="92">
        <f>SUMIFS(VENTAS[Cantidad],VENTAS[Código del producto Vendido],STOCK[[#This Row],[Code]])</f>
        <v>1</v>
      </c>
      <c r="L473" s="92">
        <f>STOCK[[#This Row],[Entradas]]-STOCK[[#This Row],[Salidas]]</f>
        <v>0</v>
      </c>
      <c r="M473" s="77">
        <f>STOCK[[#This Row],[Precio Final]]*10%</f>
        <v>2.5</v>
      </c>
      <c r="N473" s="77">
        <v>194</v>
      </c>
      <c r="O473" s="77">
        <v>17.6</v>
      </c>
      <c r="P473" s="77">
        <v>11.0227272727273</v>
      </c>
      <c r="Q473" s="92">
        <v>265</v>
      </c>
      <c r="R473" s="77">
        <v>17</v>
      </c>
      <c r="S473" s="77">
        <f>STOCK[[#This Row],[Peso (g)]]*STOCK[[#This Row],[Precio Envío Kilogramo (USD)]]/1000</f>
        <v>4.505</v>
      </c>
      <c r="T473" s="76">
        <f>STOCK[[#This Row],[Costo Unitario (USD)]]+STOCK[[#This Row],[Costo Envío (USD)]]+STOCK[[#This Row],[Comisión 10%]]</f>
        <v>18.0277272727273</v>
      </c>
      <c r="U473" s="77">
        <f>STOCK[[#This Row],[Costo total]]*1.5</f>
        <v>27.0415909090909</v>
      </c>
      <c r="V473" s="77">
        <v>25</v>
      </c>
      <c r="W473" s="77">
        <f>STOCK[[#This Row],[Precio Final]]-STOCK[[#This Row],[Costo total]]</f>
        <v>6.9722727272727</v>
      </c>
      <c r="X473" s="77">
        <f>STOCK[[#This Row],[Ganancia Unitaria]]*STOCK[[#This Row],[Salidas]]</f>
        <v>6.9722727272727</v>
      </c>
      <c r="Y473" s="77" t="s">
        <v>894</v>
      </c>
      <c r="AA473" s="77">
        <f>STOCK[[#This Row],[Costo total]]*STOCK[[#This Row],[Entradas]]</f>
        <v>18.0277272727273</v>
      </c>
      <c r="AB473" s="77">
        <f>STOCK[[#This Row],[Stock Actual]]*STOCK[[#This Row],[Costo total]]</f>
        <v>0</v>
      </c>
    </row>
    <row r="474" s="76" customFormat="1" ht="50" customHeight="1" spans="1:28">
      <c r="A474" s="76" t="s">
        <v>986</v>
      </c>
      <c r="B474" s="6"/>
      <c r="C474" s="76" t="s">
        <v>30</v>
      </c>
      <c r="D474" s="76" t="s">
        <v>212</v>
      </c>
      <c r="E474" s="76" t="s">
        <v>987</v>
      </c>
      <c r="F474" s="76" t="s">
        <v>204</v>
      </c>
      <c r="G474" s="76" t="s">
        <v>34</v>
      </c>
      <c r="H474" s="76">
        <f>STOCK[[#This Row],[Precio Final]]</f>
        <v>20</v>
      </c>
      <c r="I474" s="76">
        <f>STOCK[[#This Row],[Precio Venta Ideal (x1.5)]]</f>
        <v>26.2915909090909</v>
      </c>
      <c r="J474" s="91">
        <v>1</v>
      </c>
      <c r="K474" s="91">
        <f>SUMIFS(VENTAS[Cantidad],VENTAS[Código del producto Vendido],STOCK[[#This Row],[Code]])</f>
        <v>1</v>
      </c>
      <c r="L474" s="91">
        <f>STOCK[[#This Row],[Entradas]]-STOCK[[#This Row],[Salidas]]</f>
        <v>0</v>
      </c>
      <c r="M474" s="76">
        <f>STOCK[[#This Row],[Precio Final]]*10%</f>
        <v>2</v>
      </c>
      <c r="N474" s="76">
        <v>194</v>
      </c>
      <c r="O474" s="76">
        <v>17.6</v>
      </c>
      <c r="P474" s="76">
        <v>11.0227272727273</v>
      </c>
      <c r="Q474" s="91">
        <v>265</v>
      </c>
      <c r="R474" s="76">
        <v>17</v>
      </c>
      <c r="S474" s="76">
        <f>STOCK[[#This Row],[Peso (g)]]*STOCK[[#This Row],[Precio Envío Kilogramo (USD)]]/1000</f>
        <v>4.505</v>
      </c>
      <c r="T474" s="76">
        <f>STOCK[[#This Row],[Costo Unitario (USD)]]+STOCK[[#This Row],[Costo Envío (USD)]]+STOCK[[#This Row],[Comisión 10%]]</f>
        <v>17.5277272727273</v>
      </c>
      <c r="U474" s="76">
        <f>STOCK[[#This Row],[Costo total]]*1.5</f>
        <v>26.2915909090909</v>
      </c>
      <c r="V474" s="76">
        <v>20</v>
      </c>
      <c r="W474" s="76">
        <f>STOCK[[#This Row],[Precio Final]]-STOCK[[#This Row],[Costo total]]</f>
        <v>2.4722727272727</v>
      </c>
      <c r="X474" s="76">
        <f>STOCK[[#This Row],[Ganancia Unitaria]]*STOCK[[#This Row],[Salidas]]</f>
        <v>2.4722727272727</v>
      </c>
      <c r="Y474" s="76" t="s">
        <v>894</v>
      </c>
      <c r="AA474" s="76">
        <f>STOCK[[#This Row],[Costo total]]*STOCK[[#This Row],[Entradas]]</f>
        <v>17.5277272727273</v>
      </c>
      <c r="AB474" s="76">
        <f>STOCK[[#This Row],[Stock Actual]]*STOCK[[#This Row],[Costo total]]</f>
        <v>0</v>
      </c>
    </row>
    <row r="475" s="77" customFormat="1" ht="50" customHeight="1" spans="1:28">
      <c r="A475" s="77" t="s">
        <v>988</v>
      </c>
      <c r="B475" s="6"/>
      <c r="C475" s="77" t="s">
        <v>30</v>
      </c>
      <c r="D475" s="77" t="s">
        <v>173</v>
      </c>
      <c r="E475" s="77" t="s">
        <v>989</v>
      </c>
      <c r="F475" s="77" t="s">
        <v>44</v>
      </c>
      <c r="G475" s="77" t="s">
        <v>34</v>
      </c>
      <c r="H475" s="77">
        <f>STOCK[[#This Row],[Precio Final]]</f>
        <v>12</v>
      </c>
      <c r="I475" s="77">
        <f>STOCK[[#This Row],[Precio Venta Ideal (x1.5)]]</f>
        <v>13.2518181818182</v>
      </c>
      <c r="J475" s="92">
        <v>1</v>
      </c>
      <c r="K475" s="92">
        <f>SUMIFS(VENTAS[Cantidad],VENTAS[Código del producto Vendido],STOCK[[#This Row],[Code]])</f>
        <v>1</v>
      </c>
      <c r="L475" s="92">
        <f>STOCK[[#This Row],[Entradas]]-STOCK[[#This Row],[Salidas]]</f>
        <v>0</v>
      </c>
      <c r="M475" s="77">
        <f>STOCK[[#This Row],[Precio Final]]*10%</f>
        <v>1.2</v>
      </c>
      <c r="N475" s="77">
        <v>85</v>
      </c>
      <c r="O475" s="77">
        <v>17.6</v>
      </c>
      <c r="P475" s="77">
        <v>4.82954545454545</v>
      </c>
      <c r="Q475" s="92">
        <v>165</v>
      </c>
      <c r="R475" s="77">
        <v>17</v>
      </c>
      <c r="S475" s="77">
        <f>STOCK[[#This Row],[Peso (g)]]*STOCK[[#This Row],[Precio Envío Kilogramo (USD)]]/1000</f>
        <v>2.805</v>
      </c>
      <c r="T475" s="76">
        <f>STOCK[[#This Row],[Costo Unitario (USD)]]+STOCK[[#This Row],[Costo Envío (USD)]]+STOCK[[#This Row],[Comisión 10%]]</f>
        <v>8.83454545454545</v>
      </c>
      <c r="U475" s="77">
        <f>STOCK[[#This Row],[Costo total]]*1.5</f>
        <v>13.2518181818182</v>
      </c>
      <c r="V475" s="77">
        <v>12</v>
      </c>
      <c r="W475" s="77">
        <f>STOCK[[#This Row],[Precio Final]]-STOCK[[#This Row],[Costo total]]</f>
        <v>3.16545454545455</v>
      </c>
      <c r="X475" s="77">
        <f>STOCK[[#This Row],[Ganancia Unitaria]]*STOCK[[#This Row],[Salidas]]</f>
        <v>3.16545454545455</v>
      </c>
      <c r="Y475" s="77" t="s">
        <v>894</v>
      </c>
      <c r="AA475" s="77">
        <f>STOCK[[#This Row],[Costo total]]*STOCK[[#This Row],[Entradas]]</f>
        <v>8.83454545454545</v>
      </c>
      <c r="AB475" s="77">
        <f>STOCK[[#This Row],[Stock Actual]]*STOCK[[#This Row],[Costo total]]</f>
        <v>0</v>
      </c>
    </row>
    <row r="476" s="76" customFormat="1" ht="50" customHeight="1" spans="1:28">
      <c r="A476" s="76" t="s">
        <v>990</v>
      </c>
      <c r="B476" s="6"/>
      <c r="C476" s="76" t="s">
        <v>30</v>
      </c>
      <c r="D476" s="76" t="s">
        <v>173</v>
      </c>
      <c r="E476" s="76" t="s">
        <v>989</v>
      </c>
      <c r="F476" s="76" t="s">
        <v>47</v>
      </c>
      <c r="G476" s="76" t="s">
        <v>34</v>
      </c>
      <c r="H476" s="76">
        <f>STOCK[[#This Row],[Precio Final]]</f>
        <v>12</v>
      </c>
      <c r="I476" s="76">
        <f>STOCK[[#This Row],[Precio Venta Ideal (x1.5)]]</f>
        <v>12.8693181818182</v>
      </c>
      <c r="J476" s="91">
        <v>1</v>
      </c>
      <c r="K476" s="91">
        <f>SUMIFS(VENTAS[Cantidad],VENTAS[Código del producto Vendido],STOCK[[#This Row],[Code]])</f>
        <v>1</v>
      </c>
      <c r="L476" s="91">
        <f>STOCK[[#This Row],[Entradas]]-STOCK[[#This Row],[Salidas]]</f>
        <v>0</v>
      </c>
      <c r="M476" s="76">
        <f>STOCK[[#This Row],[Precio Final]]*10%</f>
        <v>1.2</v>
      </c>
      <c r="N476" s="76">
        <v>85</v>
      </c>
      <c r="O476" s="76">
        <v>17.6</v>
      </c>
      <c r="P476" s="76">
        <v>4.82954545454545</v>
      </c>
      <c r="Q476" s="91">
        <v>150</v>
      </c>
      <c r="R476" s="76">
        <v>17</v>
      </c>
      <c r="S476" s="76">
        <f>STOCK[[#This Row],[Peso (g)]]*STOCK[[#This Row],[Precio Envío Kilogramo (USD)]]/1000</f>
        <v>2.55</v>
      </c>
      <c r="T476" s="76">
        <f>STOCK[[#This Row],[Costo Unitario (USD)]]+STOCK[[#This Row],[Costo Envío (USD)]]+STOCK[[#This Row],[Comisión 10%]]</f>
        <v>8.57954545454545</v>
      </c>
      <c r="U476" s="76">
        <f>STOCK[[#This Row],[Costo total]]*1.5</f>
        <v>12.8693181818182</v>
      </c>
      <c r="V476" s="76">
        <v>12</v>
      </c>
      <c r="W476" s="76">
        <f>STOCK[[#This Row],[Precio Final]]-STOCK[[#This Row],[Costo total]]</f>
        <v>3.42045454545455</v>
      </c>
      <c r="X476" s="76">
        <f>STOCK[[#This Row],[Ganancia Unitaria]]*STOCK[[#This Row],[Salidas]]</f>
        <v>3.42045454545455</v>
      </c>
      <c r="Y476" s="76" t="s">
        <v>926</v>
      </c>
      <c r="AA476" s="76">
        <f>STOCK[[#This Row],[Costo total]]*STOCK[[#This Row],[Entradas]]</f>
        <v>8.57954545454545</v>
      </c>
      <c r="AB476" s="76">
        <f>STOCK[[#This Row],[Stock Actual]]*STOCK[[#This Row],[Costo total]]</f>
        <v>0</v>
      </c>
    </row>
    <row r="477" s="77" customFormat="1" ht="50" customHeight="1" spans="1:28">
      <c r="A477" s="77" t="s">
        <v>991</v>
      </c>
      <c r="B477" s="6"/>
      <c r="C477" s="77" t="s">
        <v>30</v>
      </c>
      <c r="D477" s="77" t="s">
        <v>173</v>
      </c>
      <c r="E477" s="77" t="s">
        <v>946</v>
      </c>
      <c r="F477" s="77" t="s">
        <v>992</v>
      </c>
      <c r="G477" s="77" t="s">
        <v>34</v>
      </c>
      <c r="H477" s="77">
        <f>STOCK[[#This Row],[Precio Final]]</f>
        <v>10</v>
      </c>
      <c r="I477" s="77">
        <f>STOCK[[#This Row],[Precio Venta Ideal (x1.5)]]</f>
        <v>12.5693181818182</v>
      </c>
      <c r="J477" s="92">
        <v>2</v>
      </c>
      <c r="K477" s="92">
        <f>SUMIFS(VENTAS[Cantidad],VENTAS[Código del producto Vendido],STOCK[[#This Row],[Code]])</f>
        <v>2</v>
      </c>
      <c r="L477" s="92">
        <f>STOCK[[#This Row],[Entradas]]-STOCK[[#This Row],[Salidas]]</f>
        <v>0</v>
      </c>
      <c r="M477" s="77">
        <f>STOCK[[#This Row],[Precio Final]]*10%</f>
        <v>1</v>
      </c>
      <c r="N477" s="77">
        <v>85</v>
      </c>
      <c r="O477" s="77">
        <v>17.6</v>
      </c>
      <c r="P477" s="77">
        <v>4.82954545454545</v>
      </c>
      <c r="Q477" s="92">
        <v>150</v>
      </c>
      <c r="R477" s="77">
        <v>17</v>
      </c>
      <c r="S477" s="77">
        <f>STOCK[[#This Row],[Peso (g)]]*STOCK[[#This Row],[Precio Envío Kilogramo (USD)]]/1000</f>
        <v>2.55</v>
      </c>
      <c r="T477" s="76">
        <f>STOCK[[#This Row],[Costo Unitario (USD)]]+STOCK[[#This Row],[Costo Envío (USD)]]+STOCK[[#This Row],[Comisión 10%]]</f>
        <v>8.37954545454545</v>
      </c>
      <c r="U477" s="77">
        <f>STOCK[[#This Row],[Costo total]]*1.5</f>
        <v>12.5693181818182</v>
      </c>
      <c r="V477" s="77">
        <v>10</v>
      </c>
      <c r="W477" s="77">
        <f>STOCK[[#This Row],[Precio Final]]-STOCK[[#This Row],[Costo total]]</f>
        <v>1.62045454545455</v>
      </c>
      <c r="X477" s="77">
        <f>STOCK[[#This Row],[Ganancia Unitaria]]*STOCK[[#This Row],[Salidas]]</f>
        <v>3.2409090909091</v>
      </c>
      <c r="AA477" s="77">
        <f>STOCK[[#This Row],[Costo total]]*STOCK[[#This Row],[Entradas]]</f>
        <v>16.7590909090909</v>
      </c>
      <c r="AB477" s="77">
        <f>STOCK[[#This Row],[Stock Actual]]*STOCK[[#This Row],[Costo total]]</f>
        <v>0</v>
      </c>
    </row>
    <row r="478" s="76" customFormat="1" ht="50" customHeight="1" spans="1:28">
      <c r="A478" s="76" t="s">
        <v>993</v>
      </c>
      <c r="B478" s="6"/>
      <c r="C478" s="76" t="s">
        <v>30</v>
      </c>
      <c r="D478" s="76" t="s">
        <v>42</v>
      </c>
      <c r="E478" s="76" t="s">
        <v>994</v>
      </c>
      <c r="F478" s="76" t="s">
        <v>995</v>
      </c>
      <c r="G478" s="76" t="s">
        <v>34</v>
      </c>
      <c r="H478" s="76">
        <f>STOCK[[#This Row],[Precio Final]]</f>
        <v>22</v>
      </c>
      <c r="I478" s="76">
        <f>STOCK[[#This Row],[Precio Venta Ideal (x1.5)]]</f>
        <v>24.7568181818182</v>
      </c>
      <c r="J478" s="91">
        <v>1</v>
      </c>
      <c r="K478" s="91">
        <f>SUMIFS(VENTAS[Cantidad],VENTAS[Código del producto Vendido],STOCK[[#This Row],[Code]])</f>
        <v>1</v>
      </c>
      <c r="L478" s="91">
        <f>STOCK[[#This Row],[Entradas]]-STOCK[[#This Row],[Salidas]]</f>
        <v>0</v>
      </c>
      <c r="M478" s="76">
        <f>STOCK[[#This Row],[Precio Final]]*10%</f>
        <v>2.2</v>
      </c>
      <c r="N478" s="76">
        <v>162</v>
      </c>
      <c r="O478" s="76">
        <v>17.6</v>
      </c>
      <c r="P478" s="76">
        <v>9.20454545454545</v>
      </c>
      <c r="Q478" s="91">
        <v>300</v>
      </c>
      <c r="R478" s="76">
        <v>17</v>
      </c>
      <c r="S478" s="76">
        <f>STOCK[[#This Row],[Peso (g)]]*STOCK[[#This Row],[Precio Envío Kilogramo (USD)]]/1000</f>
        <v>5.1</v>
      </c>
      <c r="T478" s="76">
        <f>STOCK[[#This Row],[Costo Unitario (USD)]]+STOCK[[#This Row],[Costo Envío (USD)]]+STOCK[[#This Row],[Comisión 10%]]</f>
        <v>16.5045454545455</v>
      </c>
      <c r="U478" s="76">
        <f>STOCK[[#This Row],[Costo total]]*1.5</f>
        <v>24.7568181818182</v>
      </c>
      <c r="V478" s="76">
        <v>22</v>
      </c>
      <c r="W478" s="76">
        <f>STOCK[[#This Row],[Precio Final]]-STOCK[[#This Row],[Costo total]]</f>
        <v>5.49545454545455</v>
      </c>
      <c r="X478" s="76">
        <f>STOCK[[#This Row],[Ganancia Unitaria]]*STOCK[[#This Row],[Salidas]]</f>
        <v>5.49545454545455</v>
      </c>
      <c r="Y478" s="76" t="s">
        <v>894</v>
      </c>
      <c r="AA478" s="76">
        <f>STOCK[[#This Row],[Costo total]]*STOCK[[#This Row],[Entradas]]</f>
        <v>16.5045454545455</v>
      </c>
      <c r="AB478" s="76">
        <f>STOCK[[#This Row],[Stock Actual]]*STOCK[[#This Row],[Costo total]]</f>
        <v>0</v>
      </c>
    </row>
    <row r="479" s="77" customFormat="1" ht="50" customHeight="1" spans="1:28">
      <c r="A479" s="77" t="s">
        <v>996</v>
      </c>
      <c r="B479" s="6"/>
      <c r="C479" s="77" t="s">
        <v>30</v>
      </c>
      <c r="D479" s="77" t="s">
        <v>173</v>
      </c>
      <c r="E479" s="77" t="s">
        <v>997</v>
      </c>
      <c r="F479" s="77" t="s">
        <v>47</v>
      </c>
      <c r="G479" s="77" t="s">
        <v>34</v>
      </c>
      <c r="H479" s="77">
        <f>STOCK[[#This Row],[Precio Final]]</f>
        <v>14</v>
      </c>
      <c r="I479" s="77">
        <f>STOCK[[#This Row],[Precio Venta Ideal (x1.5)]]</f>
        <v>16.02</v>
      </c>
      <c r="J479" s="92">
        <v>2</v>
      </c>
      <c r="K479" s="92">
        <f>SUMIFS(VENTAS[Cantidad],VENTAS[Código del producto Vendido],STOCK[[#This Row],[Code]])</f>
        <v>1</v>
      </c>
      <c r="L479" s="92">
        <f>STOCK[[#This Row],[Entradas]]-STOCK[[#This Row],[Salidas]]</f>
        <v>1</v>
      </c>
      <c r="M479" s="77">
        <f>STOCK[[#This Row],[Precio Final]]*10%</f>
        <v>1.4</v>
      </c>
      <c r="N479" s="77">
        <v>99</v>
      </c>
      <c r="O479" s="77">
        <v>17.6</v>
      </c>
      <c r="P479" s="77">
        <v>5.625</v>
      </c>
      <c r="Q479" s="92">
        <v>215</v>
      </c>
      <c r="R479" s="77">
        <v>17</v>
      </c>
      <c r="S479" s="77">
        <f>STOCK[[#This Row],[Peso (g)]]*STOCK[[#This Row],[Precio Envío Kilogramo (USD)]]/1000</f>
        <v>3.655</v>
      </c>
      <c r="T479" s="76">
        <f>STOCK[[#This Row],[Costo Unitario (USD)]]+STOCK[[#This Row],[Costo Envío (USD)]]+STOCK[[#This Row],[Comisión 10%]]</f>
        <v>10.68</v>
      </c>
      <c r="U479" s="77">
        <f>STOCK[[#This Row],[Costo total]]*1.5</f>
        <v>16.02</v>
      </c>
      <c r="V479" s="77">
        <v>14</v>
      </c>
      <c r="W479" s="77">
        <f>STOCK[[#This Row],[Precio Final]]-STOCK[[#This Row],[Costo total]]</f>
        <v>3.32</v>
      </c>
      <c r="X479" s="77">
        <f>STOCK[[#This Row],[Ganancia Unitaria]]*STOCK[[#This Row],[Salidas]]</f>
        <v>3.32</v>
      </c>
      <c r="Y479" s="77" t="s">
        <v>894</v>
      </c>
      <c r="AA479" s="77">
        <f>STOCK[[#This Row],[Costo total]]*STOCK[[#This Row],[Entradas]]</f>
        <v>21.36</v>
      </c>
      <c r="AB479" s="77">
        <f>STOCK[[#This Row],[Stock Actual]]*STOCK[[#This Row],[Costo total]]</f>
        <v>10.68</v>
      </c>
    </row>
    <row r="480" s="76" customFormat="1" ht="50" customHeight="1" spans="1:28">
      <c r="A480" s="76" t="s">
        <v>998</v>
      </c>
      <c r="B480" s="6"/>
      <c r="C480" s="76" t="s">
        <v>30</v>
      </c>
      <c r="D480" s="76" t="s">
        <v>173</v>
      </c>
      <c r="E480" s="76" t="s">
        <v>997</v>
      </c>
      <c r="F480" s="76" t="s">
        <v>60</v>
      </c>
      <c r="G480" s="76" t="s">
        <v>34</v>
      </c>
      <c r="H480" s="76">
        <f>STOCK[[#This Row],[Precio Final]]</f>
        <v>14</v>
      </c>
      <c r="I480" s="76">
        <f>STOCK[[#This Row],[Precio Venta Ideal (x1.5)]]</f>
        <v>16.02</v>
      </c>
      <c r="J480" s="91">
        <v>2</v>
      </c>
      <c r="K480" s="91">
        <f>SUMIFS(VENTAS[Cantidad],VENTAS[Código del producto Vendido],STOCK[[#This Row],[Code]])</f>
        <v>1</v>
      </c>
      <c r="L480" s="91">
        <f>STOCK[[#This Row],[Entradas]]-STOCK[[#This Row],[Salidas]]</f>
        <v>1</v>
      </c>
      <c r="M480" s="76">
        <f>STOCK[[#This Row],[Precio Final]]*10%</f>
        <v>1.4</v>
      </c>
      <c r="N480" s="76">
        <v>99</v>
      </c>
      <c r="O480" s="76">
        <v>17.6</v>
      </c>
      <c r="P480" s="76">
        <v>5.625</v>
      </c>
      <c r="Q480" s="91">
        <v>215</v>
      </c>
      <c r="R480" s="76">
        <v>17</v>
      </c>
      <c r="S480" s="76">
        <f>STOCK[[#This Row],[Peso (g)]]*STOCK[[#This Row],[Precio Envío Kilogramo (USD)]]/1000</f>
        <v>3.655</v>
      </c>
      <c r="T480" s="76">
        <f>STOCK[[#This Row],[Costo Unitario (USD)]]+STOCK[[#This Row],[Costo Envío (USD)]]+STOCK[[#This Row],[Comisión 10%]]</f>
        <v>10.68</v>
      </c>
      <c r="U480" s="76">
        <f>STOCK[[#This Row],[Costo total]]*1.5</f>
        <v>16.02</v>
      </c>
      <c r="V480" s="76">
        <v>14</v>
      </c>
      <c r="W480" s="76">
        <f>STOCK[[#This Row],[Precio Final]]-STOCK[[#This Row],[Costo total]]</f>
        <v>3.32</v>
      </c>
      <c r="X480" s="76">
        <f>STOCK[[#This Row],[Ganancia Unitaria]]*STOCK[[#This Row],[Salidas]]</f>
        <v>3.32</v>
      </c>
      <c r="Y480" s="76" t="s">
        <v>894</v>
      </c>
      <c r="AA480" s="76">
        <f>STOCK[[#This Row],[Costo total]]*STOCK[[#This Row],[Entradas]]</f>
        <v>21.36</v>
      </c>
      <c r="AB480" s="76">
        <f>STOCK[[#This Row],[Stock Actual]]*STOCK[[#This Row],[Costo total]]</f>
        <v>10.68</v>
      </c>
    </row>
    <row r="481" s="77" customFormat="1" ht="50" customHeight="1" spans="1:28">
      <c r="A481" s="77" t="s">
        <v>999</v>
      </c>
      <c r="B481" s="6"/>
      <c r="C481" s="77" t="s">
        <v>30</v>
      </c>
      <c r="D481" s="77" t="s">
        <v>173</v>
      </c>
      <c r="E481" s="77" t="s">
        <v>1000</v>
      </c>
      <c r="F481" s="77" t="s">
        <v>44</v>
      </c>
      <c r="G481" s="77" t="s">
        <v>34</v>
      </c>
      <c r="H481" s="77">
        <f>STOCK[[#This Row],[Precio Final]]</f>
        <v>14</v>
      </c>
      <c r="I481" s="77">
        <f>STOCK[[#This Row],[Precio Venta Ideal (x1.5)]]</f>
        <v>16.02</v>
      </c>
      <c r="J481" s="92">
        <v>1</v>
      </c>
      <c r="K481" s="92">
        <f>SUMIFS(VENTAS[Cantidad],VENTAS[Código del producto Vendido],STOCK[[#This Row],[Code]])</f>
        <v>1</v>
      </c>
      <c r="L481" s="92">
        <f>STOCK[[#This Row],[Entradas]]-STOCK[[#This Row],[Salidas]]</f>
        <v>0</v>
      </c>
      <c r="M481" s="77">
        <f>STOCK[[#This Row],[Precio Final]]*10%</f>
        <v>1.4</v>
      </c>
      <c r="N481" s="77">
        <v>99</v>
      </c>
      <c r="O481" s="77">
        <v>17.6</v>
      </c>
      <c r="P481" s="77">
        <v>5.625</v>
      </c>
      <c r="Q481" s="92">
        <v>215</v>
      </c>
      <c r="R481" s="77">
        <v>17</v>
      </c>
      <c r="S481" s="77">
        <f>STOCK[[#This Row],[Peso (g)]]*STOCK[[#This Row],[Precio Envío Kilogramo (USD)]]/1000</f>
        <v>3.655</v>
      </c>
      <c r="T481" s="76">
        <f>STOCK[[#This Row],[Costo Unitario (USD)]]+STOCK[[#This Row],[Costo Envío (USD)]]+STOCK[[#This Row],[Comisión 10%]]</f>
        <v>10.68</v>
      </c>
      <c r="U481" s="77">
        <f>STOCK[[#This Row],[Costo total]]*1.5</f>
        <v>16.02</v>
      </c>
      <c r="V481" s="77">
        <v>14</v>
      </c>
      <c r="W481" s="77">
        <f>STOCK[[#This Row],[Precio Final]]-STOCK[[#This Row],[Costo total]]</f>
        <v>3.32</v>
      </c>
      <c r="X481" s="77">
        <f>STOCK[[#This Row],[Ganancia Unitaria]]*STOCK[[#This Row],[Salidas]]</f>
        <v>3.32</v>
      </c>
      <c r="Y481" s="77" t="s">
        <v>894</v>
      </c>
      <c r="AA481" s="77">
        <f>STOCK[[#This Row],[Costo total]]*STOCK[[#This Row],[Entradas]]</f>
        <v>10.68</v>
      </c>
      <c r="AB481" s="77">
        <f>STOCK[[#This Row],[Stock Actual]]*STOCK[[#This Row],[Costo total]]</f>
        <v>0</v>
      </c>
    </row>
    <row r="482" s="76" customFormat="1" ht="50" customHeight="1" spans="1:29">
      <c r="A482" s="76" t="s">
        <v>1001</v>
      </c>
      <c r="B482" s="6"/>
      <c r="C482" s="76" t="s">
        <v>30</v>
      </c>
      <c r="D482" s="76" t="s">
        <v>215</v>
      </c>
      <c r="E482" s="76" t="s">
        <v>1002</v>
      </c>
      <c r="F482" s="76" t="s">
        <v>60</v>
      </c>
      <c r="G482" s="76" t="s">
        <v>34</v>
      </c>
      <c r="H482" s="76">
        <f>STOCK[[#This Row],[Precio Final]]</f>
        <v>25</v>
      </c>
      <c r="I482" s="76">
        <f>STOCK[[#This Row],[Precio Venta Ideal (x1.5)]]</f>
        <v>26.740909090909</v>
      </c>
      <c r="J482" s="91">
        <v>2</v>
      </c>
      <c r="K482" s="91">
        <f>SUMIFS(VENTAS[Cantidad],VENTAS[Código del producto Vendido],STOCK[[#This Row],[Code]])</f>
        <v>1</v>
      </c>
      <c r="L482" s="91">
        <f>STOCK[[#This Row],[Entradas]]-STOCK[[#This Row],[Salidas]]</f>
        <v>1</v>
      </c>
      <c r="M482" s="76">
        <f>STOCK[[#This Row],[Precio Final]]*10%</f>
        <v>2.5</v>
      </c>
      <c r="N482" s="76">
        <v>180</v>
      </c>
      <c r="O482" s="76">
        <v>17.6</v>
      </c>
      <c r="P482" s="76">
        <v>10.2272727272727</v>
      </c>
      <c r="Q482" s="91">
        <v>300</v>
      </c>
      <c r="R482" s="76">
        <v>17</v>
      </c>
      <c r="S482" s="76">
        <f>STOCK[[#This Row],[Peso (g)]]*STOCK[[#This Row],[Precio Envío Kilogramo (USD)]]/1000</f>
        <v>5.1</v>
      </c>
      <c r="T482" s="76">
        <f>STOCK[[#This Row],[Costo Unitario (USD)]]+STOCK[[#This Row],[Costo Envío (USD)]]+STOCK[[#This Row],[Comisión 10%]]</f>
        <v>17.8272727272727</v>
      </c>
      <c r="U482" s="76">
        <f>STOCK[[#This Row],[Costo total]]*1.5</f>
        <v>26.740909090909</v>
      </c>
      <c r="V482" s="76">
        <v>25</v>
      </c>
      <c r="W482" s="76">
        <f>STOCK[[#This Row],[Precio Final]]-STOCK[[#This Row],[Costo total]]</f>
        <v>7.1727272727273</v>
      </c>
      <c r="X482" s="76">
        <f>STOCK[[#This Row],[Ganancia Unitaria]]*STOCK[[#This Row],[Salidas]]</f>
        <v>7.1727272727273</v>
      </c>
      <c r="Y482" s="76" t="s">
        <v>894</v>
      </c>
      <c r="AA482" s="76">
        <f>STOCK[[#This Row],[Costo total]]*STOCK[[#This Row],[Entradas]]</f>
        <v>35.6545454545454</v>
      </c>
      <c r="AB482" s="76">
        <f>STOCK[[#This Row],[Stock Actual]]*STOCK[[#This Row],[Costo total]]</f>
        <v>17.8272727272727</v>
      </c>
      <c r="AC482" s="76">
        <v>22</v>
      </c>
    </row>
    <row r="483" s="77" customFormat="1" ht="50" customHeight="1" spans="1:28">
      <c r="A483" s="77" t="s">
        <v>1003</v>
      </c>
      <c r="B483" s="6"/>
      <c r="C483" s="77" t="s">
        <v>30</v>
      </c>
      <c r="D483" s="77" t="s">
        <v>42</v>
      </c>
      <c r="E483" s="77" t="s">
        <v>1002</v>
      </c>
      <c r="F483" s="77" t="s">
        <v>1004</v>
      </c>
      <c r="G483" s="77" t="s">
        <v>34</v>
      </c>
      <c r="H483" s="77">
        <f>STOCK[[#This Row],[Precio Final]]</f>
        <v>25</v>
      </c>
      <c r="I483" s="77">
        <f>STOCK[[#This Row],[Precio Venta Ideal (x1.5)]]</f>
        <v>26.740909090909</v>
      </c>
      <c r="J483" s="92">
        <v>2</v>
      </c>
      <c r="K483" s="92">
        <f>SUMIFS(VENTAS[Cantidad],VENTAS[Código del producto Vendido],STOCK[[#This Row],[Code]])</f>
        <v>2</v>
      </c>
      <c r="L483" s="92">
        <f>STOCK[[#This Row],[Entradas]]-STOCK[[#This Row],[Salidas]]</f>
        <v>0</v>
      </c>
      <c r="M483" s="77">
        <f>STOCK[[#This Row],[Precio Final]]*10%</f>
        <v>2.5</v>
      </c>
      <c r="N483" s="77">
        <v>180</v>
      </c>
      <c r="O483" s="77">
        <v>17.6</v>
      </c>
      <c r="P483" s="77">
        <v>10.2272727272727</v>
      </c>
      <c r="Q483" s="92">
        <v>300</v>
      </c>
      <c r="R483" s="77">
        <v>17</v>
      </c>
      <c r="S483" s="77">
        <f>STOCK[[#This Row],[Peso (g)]]*STOCK[[#This Row],[Precio Envío Kilogramo (USD)]]/1000</f>
        <v>5.1</v>
      </c>
      <c r="T483" s="76">
        <f>STOCK[[#This Row],[Costo Unitario (USD)]]+STOCK[[#This Row],[Costo Envío (USD)]]+STOCK[[#This Row],[Comisión 10%]]</f>
        <v>17.8272727272727</v>
      </c>
      <c r="U483" s="77">
        <f>STOCK[[#This Row],[Costo total]]*1.5</f>
        <v>26.740909090909</v>
      </c>
      <c r="V483" s="77">
        <v>25</v>
      </c>
      <c r="W483" s="77">
        <f>STOCK[[#This Row],[Precio Final]]-STOCK[[#This Row],[Costo total]]</f>
        <v>7.1727272727273</v>
      </c>
      <c r="X483" s="77">
        <f>STOCK[[#This Row],[Ganancia Unitaria]]*STOCK[[#This Row],[Salidas]]</f>
        <v>14.3454545454546</v>
      </c>
      <c r="Y483" s="77" t="s">
        <v>894</v>
      </c>
      <c r="AA483" s="77">
        <f>STOCK[[#This Row],[Costo total]]*STOCK[[#This Row],[Entradas]]</f>
        <v>35.6545454545454</v>
      </c>
      <c r="AB483" s="77">
        <f>STOCK[[#This Row],[Stock Actual]]*STOCK[[#This Row],[Costo total]]</f>
        <v>0</v>
      </c>
    </row>
    <row r="484" s="76" customFormat="1" ht="50" customHeight="1" spans="1:28">
      <c r="A484" s="76" t="s">
        <v>1005</v>
      </c>
      <c r="B484" s="6"/>
      <c r="C484" s="76" t="s">
        <v>30</v>
      </c>
      <c r="D484" s="76" t="s">
        <v>36</v>
      </c>
      <c r="E484" s="76" t="s">
        <v>1006</v>
      </c>
      <c r="F484" s="76" t="s">
        <v>47</v>
      </c>
      <c r="G484" s="76" t="s">
        <v>34</v>
      </c>
      <c r="H484" s="76">
        <f>STOCK[[#This Row],[Precio Final]]</f>
        <v>25</v>
      </c>
      <c r="I484" s="76">
        <f>STOCK[[#This Row],[Precio Venta Ideal (x1.5)]]</f>
        <v>25.7181818181818</v>
      </c>
      <c r="J484" s="91">
        <v>2</v>
      </c>
      <c r="K484" s="91">
        <f>SUMIFS(VENTAS[Cantidad],VENTAS[Código del producto Vendido],STOCK[[#This Row],[Code]])</f>
        <v>2</v>
      </c>
      <c r="L484" s="91">
        <f>STOCK[[#This Row],[Entradas]]-STOCK[[#This Row],[Salidas]]</f>
        <v>0</v>
      </c>
      <c r="M484" s="76">
        <f>STOCK[[#This Row],[Precio Final]]*10%</f>
        <v>2.5</v>
      </c>
      <c r="N484" s="76">
        <v>168</v>
      </c>
      <c r="O484" s="76">
        <v>17.6</v>
      </c>
      <c r="P484" s="76">
        <v>9.54545454545454</v>
      </c>
      <c r="Q484" s="91">
        <v>300</v>
      </c>
      <c r="R484" s="76">
        <v>17</v>
      </c>
      <c r="S484" s="76">
        <f>STOCK[[#This Row],[Peso (g)]]*STOCK[[#This Row],[Precio Envío Kilogramo (USD)]]/1000</f>
        <v>5.1</v>
      </c>
      <c r="T484" s="76">
        <f>STOCK[[#This Row],[Costo Unitario (USD)]]+STOCK[[#This Row],[Costo Envío (USD)]]+STOCK[[#This Row],[Comisión 10%]]</f>
        <v>17.1454545454545</v>
      </c>
      <c r="U484" s="76">
        <f>STOCK[[#This Row],[Costo total]]*1.5</f>
        <v>25.7181818181818</v>
      </c>
      <c r="V484" s="76">
        <v>25</v>
      </c>
      <c r="W484" s="76">
        <f>STOCK[[#This Row],[Precio Final]]-STOCK[[#This Row],[Costo total]]</f>
        <v>7.85454545454546</v>
      </c>
      <c r="X484" s="76">
        <f>STOCK[[#This Row],[Ganancia Unitaria]]*STOCK[[#This Row],[Salidas]]</f>
        <v>15.7090909090909</v>
      </c>
      <c r="Y484" s="76" t="s">
        <v>894</v>
      </c>
      <c r="AA484" s="76">
        <f>STOCK[[#This Row],[Costo total]]*STOCK[[#This Row],[Entradas]]</f>
        <v>34.2909090909091</v>
      </c>
      <c r="AB484" s="76">
        <f>STOCK[[#This Row],[Stock Actual]]*STOCK[[#This Row],[Costo total]]</f>
        <v>0</v>
      </c>
    </row>
    <row r="485" s="77" customFormat="1" ht="50" customHeight="1" spans="1:28">
      <c r="A485" s="77" t="s">
        <v>1007</v>
      </c>
      <c r="B485" s="6"/>
      <c r="C485" s="77" t="s">
        <v>30</v>
      </c>
      <c r="D485" s="77" t="s">
        <v>1008</v>
      </c>
      <c r="E485" s="77" t="s">
        <v>1009</v>
      </c>
      <c r="F485" s="77" t="s">
        <v>81</v>
      </c>
      <c r="G485" s="77" t="s">
        <v>34</v>
      </c>
      <c r="H485" s="77">
        <f>STOCK[[#This Row],[Precio Final]]</f>
        <v>35</v>
      </c>
      <c r="I485" s="77">
        <f>STOCK[[#This Row],[Precio Venta Ideal (x1.5)]]</f>
        <v>42.3443181818183</v>
      </c>
      <c r="J485" s="92">
        <v>1</v>
      </c>
      <c r="K485" s="92">
        <f>SUMIFS(VENTAS[Cantidad],VENTAS[Código del producto Vendido],STOCK[[#This Row],[Code]])</f>
        <v>1</v>
      </c>
      <c r="L485" s="92">
        <f>STOCK[[#This Row],[Entradas]]-STOCK[[#This Row],[Salidas]]</f>
        <v>0</v>
      </c>
      <c r="M485" s="77">
        <f>STOCK[[#This Row],[Precio Final]]*10%</f>
        <v>3.5</v>
      </c>
      <c r="N485" s="77">
        <v>272</v>
      </c>
      <c r="O485" s="77">
        <v>17.6</v>
      </c>
      <c r="P485" s="77">
        <v>15.4545454545455</v>
      </c>
      <c r="Q485" s="92">
        <v>530</v>
      </c>
      <c r="R485" s="77">
        <v>17.5</v>
      </c>
      <c r="S485" s="77">
        <f>STOCK[[#This Row],[Peso (g)]]*STOCK[[#This Row],[Precio Envío Kilogramo (USD)]]/1000</f>
        <v>9.275</v>
      </c>
      <c r="T485" s="76">
        <f>STOCK[[#This Row],[Costo Unitario (USD)]]+STOCK[[#This Row],[Costo Envío (USD)]]+STOCK[[#This Row],[Comisión 10%]]</f>
        <v>28.2295454545455</v>
      </c>
      <c r="U485" s="77">
        <f>STOCK[[#This Row],[Costo total]]*1.5</f>
        <v>42.3443181818183</v>
      </c>
      <c r="V485" s="77">
        <v>35</v>
      </c>
      <c r="W485" s="77">
        <f>STOCK[[#This Row],[Precio Final]]-STOCK[[#This Row],[Costo total]]</f>
        <v>6.7704545454545</v>
      </c>
      <c r="X485" s="77">
        <f>STOCK[[#This Row],[Ganancia Unitaria]]*STOCK[[#This Row],[Salidas]]</f>
        <v>6.7704545454545</v>
      </c>
      <c r="Y485" s="77" t="s">
        <v>926</v>
      </c>
      <c r="AA485" s="77">
        <f>STOCK[[#This Row],[Costo total]]*STOCK[[#This Row],[Entradas]]</f>
        <v>28.2295454545455</v>
      </c>
      <c r="AB485" s="77">
        <f>STOCK[[#This Row],[Stock Actual]]*STOCK[[#This Row],[Costo total]]</f>
        <v>0</v>
      </c>
    </row>
    <row r="486" s="76" customFormat="1" ht="50" customHeight="1" spans="1:28">
      <c r="A486" s="76" t="s">
        <v>1010</v>
      </c>
      <c r="B486" s="6"/>
      <c r="C486" s="76" t="s">
        <v>30</v>
      </c>
      <c r="D486" s="76" t="s">
        <v>212</v>
      </c>
      <c r="E486" s="76" t="s">
        <v>1009</v>
      </c>
      <c r="F486" s="76" t="s">
        <v>44</v>
      </c>
      <c r="G486" s="76" t="s">
        <v>34</v>
      </c>
      <c r="H486" s="76">
        <f>STOCK[[#This Row],[Precio Final]]</f>
        <v>35</v>
      </c>
      <c r="I486" s="76">
        <f>STOCK[[#This Row],[Precio Venta Ideal (x1.5)]]</f>
        <v>41.5568181818183</v>
      </c>
      <c r="J486" s="91">
        <v>1</v>
      </c>
      <c r="K486" s="91">
        <f>SUMIFS(VENTAS[Cantidad],VENTAS[Código del producto Vendido],STOCK[[#This Row],[Code]])</f>
        <v>1</v>
      </c>
      <c r="L486" s="91">
        <f>STOCK[[#This Row],[Entradas]]-STOCK[[#This Row],[Salidas]]</f>
        <v>0</v>
      </c>
      <c r="M486" s="76">
        <f>STOCK[[#This Row],[Precio Final]]*10%</f>
        <v>3.5</v>
      </c>
      <c r="N486" s="76">
        <v>272</v>
      </c>
      <c r="O486" s="76">
        <v>17.6</v>
      </c>
      <c r="P486" s="76">
        <v>15.4545454545455</v>
      </c>
      <c r="Q486" s="91">
        <v>500</v>
      </c>
      <c r="R486" s="76">
        <v>17.5</v>
      </c>
      <c r="S486" s="76">
        <f>STOCK[[#This Row],[Peso (g)]]*STOCK[[#This Row],[Precio Envío Kilogramo (USD)]]/1000</f>
        <v>8.75</v>
      </c>
      <c r="T486" s="76">
        <f>STOCK[[#This Row],[Costo Unitario (USD)]]+STOCK[[#This Row],[Costo Envío (USD)]]+STOCK[[#This Row],[Comisión 10%]]</f>
        <v>27.7045454545455</v>
      </c>
      <c r="U486" s="76">
        <f>STOCK[[#This Row],[Costo total]]*1.5</f>
        <v>41.5568181818183</v>
      </c>
      <c r="V486" s="76">
        <v>35</v>
      </c>
      <c r="W486" s="76">
        <f>STOCK[[#This Row],[Precio Final]]-STOCK[[#This Row],[Costo total]]</f>
        <v>7.2954545454545</v>
      </c>
      <c r="X486" s="76">
        <f>STOCK[[#This Row],[Ganancia Unitaria]]*STOCK[[#This Row],[Salidas]]</f>
        <v>7.2954545454545</v>
      </c>
      <c r="Y486" s="76" t="s">
        <v>926</v>
      </c>
      <c r="AA486" s="76">
        <f>STOCK[[#This Row],[Costo total]]*STOCK[[#This Row],[Entradas]]</f>
        <v>27.7045454545455</v>
      </c>
      <c r="AB486" s="76">
        <f>STOCK[[#This Row],[Stock Actual]]*STOCK[[#This Row],[Costo total]]</f>
        <v>0</v>
      </c>
    </row>
    <row r="487" s="77" customFormat="1" ht="50" customHeight="1" spans="1:28">
      <c r="A487" s="77" t="s">
        <v>1011</v>
      </c>
      <c r="B487" s="6"/>
      <c r="C487" s="77" t="s">
        <v>30</v>
      </c>
      <c r="D487" s="77" t="s">
        <v>1012</v>
      </c>
      <c r="E487" s="77" t="s">
        <v>1009</v>
      </c>
      <c r="F487" s="77" t="s">
        <v>210</v>
      </c>
      <c r="G487" s="77" t="s">
        <v>34</v>
      </c>
      <c r="H487" s="77">
        <f>STOCK[[#This Row],[Precio Final]]</f>
        <v>35</v>
      </c>
      <c r="I487" s="77">
        <f>STOCK[[#This Row],[Precio Venta Ideal (x1.5)]]</f>
        <v>38.5380681818182</v>
      </c>
      <c r="J487" s="92">
        <v>2</v>
      </c>
      <c r="K487" s="92">
        <f>SUMIFS(VENTAS[Cantidad],VENTAS[Código del producto Vendido],STOCK[[#This Row],[Code]])</f>
        <v>2</v>
      </c>
      <c r="L487" s="92">
        <f>STOCK[[#This Row],[Entradas]]-STOCK[[#This Row],[Salidas]]</f>
        <v>0</v>
      </c>
      <c r="M487" s="77">
        <f>STOCK[[#This Row],[Precio Final]]*10%</f>
        <v>3.5</v>
      </c>
      <c r="N487" s="77">
        <v>272</v>
      </c>
      <c r="O487" s="77">
        <v>17.6</v>
      </c>
      <c r="P487" s="77">
        <v>15.4545454545455</v>
      </c>
      <c r="Q487" s="92">
        <v>385</v>
      </c>
      <c r="R487" s="77">
        <v>17.5</v>
      </c>
      <c r="S487" s="77">
        <f>STOCK[[#This Row],[Peso (g)]]*STOCK[[#This Row],[Precio Envío Kilogramo (USD)]]/1000</f>
        <v>6.7375</v>
      </c>
      <c r="T487" s="76">
        <f>STOCK[[#This Row],[Costo Unitario (USD)]]+STOCK[[#This Row],[Costo Envío (USD)]]+STOCK[[#This Row],[Comisión 10%]]</f>
        <v>25.6920454545455</v>
      </c>
      <c r="U487" s="77">
        <f>STOCK[[#This Row],[Costo total]]*1.5</f>
        <v>38.5380681818182</v>
      </c>
      <c r="V487" s="77">
        <v>35</v>
      </c>
      <c r="W487" s="77">
        <f>STOCK[[#This Row],[Precio Final]]-STOCK[[#This Row],[Costo total]]</f>
        <v>9.3079545454545</v>
      </c>
      <c r="X487" s="77">
        <f>STOCK[[#This Row],[Ganancia Unitaria]]*STOCK[[#This Row],[Salidas]]</f>
        <v>18.615909090909</v>
      </c>
      <c r="Y487" s="77" t="s">
        <v>894</v>
      </c>
      <c r="AA487" s="77">
        <f>STOCK[[#This Row],[Costo total]]*STOCK[[#This Row],[Entradas]]</f>
        <v>51.384090909091</v>
      </c>
      <c r="AB487" s="77">
        <f>STOCK[[#This Row],[Stock Actual]]*STOCK[[#This Row],[Costo total]]</f>
        <v>0</v>
      </c>
    </row>
    <row r="488" s="76" customFormat="1" ht="50" customHeight="1" spans="1:28">
      <c r="A488" s="76" t="s">
        <v>1013</v>
      </c>
      <c r="B488" s="6"/>
      <c r="C488" s="76" t="s">
        <v>30</v>
      </c>
      <c r="D488" s="76" t="s">
        <v>545</v>
      </c>
      <c r="E488" s="76" t="s">
        <v>1014</v>
      </c>
      <c r="F488" s="76" t="s">
        <v>47</v>
      </c>
      <c r="G488" s="76" t="s">
        <v>34</v>
      </c>
      <c r="H488" s="76">
        <f>STOCK[[#This Row],[Precio Final]]</f>
        <v>12</v>
      </c>
      <c r="I488" s="76">
        <f>STOCK[[#This Row],[Precio Venta Ideal (x1.5)]]</f>
        <v>13.3482954545455</v>
      </c>
      <c r="J488" s="91">
        <v>2</v>
      </c>
      <c r="K488" s="91">
        <f>SUMIFS(VENTAS[Cantidad],VENTAS[Código del producto Vendido],STOCK[[#This Row],[Code]])</f>
        <v>2</v>
      </c>
      <c r="L488" s="91">
        <f>STOCK[[#This Row],[Entradas]]-STOCK[[#This Row],[Salidas]]</f>
        <v>0</v>
      </c>
      <c r="M488" s="76">
        <f>STOCK[[#This Row],[Precio Final]]*10%</f>
        <v>1.2</v>
      </c>
      <c r="N488" s="76">
        <v>97</v>
      </c>
      <c r="O488" s="76">
        <v>17.6</v>
      </c>
      <c r="P488" s="76">
        <v>5.51136363636364</v>
      </c>
      <c r="Q488" s="91">
        <v>125</v>
      </c>
      <c r="R488" s="76">
        <v>17.5</v>
      </c>
      <c r="S488" s="76">
        <f>STOCK[[#This Row],[Peso (g)]]*STOCK[[#This Row],[Precio Envío Kilogramo (USD)]]/1000</f>
        <v>2.1875</v>
      </c>
      <c r="T488" s="76">
        <f>STOCK[[#This Row],[Costo Unitario (USD)]]+STOCK[[#This Row],[Costo Envío (USD)]]+STOCK[[#This Row],[Comisión 10%]]</f>
        <v>8.89886363636364</v>
      </c>
      <c r="U488" s="76">
        <f>STOCK[[#This Row],[Costo total]]*1.5</f>
        <v>13.3482954545455</v>
      </c>
      <c r="V488" s="76">
        <v>12</v>
      </c>
      <c r="W488" s="76">
        <f>STOCK[[#This Row],[Precio Final]]-STOCK[[#This Row],[Costo total]]</f>
        <v>3.10113636363636</v>
      </c>
      <c r="X488" s="76">
        <f>STOCK[[#This Row],[Ganancia Unitaria]]*STOCK[[#This Row],[Salidas]]</f>
        <v>6.20227272727272</v>
      </c>
      <c r="Y488" s="76" t="s">
        <v>926</v>
      </c>
      <c r="AA488" s="76">
        <f>STOCK[[#This Row],[Costo total]]*STOCK[[#This Row],[Entradas]]</f>
        <v>17.7977272727273</v>
      </c>
      <c r="AB488" s="76">
        <f>STOCK[[#This Row],[Stock Actual]]*STOCK[[#This Row],[Costo total]]</f>
        <v>0</v>
      </c>
    </row>
    <row r="489" s="77" customFormat="1" ht="50" customHeight="1" spans="1:28">
      <c r="A489" s="77" t="s">
        <v>1015</v>
      </c>
      <c r="B489" s="6"/>
      <c r="C489" s="77" t="s">
        <v>30</v>
      </c>
      <c r="D489" s="77" t="s">
        <v>173</v>
      </c>
      <c r="E489" s="77" t="s">
        <v>1016</v>
      </c>
      <c r="F489" s="77" t="s">
        <v>38</v>
      </c>
      <c r="G489" s="77" t="s">
        <v>34</v>
      </c>
      <c r="H489" s="77">
        <f>STOCK[[#This Row],[Precio Final]]</f>
        <v>12</v>
      </c>
      <c r="I489" s="77">
        <f>STOCK[[#This Row],[Precio Venta Ideal (x1.5)]]</f>
        <v>12.5352272727273</v>
      </c>
      <c r="J489" s="92">
        <v>1</v>
      </c>
      <c r="K489" s="92">
        <f>SUMIFS(VENTAS[Cantidad],VENTAS[Código del producto Vendido],STOCK[[#This Row],[Code]])</f>
        <v>1</v>
      </c>
      <c r="L489" s="92">
        <f>STOCK[[#This Row],[Entradas]]-STOCK[[#This Row],[Salidas]]</f>
        <v>0</v>
      </c>
      <c r="M489" s="77">
        <f>STOCK[[#This Row],[Precio Final]]*10%</f>
        <v>1.2</v>
      </c>
      <c r="N489" s="77">
        <v>89</v>
      </c>
      <c r="O489" s="77">
        <v>17.6</v>
      </c>
      <c r="P489" s="77">
        <v>5.05681818181818</v>
      </c>
      <c r="Q489" s="92">
        <v>120</v>
      </c>
      <c r="R489" s="77">
        <v>17.5</v>
      </c>
      <c r="S489" s="77">
        <f>STOCK[[#This Row],[Peso (g)]]*STOCK[[#This Row],[Precio Envío Kilogramo (USD)]]/1000</f>
        <v>2.1</v>
      </c>
      <c r="T489" s="76">
        <f>STOCK[[#This Row],[Costo Unitario (USD)]]+STOCK[[#This Row],[Costo Envío (USD)]]+STOCK[[#This Row],[Comisión 10%]]</f>
        <v>8.35681818181818</v>
      </c>
      <c r="U489" s="77">
        <f>STOCK[[#This Row],[Costo total]]*1.5</f>
        <v>12.5352272727273</v>
      </c>
      <c r="V489" s="77">
        <v>12</v>
      </c>
      <c r="W489" s="77">
        <f>STOCK[[#This Row],[Precio Final]]-STOCK[[#This Row],[Costo total]]</f>
        <v>3.64318181818182</v>
      </c>
      <c r="X489" s="77">
        <f>STOCK[[#This Row],[Ganancia Unitaria]]*STOCK[[#This Row],[Salidas]]</f>
        <v>3.64318181818182</v>
      </c>
      <c r="Y489" s="77" t="s">
        <v>894</v>
      </c>
      <c r="AA489" s="77">
        <f>STOCK[[#This Row],[Costo total]]*STOCK[[#This Row],[Entradas]]</f>
        <v>8.35681818181818</v>
      </c>
      <c r="AB489" s="77">
        <f>STOCK[[#This Row],[Stock Actual]]*STOCK[[#This Row],[Costo total]]</f>
        <v>0</v>
      </c>
    </row>
    <row r="490" s="76" customFormat="1" ht="50" customHeight="1" spans="1:28">
      <c r="A490" s="76" t="s">
        <v>1017</v>
      </c>
      <c r="B490" s="6"/>
      <c r="C490" s="76" t="s">
        <v>30</v>
      </c>
      <c r="D490" s="76" t="s">
        <v>173</v>
      </c>
      <c r="E490" s="76" t="s">
        <v>1016</v>
      </c>
      <c r="F490" s="76" t="s">
        <v>60</v>
      </c>
      <c r="G490" s="76" t="s">
        <v>34</v>
      </c>
      <c r="H490" s="76">
        <f>STOCK[[#This Row],[Precio Final]]</f>
        <v>12</v>
      </c>
      <c r="I490" s="76">
        <f>STOCK[[#This Row],[Precio Venta Ideal (x1.5)]]</f>
        <v>12.5352272727273</v>
      </c>
      <c r="J490" s="91">
        <v>2</v>
      </c>
      <c r="K490" s="91">
        <f>SUMIFS(VENTAS[Cantidad],VENTAS[Código del producto Vendido],STOCK[[#This Row],[Code]])</f>
        <v>2</v>
      </c>
      <c r="L490" s="91">
        <f>STOCK[[#This Row],[Entradas]]-STOCK[[#This Row],[Salidas]]</f>
        <v>0</v>
      </c>
      <c r="M490" s="76">
        <f>STOCK[[#This Row],[Precio Final]]*10%</f>
        <v>1.2</v>
      </c>
      <c r="N490" s="76">
        <v>89</v>
      </c>
      <c r="O490" s="76">
        <v>17.6</v>
      </c>
      <c r="P490" s="76">
        <v>5.05681818181818</v>
      </c>
      <c r="Q490" s="91">
        <v>120</v>
      </c>
      <c r="R490" s="76">
        <v>17.5</v>
      </c>
      <c r="S490" s="76">
        <f>STOCK[[#This Row],[Peso (g)]]*STOCK[[#This Row],[Precio Envío Kilogramo (USD)]]/1000</f>
        <v>2.1</v>
      </c>
      <c r="T490" s="76">
        <f>STOCK[[#This Row],[Costo Unitario (USD)]]+STOCK[[#This Row],[Costo Envío (USD)]]+STOCK[[#This Row],[Comisión 10%]]</f>
        <v>8.35681818181818</v>
      </c>
      <c r="U490" s="76">
        <f>STOCK[[#This Row],[Costo total]]*1.5</f>
        <v>12.5352272727273</v>
      </c>
      <c r="V490" s="76">
        <v>12</v>
      </c>
      <c r="W490" s="76">
        <f>STOCK[[#This Row],[Precio Final]]-STOCK[[#This Row],[Costo total]]</f>
        <v>3.64318181818182</v>
      </c>
      <c r="X490" s="76">
        <f>STOCK[[#This Row],[Ganancia Unitaria]]*STOCK[[#This Row],[Salidas]]</f>
        <v>7.28636363636364</v>
      </c>
      <c r="Y490" s="76" t="s">
        <v>926</v>
      </c>
      <c r="AA490" s="76">
        <f>STOCK[[#This Row],[Costo total]]*STOCK[[#This Row],[Entradas]]</f>
        <v>16.7136363636364</v>
      </c>
      <c r="AB490" s="76">
        <f>STOCK[[#This Row],[Stock Actual]]*STOCK[[#This Row],[Costo total]]</f>
        <v>0</v>
      </c>
    </row>
    <row r="491" s="77" customFormat="1" ht="50" customHeight="1" spans="1:28">
      <c r="A491" s="77" t="s">
        <v>1018</v>
      </c>
      <c r="B491" s="6"/>
      <c r="C491" s="77" t="s">
        <v>30</v>
      </c>
      <c r="D491" s="77" t="s">
        <v>173</v>
      </c>
      <c r="E491" s="77" t="s">
        <v>1016</v>
      </c>
      <c r="F491" s="77" t="s">
        <v>47</v>
      </c>
      <c r="G491" s="77" t="s">
        <v>34</v>
      </c>
      <c r="H491" s="77">
        <f>STOCK[[#This Row],[Precio Final]]</f>
        <v>12</v>
      </c>
      <c r="I491" s="77">
        <f>STOCK[[#This Row],[Precio Venta Ideal (x1.5)]]</f>
        <v>12.5352272727273</v>
      </c>
      <c r="J491" s="92">
        <v>1</v>
      </c>
      <c r="K491" s="92">
        <f>SUMIFS(VENTAS[Cantidad],VENTAS[Código del producto Vendido],STOCK[[#This Row],[Code]])</f>
        <v>1</v>
      </c>
      <c r="L491" s="92">
        <f>STOCK[[#This Row],[Entradas]]-STOCK[[#This Row],[Salidas]]</f>
        <v>0</v>
      </c>
      <c r="M491" s="77">
        <f>STOCK[[#This Row],[Precio Final]]*10%</f>
        <v>1.2</v>
      </c>
      <c r="N491" s="77">
        <v>89</v>
      </c>
      <c r="O491" s="77">
        <v>17.6</v>
      </c>
      <c r="P491" s="77">
        <v>5.05681818181818</v>
      </c>
      <c r="Q491" s="92">
        <v>120</v>
      </c>
      <c r="R491" s="77">
        <v>17.5</v>
      </c>
      <c r="S491" s="77">
        <f>STOCK[[#This Row],[Peso (g)]]*STOCK[[#This Row],[Precio Envío Kilogramo (USD)]]/1000</f>
        <v>2.1</v>
      </c>
      <c r="T491" s="76">
        <f>STOCK[[#This Row],[Costo Unitario (USD)]]+STOCK[[#This Row],[Costo Envío (USD)]]+STOCK[[#This Row],[Comisión 10%]]</f>
        <v>8.35681818181818</v>
      </c>
      <c r="U491" s="77">
        <f>STOCK[[#This Row],[Costo total]]*1.5</f>
        <v>12.5352272727273</v>
      </c>
      <c r="V491" s="77">
        <v>12</v>
      </c>
      <c r="W491" s="77">
        <f>STOCK[[#This Row],[Precio Final]]-STOCK[[#This Row],[Costo total]]</f>
        <v>3.64318181818182</v>
      </c>
      <c r="X491" s="77">
        <f>STOCK[[#This Row],[Ganancia Unitaria]]*STOCK[[#This Row],[Salidas]]</f>
        <v>3.64318181818182</v>
      </c>
      <c r="Y491" s="77" t="s">
        <v>926</v>
      </c>
      <c r="AA491" s="77">
        <f>STOCK[[#This Row],[Costo total]]*STOCK[[#This Row],[Entradas]]</f>
        <v>8.35681818181818</v>
      </c>
      <c r="AB491" s="77">
        <f>STOCK[[#This Row],[Stock Actual]]*STOCK[[#This Row],[Costo total]]</f>
        <v>0</v>
      </c>
    </row>
    <row r="492" s="76" customFormat="1" ht="50" customHeight="1" spans="1:29">
      <c r="A492" s="76" t="s">
        <v>1019</v>
      </c>
      <c r="B492" s="6"/>
      <c r="C492" s="76" t="s">
        <v>30</v>
      </c>
      <c r="D492" s="76" t="s">
        <v>195</v>
      </c>
      <c r="E492" s="76" t="s">
        <v>1020</v>
      </c>
      <c r="F492" s="76" t="s">
        <v>38</v>
      </c>
      <c r="G492" s="76" t="s">
        <v>34</v>
      </c>
      <c r="H492" s="76">
        <f>STOCK[[#This Row],[Precio Final]]</f>
        <v>20</v>
      </c>
      <c r="I492" s="76">
        <f>STOCK[[#This Row],[Precio Venta Ideal (x1.5)]]</f>
        <v>15.1575</v>
      </c>
      <c r="J492" s="91">
        <v>2</v>
      </c>
      <c r="K492" s="91">
        <f>SUMIFS(VENTAS[Cantidad],VENTAS[Código del producto Vendido],STOCK[[#This Row],[Code]])</f>
        <v>1</v>
      </c>
      <c r="L492" s="91">
        <f>STOCK[[#This Row],[Entradas]]-STOCK[[#This Row],[Salidas]]</f>
        <v>1</v>
      </c>
      <c r="M492" s="76">
        <f>STOCK[[#This Row],[Precio Final]]*10%</f>
        <v>2</v>
      </c>
      <c r="N492" s="76">
        <v>110</v>
      </c>
      <c r="O492" s="76">
        <v>17.6</v>
      </c>
      <c r="P492" s="76">
        <v>6.25</v>
      </c>
      <c r="Q492" s="91">
        <v>106</v>
      </c>
      <c r="R492" s="76">
        <v>17.5</v>
      </c>
      <c r="S492" s="76">
        <f>STOCK[[#This Row],[Peso (g)]]*STOCK[[#This Row],[Precio Envío Kilogramo (USD)]]/1000</f>
        <v>1.855</v>
      </c>
      <c r="T492" s="76">
        <f>STOCK[[#This Row],[Costo Unitario (USD)]]+STOCK[[#This Row],[Costo Envío (USD)]]+STOCK[[#This Row],[Comisión 10%]]</f>
        <v>10.105</v>
      </c>
      <c r="U492" s="76">
        <f>STOCK[[#This Row],[Costo total]]*1.5</f>
        <v>15.1575</v>
      </c>
      <c r="V492" s="76">
        <v>20</v>
      </c>
      <c r="W492" s="76">
        <f>STOCK[[#This Row],[Precio Final]]-STOCK[[#This Row],[Costo total]]</f>
        <v>9.895</v>
      </c>
      <c r="X492" s="76">
        <f>STOCK[[#This Row],[Ganancia Unitaria]]*STOCK[[#This Row],[Salidas]]</f>
        <v>9.895</v>
      </c>
      <c r="AA492" s="76">
        <f>STOCK[[#This Row],[Costo total]]*STOCK[[#This Row],[Entradas]]</f>
        <v>20.21</v>
      </c>
      <c r="AB492" s="76">
        <f>STOCK[[#This Row],[Stock Actual]]*STOCK[[#This Row],[Costo total]]</f>
        <v>10.105</v>
      </c>
      <c r="AC492" s="76">
        <v>15</v>
      </c>
    </row>
    <row r="493" s="77" customFormat="1" ht="50" customHeight="1" spans="1:28">
      <c r="A493" s="77" t="s">
        <v>1021</v>
      </c>
      <c r="B493" s="6"/>
      <c r="C493" s="77" t="s">
        <v>30</v>
      </c>
      <c r="D493" s="77" t="s">
        <v>151</v>
      </c>
      <c r="E493" s="77" t="s">
        <v>1022</v>
      </c>
      <c r="F493" s="77" t="s">
        <v>60</v>
      </c>
      <c r="G493" s="77" t="s">
        <v>34</v>
      </c>
      <c r="H493" s="77">
        <f>STOCK[[#This Row],[Precio Final]]</f>
        <v>19</v>
      </c>
      <c r="I493" s="77">
        <f>STOCK[[#This Row],[Precio Venta Ideal (x1.5)]]</f>
        <v>15.0075</v>
      </c>
      <c r="J493" s="92">
        <v>1</v>
      </c>
      <c r="K493" s="92">
        <f>SUMIFS(VENTAS[Cantidad],VENTAS[Código del producto Vendido],STOCK[[#This Row],[Code]])</f>
        <v>1</v>
      </c>
      <c r="L493" s="92">
        <f>STOCK[[#This Row],[Entradas]]-STOCK[[#This Row],[Salidas]]</f>
        <v>0</v>
      </c>
      <c r="M493" s="77">
        <f>STOCK[[#This Row],[Precio Final]]*10%</f>
        <v>1.9</v>
      </c>
      <c r="N493" s="77">
        <v>110</v>
      </c>
      <c r="O493" s="77">
        <v>17.6</v>
      </c>
      <c r="P493" s="77">
        <v>6.25</v>
      </c>
      <c r="Q493" s="92">
        <v>106</v>
      </c>
      <c r="R493" s="77">
        <v>17.5</v>
      </c>
      <c r="S493" s="77">
        <f>STOCK[[#This Row],[Peso (g)]]*STOCK[[#This Row],[Precio Envío Kilogramo (USD)]]/1000</f>
        <v>1.855</v>
      </c>
      <c r="T493" s="76">
        <f>STOCK[[#This Row],[Costo Unitario (USD)]]+STOCK[[#This Row],[Costo Envío (USD)]]+STOCK[[#This Row],[Comisión 10%]]</f>
        <v>10.005</v>
      </c>
      <c r="U493" s="77">
        <f>STOCK[[#This Row],[Costo total]]*1.5</f>
        <v>15.0075</v>
      </c>
      <c r="V493" s="77">
        <v>19</v>
      </c>
      <c r="W493" s="77">
        <f>STOCK[[#This Row],[Precio Final]]-STOCK[[#This Row],[Costo total]]</f>
        <v>8.995</v>
      </c>
      <c r="X493" s="77">
        <f>STOCK[[#This Row],[Ganancia Unitaria]]*STOCK[[#This Row],[Salidas]]</f>
        <v>8.995</v>
      </c>
      <c r="AA493" s="77">
        <f>STOCK[[#This Row],[Costo total]]*STOCK[[#This Row],[Entradas]]</f>
        <v>10.005</v>
      </c>
      <c r="AB493" s="77">
        <f>STOCK[[#This Row],[Stock Actual]]*STOCK[[#This Row],[Costo total]]</f>
        <v>0</v>
      </c>
    </row>
    <row r="494" s="76" customFormat="1" ht="50" customHeight="1" spans="1:28">
      <c r="A494" s="76" t="s">
        <v>1023</v>
      </c>
      <c r="B494" s="6"/>
      <c r="C494" s="76" t="s">
        <v>30</v>
      </c>
      <c r="D494" s="76" t="s">
        <v>151</v>
      </c>
      <c r="E494" s="76" t="s">
        <v>1022</v>
      </c>
      <c r="F494" s="76" t="s">
        <v>47</v>
      </c>
      <c r="G494" s="76" t="s">
        <v>34</v>
      </c>
      <c r="H494" s="76">
        <f>STOCK[[#This Row],[Precio Final]]</f>
        <v>19</v>
      </c>
      <c r="I494" s="76">
        <f>STOCK[[#This Row],[Precio Venta Ideal (x1.5)]]</f>
        <v>15.0075</v>
      </c>
      <c r="J494" s="91">
        <v>1</v>
      </c>
      <c r="K494" s="91">
        <f>SUMIFS(VENTAS[Cantidad],VENTAS[Código del producto Vendido],STOCK[[#This Row],[Code]])</f>
        <v>1</v>
      </c>
      <c r="L494" s="91">
        <f>STOCK[[#This Row],[Entradas]]-STOCK[[#This Row],[Salidas]]</f>
        <v>0</v>
      </c>
      <c r="M494" s="76">
        <f>STOCK[[#This Row],[Precio Final]]*10%</f>
        <v>1.9</v>
      </c>
      <c r="N494" s="76">
        <v>110</v>
      </c>
      <c r="O494" s="76">
        <v>17.6</v>
      </c>
      <c r="P494" s="76">
        <v>6.25</v>
      </c>
      <c r="Q494" s="91">
        <v>106</v>
      </c>
      <c r="R494" s="76">
        <v>17.5</v>
      </c>
      <c r="S494" s="76">
        <f>STOCK[[#This Row],[Peso (g)]]*STOCK[[#This Row],[Precio Envío Kilogramo (USD)]]/1000</f>
        <v>1.855</v>
      </c>
      <c r="T494" s="76">
        <f>STOCK[[#This Row],[Costo Unitario (USD)]]+STOCK[[#This Row],[Costo Envío (USD)]]+STOCK[[#This Row],[Comisión 10%]]</f>
        <v>10.005</v>
      </c>
      <c r="U494" s="76">
        <f>STOCK[[#This Row],[Costo total]]*1.5</f>
        <v>15.0075</v>
      </c>
      <c r="V494" s="76">
        <v>19</v>
      </c>
      <c r="W494" s="76">
        <f>STOCK[[#This Row],[Precio Final]]-STOCK[[#This Row],[Costo total]]</f>
        <v>8.995</v>
      </c>
      <c r="X494" s="76">
        <f>STOCK[[#This Row],[Ganancia Unitaria]]*STOCK[[#This Row],[Salidas]]</f>
        <v>8.995</v>
      </c>
      <c r="AA494" s="76">
        <f>STOCK[[#This Row],[Costo total]]*STOCK[[#This Row],[Entradas]]</f>
        <v>10.005</v>
      </c>
      <c r="AB494" s="76">
        <f>STOCK[[#This Row],[Stock Actual]]*STOCK[[#This Row],[Costo total]]</f>
        <v>0</v>
      </c>
    </row>
    <row r="495" s="77" customFormat="1" ht="50" customHeight="1" spans="1:28">
      <c r="A495" s="77" t="s">
        <v>1024</v>
      </c>
      <c r="B495" s="6"/>
      <c r="C495" s="77" t="s">
        <v>30</v>
      </c>
      <c r="D495" s="77" t="s">
        <v>173</v>
      </c>
      <c r="E495" s="77" t="s">
        <v>1025</v>
      </c>
      <c r="F495" s="77" t="s">
        <v>38</v>
      </c>
      <c r="G495" s="77" t="s">
        <v>34</v>
      </c>
      <c r="H495" s="77">
        <f>STOCK[[#This Row],[Precio Final]]</f>
        <v>12</v>
      </c>
      <c r="I495" s="77">
        <f>STOCK[[#This Row],[Precio Venta Ideal (x1.5)]]</f>
        <v>11.9386363636364</v>
      </c>
      <c r="J495" s="92">
        <v>1</v>
      </c>
      <c r="K495" s="92">
        <f>SUMIFS(VENTAS[Cantidad],VENTAS[Código del producto Vendido],STOCK[[#This Row],[Code]])</f>
        <v>1</v>
      </c>
      <c r="L495" s="92">
        <f>STOCK[[#This Row],[Entradas]]-STOCK[[#This Row],[Salidas]]</f>
        <v>0</v>
      </c>
      <c r="M495" s="77">
        <f>STOCK[[#This Row],[Precio Final]]*10%</f>
        <v>1.2</v>
      </c>
      <c r="N495" s="77">
        <v>82</v>
      </c>
      <c r="O495" s="77">
        <v>17.6</v>
      </c>
      <c r="P495" s="77">
        <v>4.65909090909091</v>
      </c>
      <c r="Q495" s="92">
        <v>120</v>
      </c>
      <c r="R495" s="77">
        <v>17.5</v>
      </c>
      <c r="S495" s="77">
        <f>STOCK[[#This Row],[Peso (g)]]*STOCK[[#This Row],[Precio Envío Kilogramo (USD)]]/1000</f>
        <v>2.1</v>
      </c>
      <c r="T495" s="76">
        <f>STOCK[[#This Row],[Costo Unitario (USD)]]+STOCK[[#This Row],[Costo Envío (USD)]]+STOCK[[#This Row],[Comisión 10%]]</f>
        <v>7.95909090909091</v>
      </c>
      <c r="U495" s="77">
        <f>STOCK[[#This Row],[Costo total]]*1.5</f>
        <v>11.9386363636364</v>
      </c>
      <c r="V495" s="77">
        <v>12</v>
      </c>
      <c r="W495" s="77">
        <f>STOCK[[#This Row],[Precio Final]]-STOCK[[#This Row],[Costo total]]</f>
        <v>4.04090909090909</v>
      </c>
      <c r="X495" s="77">
        <f>STOCK[[#This Row],[Ganancia Unitaria]]*STOCK[[#This Row],[Salidas]]</f>
        <v>4.04090909090909</v>
      </c>
      <c r="Y495" s="77" t="s">
        <v>894</v>
      </c>
      <c r="AA495" s="77">
        <f>STOCK[[#This Row],[Costo total]]*STOCK[[#This Row],[Entradas]]</f>
        <v>7.95909090909091</v>
      </c>
      <c r="AB495" s="77">
        <f>STOCK[[#This Row],[Stock Actual]]*STOCK[[#This Row],[Costo total]]</f>
        <v>0</v>
      </c>
    </row>
    <row r="496" s="76" customFormat="1" ht="50" customHeight="1" spans="1:28">
      <c r="A496" s="76" t="s">
        <v>1026</v>
      </c>
      <c r="B496" s="6"/>
      <c r="C496" s="76" t="s">
        <v>30</v>
      </c>
      <c r="D496" s="76" t="s">
        <v>173</v>
      </c>
      <c r="E496" s="76" t="s">
        <v>1025</v>
      </c>
      <c r="F496" s="76" t="s">
        <v>60</v>
      </c>
      <c r="G496" s="76" t="s">
        <v>34</v>
      </c>
      <c r="H496" s="76">
        <f>STOCK[[#This Row],[Precio Final]]</f>
        <v>12</v>
      </c>
      <c r="I496" s="76">
        <f>STOCK[[#This Row],[Precio Venta Ideal (x1.5)]]</f>
        <v>11.9386363636364</v>
      </c>
      <c r="J496" s="91">
        <v>1</v>
      </c>
      <c r="K496" s="91">
        <f>SUMIFS(VENTAS[Cantidad],VENTAS[Código del producto Vendido],STOCK[[#This Row],[Code]])</f>
        <v>1</v>
      </c>
      <c r="L496" s="91">
        <f>STOCK[[#This Row],[Entradas]]-STOCK[[#This Row],[Salidas]]</f>
        <v>0</v>
      </c>
      <c r="M496" s="76">
        <f>STOCK[[#This Row],[Precio Final]]*10%</f>
        <v>1.2</v>
      </c>
      <c r="N496" s="76">
        <v>82</v>
      </c>
      <c r="O496" s="76">
        <v>17.6</v>
      </c>
      <c r="P496" s="76">
        <v>4.65909090909091</v>
      </c>
      <c r="Q496" s="91">
        <v>120</v>
      </c>
      <c r="R496" s="76">
        <v>17.5</v>
      </c>
      <c r="S496" s="76">
        <f>STOCK[[#This Row],[Peso (g)]]*STOCK[[#This Row],[Precio Envío Kilogramo (USD)]]/1000</f>
        <v>2.1</v>
      </c>
      <c r="T496" s="76">
        <f>STOCK[[#This Row],[Costo Unitario (USD)]]+STOCK[[#This Row],[Costo Envío (USD)]]+STOCK[[#This Row],[Comisión 10%]]</f>
        <v>7.95909090909091</v>
      </c>
      <c r="U496" s="76">
        <f>STOCK[[#This Row],[Costo total]]*1.5</f>
        <v>11.9386363636364</v>
      </c>
      <c r="V496" s="76">
        <v>12</v>
      </c>
      <c r="W496" s="76">
        <f>STOCK[[#This Row],[Precio Final]]-STOCK[[#This Row],[Costo total]]</f>
        <v>4.04090909090909</v>
      </c>
      <c r="X496" s="76">
        <f>STOCK[[#This Row],[Ganancia Unitaria]]*STOCK[[#This Row],[Salidas]]</f>
        <v>4.04090909090909</v>
      </c>
      <c r="Y496" s="76" t="s">
        <v>894</v>
      </c>
      <c r="AA496" s="76">
        <f>STOCK[[#This Row],[Costo total]]*STOCK[[#This Row],[Entradas]]</f>
        <v>7.95909090909091</v>
      </c>
      <c r="AB496" s="76">
        <f>STOCK[[#This Row],[Stock Actual]]*STOCK[[#This Row],[Costo total]]</f>
        <v>0</v>
      </c>
    </row>
    <row r="497" s="77" customFormat="1" ht="50" customHeight="1" spans="1:28">
      <c r="A497" s="77" t="s">
        <v>1027</v>
      </c>
      <c r="B497" s="6"/>
      <c r="C497" s="77" t="s">
        <v>30</v>
      </c>
      <c r="D497" s="77" t="s">
        <v>173</v>
      </c>
      <c r="E497" s="77" t="s">
        <v>1025</v>
      </c>
      <c r="F497" s="77" t="s">
        <v>47</v>
      </c>
      <c r="G497" s="77" t="s">
        <v>34</v>
      </c>
      <c r="H497" s="77">
        <f>STOCK[[#This Row],[Precio Final]]</f>
        <v>12</v>
      </c>
      <c r="I497" s="77">
        <f>STOCK[[#This Row],[Precio Venta Ideal (x1.5)]]</f>
        <v>11.9386363636364</v>
      </c>
      <c r="J497" s="92">
        <v>1</v>
      </c>
      <c r="K497" s="92">
        <f>SUMIFS(VENTAS[Cantidad],VENTAS[Código del producto Vendido],STOCK[[#This Row],[Code]])</f>
        <v>1</v>
      </c>
      <c r="L497" s="92">
        <f>STOCK[[#This Row],[Entradas]]-STOCK[[#This Row],[Salidas]]</f>
        <v>0</v>
      </c>
      <c r="M497" s="77">
        <f>STOCK[[#This Row],[Precio Final]]*10%</f>
        <v>1.2</v>
      </c>
      <c r="N497" s="77">
        <v>82</v>
      </c>
      <c r="O497" s="77">
        <v>17.6</v>
      </c>
      <c r="P497" s="77">
        <v>4.65909090909091</v>
      </c>
      <c r="Q497" s="92">
        <v>120</v>
      </c>
      <c r="R497" s="77">
        <v>17.5</v>
      </c>
      <c r="S497" s="77">
        <f>STOCK[[#This Row],[Peso (g)]]*STOCK[[#This Row],[Precio Envío Kilogramo (USD)]]/1000</f>
        <v>2.1</v>
      </c>
      <c r="T497" s="76">
        <f>STOCK[[#This Row],[Costo Unitario (USD)]]+STOCK[[#This Row],[Costo Envío (USD)]]+STOCK[[#This Row],[Comisión 10%]]</f>
        <v>7.95909090909091</v>
      </c>
      <c r="U497" s="77">
        <f>STOCK[[#This Row],[Costo total]]*1.5</f>
        <v>11.9386363636364</v>
      </c>
      <c r="V497" s="77">
        <v>12</v>
      </c>
      <c r="W497" s="77">
        <f>STOCK[[#This Row],[Precio Final]]-STOCK[[#This Row],[Costo total]]</f>
        <v>4.04090909090909</v>
      </c>
      <c r="X497" s="77">
        <f>STOCK[[#This Row],[Ganancia Unitaria]]*STOCK[[#This Row],[Salidas]]</f>
        <v>4.04090909090909</v>
      </c>
      <c r="Y497" s="77" t="s">
        <v>894</v>
      </c>
      <c r="AA497" s="77">
        <f>STOCK[[#This Row],[Costo total]]*STOCK[[#This Row],[Entradas]]</f>
        <v>7.95909090909091</v>
      </c>
      <c r="AB497" s="77">
        <f>STOCK[[#This Row],[Stock Actual]]*STOCK[[#This Row],[Costo total]]</f>
        <v>0</v>
      </c>
    </row>
    <row r="498" s="76" customFormat="1" ht="50" customHeight="1" spans="1:28">
      <c r="A498" s="76" t="s">
        <v>1028</v>
      </c>
      <c r="B498" s="6"/>
      <c r="C498" s="76" t="s">
        <v>30</v>
      </c>
      <c r="D498" s="76" t="s">
        <v>173</v>
      </c>
      <c r="E498" s="76" t="s">
        <v>1029</v>
      </c>
      <c r="F498" s="76" t="s">
        <v>60</v>
      </c>
      <c r="G498" s="76" t="s">
        <v>34</v>
      </c>
      <c r="H498" s="76">
        <f>STOCK[[#This Row],[Precio Final]]</f>
        <v>12</v>
      </c>
      <c r="I498" s="76">
        <f>STOCK[[#This Row],[Precio Venta Ideal (x1.5)]]</f>
        <v>13.4335227272727</v>
      </c>
      <c r="J498" s="91">
        <v>3</v>
      </c>
      <c r="K498" s="91">
        <f>SUMIFS(VENTAS[Cantidad],VENTAS[Código del producto Vendido],STOCK[[#This Row],[Code]])</f>
        <v>3</v>
      </c>
      <c r="L498" s="91">
        <f>STOCK[[#This Row],[Entradas]]-STOCK[[#This Row],[Salidas]]</f>
        <v>0</v>
      </c>
      <c r="M498" s="76">
        <f>STOCK[[#This Row],[Precio Final]]*10%</f>
        <v>1.2</v>
      </c>
      <c r="N498" s="76">
        <v>98</v>
      </c>
      <c r="O498" s="76">
        <v>17.6</v>
      </c>
      <c r="P498" s="76">
        <v>5.56818181818182</v>
      </c>
      <c r="Q498" s="91">
        <v>125</v>
      </c>
      <c r="R498" s="76">
        <v>17.5</v>
      </c>
      <c r="S498" s="76">
        <f>STOCK[[#This Row],[Peso (g)]]*STOCK[[#This Row],[Precio Envío Kilogramo (USD)]]/1000</f>
        <v>2.1875</v>
      </c>
      <c r="T498" s="76">
        <f>STOCK[[#This Row],[Costo Unitario (USD)]]+STOCK[[#This Row],[Costo Envío (USD)]]+STOCK[[#This Row],[Comisión 10%]]</f>
        <v>8.95568181818182</v>
      </c>
      <c r="U498" s="76">
        <f>STOCK[[#This Row],[Costo total]]*1.5</f>
        <v>13.4335227272727</v>
      </c>
      <c r="V498" s="76">
        <v>12</v>
      </c>
      <c r="W498" s="76">
        <f>STOCK[[#This Row],[Precio Final]]-STOCK[[#This Row],[Costo total]]</f>
        <v>3.04431818181818</v>
      </c>
      <c r="X498" s="76">
        <f>STOCK[[#This Row],[Ganancia Unitaria]]*STOCK[[#This Row],[Salidas]]</f>
        <v>9.13295454545454</v>
      </c>
      <c r="Y498" s="76" t="s">
        <v>891</v>
      </c>
      <c r="AA498" s="76">
        <f>STOCK[[#This Row],[Costo total]]*STOCK[[#This Row],[Entradas]]</f>
        <v>26.8670454545455</v>
      </c>
      <c r="AB498" s="76">
        <f>STOCK[[#This Row],[Stock Actual]]*STOCK[[#This Row],[Costo total]]</f>
        <v>0</v>
      </c>
    </row>
    <row r="499" s="77" customFormat="1" ht="50" customHeight="1" spans="1:28">
      <c r="A499" s="77" t="s">
        <v>1030</v>
      </c>
      <c r="B499" s="6"/>
      <c r="C499" s="77" t="s">
        <v>30</v>
      </c>
      <c r="D499" s="77" t="s">
        <v>545</v>
      </c>
      <c r="E499" s="77" t="s">
        <v>1031</v>
      </c>
      <c r="F499" s="77" t="s">
        <v>47</v>
      </c>
      <c r="G499" s="77" t="s">
        <v>34</v>
      </c>
      <c r="H499" s="77">
        <f>STOCK[[#This Row],[Precio Final]]</f>
        <v>12</v>
      </c>
      <c r="I499" s="77">
        <f>STOCK[[#This Row],[Precio Venta Ideal (x1.5)]]</f>
        <v>7.50511363636363</v>
      </c>
      <c r="J499" s="92">
        <v>1</v>
      </c>
      <c r="K499" s="92">
        <f>SUMIFS(VENTAS[Cantidad],VENTAS[Código del producto Vendido],STOCK[[#This Row],[Code]])</f>
        <v>1</v>
      </c>
      <c r="L499" s="92">
        <f>STOCK[[#This Row],[Entradas]]-STOCK[[#This Row],[Salidas]]</f>
        <v>0</v>
      </c>
      <c r="M499" s="77">
        <f>STOCK[[#This Row],[Precio Final]]*10%</f>
        <v>1.2</v>
      </c>
      <c r="N499" s="77">
        <v>50</v>
      </c>
      <c r="O499" s="77">
        <v>17.6</v>
      </c>
      <c r="P499" s="77">
        <v>2.84090909090909</v>
      </c>
      <c r="Q499" s="92">
        <v>55</v>
      </c>
      <c r="R499" s="77">
        <v>17.5</v>
      </c>
      <c r="S499" s="77">
        <f>STOCK[[#This Row],[Peso (g)]]*STOCK[[#This Row],[Precio Envío Kilogramo (USD)]]/1000</f>
        <v>0.9625</v>
      </c>
      <c r="T499" s="76">
        <f>STOCK[[#This Row],[Costo Unitario (USD)]]+STOCK[[#This Row],[Costo Envío (USD)]]+STOCK[[#This Row],[Comisión 10%]]</f>
        <v>5.00340909090909</v>
      </c>
      <c r="U499" s="77">
        <f>STOCK[[#This Row],[Costo total]]*1.5</f>
        <v>7.50511363636363</v>
      </c>
      <c r="V499" s="77">
        <v>12</v>
      </c>
      <c r="W499" s="77">
        <f>STOCK[[#This Row],[Precio Final]]-STOCK[[#This Row],[Costo total]]</f>
        <v>6.99659090909091</v>
      </c>
      <c r="X499" s="77">
        <f>STOCK[[#This Row],[Ganancia Unitaria]]*STOCK[[#This Row],[Salidas]]</f>
        <v>6.99659090909091</v>
      </c>
      <c r="Y499" s="77" t="s">
        <v>894</v>
      </c>
      <c r="AA499" s="77">
        <f>STOCK[[#This Row],[Costo total]]*STOCK[[#This Row],[Entradas]]</f>
        <v>5.00340909090909</v>
      </c>
      <c r="AB499" s="77">
        <f>STOCK[[#This Row],[Stock Actual]]*STOCK[[#This Row],[Costo total]]</f>
        <v>0</v>
      </c>
    </row>
    <row r="500" s="76" customFormat="1" ht="50" customHeight="1" spans="1:28">
      <c r="A500" s="76" t="s">
        <v>1032</v>
      </c>
      <c r="B500" s="6"/>
      <c r="C500" s="76" t="s">
        <v>30</v>
      </c>
      <c r="D500" s="76" t="s">
        <v>154</v>
      </c>
      <c r="E500" s="76" t="s">
        <v>1033</v>
      </c>
      <c r="F500" s="76" t="s">
        <v>60</v>
      </c>
      <c r="G500" s="76" t="s">
        <v>34</v>
      </c>
      <c r="H500" s="76">
        <f>STOCK[[#This Row],[Precio Final]]</f>
        <v>35</v>
      </c>
      <c r="I500" s="76">
        <f>STOCK[[#This Row],[Precio Venta Ideal (x1.5)]]</f>
        <v>42.2727272727273</v>
      </c>
      <c r="J500" s="91">
        <v>3</v>
      </c>
      <c r="K500" s="91">
        <f>SUMIFS(VENTAS[Cantidad],VENTAS[Código del producto Vendido],STOCK[[#This Row],[Code]])</f>
        <v>3</v>
      </c>
      <c r="L500" s="91">
        <f>STOCK[[#This Row],[Entradas]]-STOCK[[#This Row],[Salidas]]</f>
        <v>0</v>
      </c>
      <c r="M500" s="76">
        <f>STOCK[[#This Row],[Precio Final]]*10%</f>
        <v>3.5</v>
      </c>
      <c r="N500" s="76">
        <v>265</v>
      </c>
      <c r="O500" s="76">
        <v>17.6</v>
      </c>
      <c r="P500" s="76">
        <v>15.0568181818182</v>
      </c>
      <c r="Q500" s="91">
        <v>550</v>
      </c>
      <c r="R500" s="76">
        <v>17.5</v>
      </c>
      <c r="S500" s="76">
        <f>STOCK[[#This Row],[Peso (g)]]*STOCK[[#This Row],[Precio Envío Kilogramo (USD)]]/1000</f>
        <v>9.625</v>
      </c>
      <c r="T500" s="76">
        <f>STOCK[[#This Row],[Costo Unitario (USD)]]+STOCK[[#This Row],[Costo Envío (USD)]]+STOCK[[#This Row],[Comisión 10%]]</f>
        <v>28.1818181818182</v>
      </c>
      <c r="U500" s="76">
        <f>STOCK[[#This Row],[Costo total]]*1.5</f>
        <v>42.2727272727273</v>
      </c>
      <c r="V500" s="76">
        <v>35</v>
      </c>
      <c r="W500" s="76">
        <f>STOCK[[#This Row],[Precio Final]]-STOCK[[#This Row],[Costo total]]</f>
        <v>6.8181818181818</v>
      </c>
      <c r="X500" s="76">
        <f>STOCK[[#This Row],[Ganancia Unitaria]]*STOCK[[#This Row],[Salidas]]</f>
        <v>20.4545454545454</v>
      </c>
      <c r="AA500" s="76">
        <f>STOCK[[#This Row],[Costo total]]*STOCK[[#This Row],[Entradas]]</f>
        <v>84.5454545454546</v>
      </c>
      <c r="AB500" s="76">
        <f>STOCK[[#This Row],[Stock Actual]]*STOCK[[#This Row],[Costo total]]</f>
        <v>0</v>
      </c>
    </row>
    <row r="501" s="77" customFormat="1" ht="50" customHeight="1" spans="1:28">
      <c r="A501" s="77" t="s">
        <v>1034</v>
      </c>
      <c r="B501" s="6"/>
      <c r="C501" s="77" t="s">
        <v>30</v>
      </c>
      <c r="D501" s="77" t="s">
        <v>154</v>
      </c>
      <c r="E501" s="77" t="s">
        <v>1033</v>
      </c>
      <c r="F501" s="77" t="s">
        <v>47</v>
      </c>
      <c r="G501" s="77" t="s">
        <v>34</v>
      </c>
      <c r="H501" s="77">
        <f>STOCK[[#This Row],[Precio Final]]</f>
        <v>35</v>
      </c>
      <c r="I501" s="77">
        <f>STOCK[[#This Row],[Precio Venta Ideal (x1.5)]]</f>
        <v>42.2727272727273</v>
      </c>
      <c r="J501" s="92">
        <v>3</v>
      </c>
      <c r="K501" s="92">
        <f>SUMIFS(VENTAS[Cantidad],VENTAS[Código del producto Vendido],STOCK[[#This Row],[Code]])</f>
        <v>3</v>
      </c>
      <c r="L501" s="92">
        <f>STOCK[[#This Row],[Entradas]]-STOCK[[#This Row],[Salidas]]</f>
        <v>0</v>
      </c>
      <c r="M501" s="77">
        <f>STOCK[[#This Row],[Precio Final]]*10%</f>
        <v>3.5</v>
      </c>
      <c r="N501" s="77">
        <v>265</v>
      </c>
      <c r="O501" s="77">
        <v>17.6</v>
      </c>
      <c r="P501" s="77">
        <v>15.0568181818182</v>
      </c>
      <c r="Q501" s="92">
        <v>550</v>
      </c>
      <c r="R501" s="77">
        <v>17.5</v>
      </c>
      <c r="S501" s="77">
        <f>STOCK[[#This Row],[Peso (g)]]*STOCK[[#This Row],[Precio Envío Kilogramo (USD)]]/1000</f>
        <v>9.625</v>
      </c>
      <c r="T501" s="76">
        <f>STOCK[[#This Row],[Costo Unitario (USD)]]+STOCK[[#This Row],[Costo Envío (USD)]]+STOCK[[#This Row],[Comisión 10%]]</f>
        <v>28.1818181818182</v>
      </c>
      <c r="U501" s="77">
        <f>STOCK[[#This Row],[Costo total]]*1.5</f>
        <v>42.2727272727273</v>
      </c>
      <c r="V501" s="77">
        <v>35</v>
      </c>
      <c r="W501" s="77">
        <f>STOCK[[#This Row],[Precio Final]]-STOCK[[#This Row],[Costo total]]</f>
        <v>6.8181818181818</v>
      </c>
      <c r="X501" s="77">
        <f>STOCK[[#This Row],[Ganancia Unitaria]]*STOCK[[#This Row],[Salidas]]</f>
        <v>20.4545454545454</v>
      </c>
      <c r="AA501" s="77">
        <f>STOCK[[#This Row],[Costo total]]*STOCK[[#This Row],[Entradas]]</f>
        <v>84.5454545454546</v>
      </c>
      <c r="AB501" s="77">
        <f>STOCK[[#This Row],[Stock Actual]]*STOCK[[#This Row],[Costo total]]</f>
        <v>0</v>
      </c>
    </row>
    <row r="502" s="76" customFormat="1" ht="50" customHeight="1" spans="1:28">
      <c r="A502" s="76" t="s">
        <v>1035</v>
      </c>
      <c r="B502" s="6"/>
      <c r="C502" s="76" t="s">
        <v>30</v>
      </c>
      <c r="D502" s="76" t="s">
        <v>151</v>
      </c>
      <c r="E502" s="76" t="s">
        <v>1036</v>
      </c>
      <c r="F502" s="76" t="s">
        <v>47</v>
      </c>
      <c r="G502" s="76" t="s">
        <v>34</v>
      </c>
      <c r="H502" s="76">
        <f>STOCK[[#This Row],[Precio Final]]</f>
        <v>23</v>
      </c>
      <c r="I502" s="76">
        <f>STOCK[[#This Row],[Precio Venta Ideal (x1.5)]]</f>
        <v>25.3875</v>
      </c>
      <c r="J502" s="91">
        <v>2</v>
      </c>
      <c r="K502" s="91">
        <f>SUMIFS(VENTAS[Cantidad],VENTAS[Código del producto Vendido],STOCK[[#This Row],[Code]])</f>
        <v>1</v>
      </c>
      <c r="L502" s="91">
        <f>STOCK[[#This Row],[Entradas]]-STOCK[[#This Row],[Salidas]]</f>
        <v>1</v>
      </c>
      <c r="M502" s="76">
        <f>STOCK[[#This Row],[Precio Final]]*10%</f>
        <v>2.3</v>
      </c>
      <c r="N502" s="76">
        <v>165</v>
      </c>
      <c r="O502" s="76">
        <v>17.6</v>
      </c>
      <c r="P502" s="76">
        <v>9.375</v>
      </c>
      <c r="Q502" s="91">
        <v>300</v>
      </c>
      <c r="R502" s="76">
        <v>17.5</v>
      </c>
      <c r="S502" s="76">
        <f>STOCK[[#This Row],[Peso (g)]]*STOCK[[#This Row],[Precio Envío Kilogramo (USD)]]/1000</f>
        <v>5.25</v>
      </c>
      <c r="T502" s="76">
        <f>STOCK[[#This Row],[Costo Unitario (USD)]]+STOCK[[#This Row],[Costo Envío (USD)]]+STOCK[[#This Row],[Comisión 10%]]</f>
        <v>16.925</v>
      </c>
      <c r="U502" s="76">
        <f>STOCK[[#This Row],[Costo total]]*1.5</f>
        <v>25.3875</v>
      </c>
      <c r="V502" s="76">
        <v>23</v>
      </c>
      <c r="W502" s="76">
        <f>STOCK[[#This Row],[Precio Final]]-STOCK[[#This Row],[Costo total]]</f>
        <v>6.075</v>
      </c>
      <c r="X502" s="76">
        <f>STOCK[[#This Row],[Ganancia Unitaria]]*STOCK[[#This Row],[Salidas]]</f>
        <v>6.075</v>
      </c>
      <c r="AA502" s="76">
        <f>STOCK[[#This Row],[Costo total]]*STOCK[[#This Row],[Entradas]]</f>
        <v>33.85</v>
      </c>
      <c r="AB502" s="76">
        <f>STOCK[[#This Row],[Stock Actual]]*STOCK[[#This Row],[Costo total]]</f>
        <v>16.925</v>
      </c>
    </row>
    <row r="503" s="77" customFormat="1" ht="50" customHeight="1" spans="1:28">
      <c r="A503" s="77" t="s">
        <v>1037</v>
      </c>
      <c r="B503" s="6"/>
      <c r="C503" s="77" t="s">
        <v>30</v>
      </c>
      <c r="D503" s="77" t="s">
        <v>151</v>
      </c>
      <c r="E503" s="77" t="s">
        <v>1038</v>
      </c>
      <c r="F503" s="77" t="s">
        <v>210</v>
      </c>
      <c r="G503" s="77" t="s">
        <v>34</v>
      </c>
      <c r="H503" s="77">
        <f>STOCK[[#This Row],[Precio Final]]</f>
        <v>25</v>
      </c>
      <c r="I503" s="77">
        <f>STOCK[[#This Row],[Precio Venta Ideal (x1.5)]]</f>
        <v>25.6875</v>
      </c>
      <c r="J503" s="92">
        <v>1</v>
      </c>
      <c r="K503" s="92">
        <f>SUMIFS(VENTAS[Cantidad],VENTAS[Código del producto Vendido],STOCK[[#This Row],[Code]])</f>
        <v>1</v>
      </c>
      <c r="L503" s="92">
        <f>STOCK[[#This Row],[Entradas]]-STOCK[[#This Row],[Salidas]]</f>
        <v>0</v>
      </c>
      <c r="M503" s="77">
        <f>STOCK[[#This Row],[Precio Final]]*10%</f>
        <v>2.5</v>
      </c>
      <c r="N503" s="77">
        <v>165</v>
      </c>
      <c r="O503" s="77">
        <v>17.6</v>
      </c>
      <c r="P503" s="77">
        <v>9.375</v>
      </c>
      <c r="Q503" s="92">
        <v>300</v>
      </c>
      <c r="R503" s="77">
        <v>17.5</v>
      </c>
      <c r="S503" s="77">
        <f>STOCK[[#This Row],[Peso (g)]]*STOCK[[#This Row],[Precio Envío Kilogramo (USD)]]/1000</f>
        <v>5.25</v>
      </c>
      <c r="T503" s="76">
        <f>STOCK[[#This Row],[Costo Unitario (USD)]]+STOCK[[#This Row],[Costo Envío (USD)]]+STOCK[[#This Row],[Comisión 10%]]</f>
        <v>17.125</v>
      </c>
      <c r="U503" s="77">
        <f>STOCK[[#This Row],[Costo total]]*1.5</f>
        <v>25.6875</v>
      </c>
      <c r="V503" s="77">
        <v>25</v>
      </c>
      <c r="W503" s="77">
        <f>STOCK[[#This Row],[Precio Final]]-STOCK[[#This Row],[Costo total]]</f>
        <v>7.875</v>
      </c>
      <c r="X503" s="77">
        <f>STOCK[[#This Row],[Ganancia Unitaria]]*STOCK[[#This Row],[Salidas]]</f>
        <v>7.875</v>
      </c>
      <c r="AA503" s="77">
        <f>STOCK[[#This Row],[Costo total]]*STOCK[[#This Row],[Entradas]]</f>
        <v>17.125</v>
      </c>
      <c r="AB503" s="77">
        <f>STOCK[[#This Row],[Stock Actual]]*STOCK[[#This Row],[Costo total]]</f>
        <v>0</v>
      </c>
    </row>
    <row r="504" s="76" customFormat="1" ht="50" customHeight="1" spans="1:28">
      <c r="A504" s="76" t="s">
        <v>1039</v>
      </c>
      <c r="B504" s="6"/>
      <c r="C504" s="76" t="s">
        <v>30</v>
      </c>
      <c r="D504" s="76" t="s">
        <v>154</v>
      </c>
      <c r="E504" s="76" t="s">
        <v>1040</v>
      </c>
      <c r="F504" s="76" t="s">
        <v>38</v>
      </c>
      <c r="G504" s="76" t="s">
        <v>34</v>
      </c>
      <c r="H504" s="76">
        <f>STOCK[[#This Row],[Precio Final]]</f>
        <v>35</v>
      </c>
      <c r="I504" s="76">
        <f>STOCK[[#This Row],[Precio Venta Ideal (x1.5)]]</f>
        <v>46.5340909090909</v>
      </c>
      <c r="J504" s="91">
        <v>4</v>
      </c>
      <c r="K504" s="91">
        <f>SUMIFS(VENTAS[Cantidad],VENTAS[Código del producto Vendido],STOCK[[#This Row],[Code]])</f>
        <v>4</v>
      </c>
      <c r="L504" s="91">
        <f>STOCK[[#This Row],[Entradas]]-STOCK[[#This Row],[Salidas]]</f>
        <v>0</v>
      </c>
      <c r="M504" s="76">
        <f>STOCK[[#This Row],[Precio Final]]*10%</f>
        <v>3.5</v>
      </c>
      <c r="N504" s="76">
        <v>315</v>
      </c>
      <c r="O504" s="76">
        <v>17.6</v>
      </c>
      <c r="P504" s="76">
        <v>17.8977272727273</v>
      </c>
      <c r="Q504" s="91">
        <v>550</v>
      </c>
      <c r="R504" s="76">
        <v>17.5</v>
      </c>
      <c r="S504" s="76">
        <f>STOCK[[#This Row],[Peso (g)]]*STOCK[[#This Row],[Precio Envío Kilogramo (USD)]]/1000</f>
        <v>9.625</v>
      </c>
      <c r="T504" s="76">
        <f>STOCK[[#This Row],[Costo Unitario (USD)]]+STOCK[[#This Row],[Costo Envío (USD)]]+STOCK[[#This Row],[Comisión 10%]]</f>
        <v>31.0227272727273</v>
      </c>
      <c r="U504" s="76">
        <f>STOCK[[#This Row],[Costo total]]*1.5</f>
        <v>46.5340909090909</v>
      </c>
      <c r="V504" s="76">
        <v>35</v>
      </c>
      <c r="W504" s="76">
        <f>STOCK[[#This Row],[Precio Final]]-STOCK[[#This Row],[Costo total]]</f>
        <v>3.9772727272727</v>
      </c>
      <c r="X504" s="76">
        <f>STOCK[[#This Row],[Ganancia Unitaria]]*STOCK[[#This Row],[Salidas]]</f>
        <v>15.9090909090908</v>
      </c>
      <c r="AA504" s="76">
        <f>STOCK[[#This Row],[Costo total]]*STOCK[[#This Row],[Entradas]]</f>
        <v>124.090909090909</v>
      </c>
      <c r="AB504" s="76">
        <f>STOCK[[#This Row],[Stock Actual]]*STOCK[[#This Row],[Costo total]]</f>
        <v>0</v>
      </c>
    </row>
    <row r="505" s="77" customFormat="1" ht="50" customHeight="1" spans="1:28">
      <c r="A505" s="77" t="s">
        <v>1041</v>
      </c>
      <c r="B505" s="6"/>
      <c r="C505" s="77" t="s">
        <v>30</v>
      </c>
      <c r="D505" s="77" t="s">
        <v>154</v>
      </c>
      <c r="E505" s="77" t="s">
        <v>1040</v>
      </c>
      <c r="F505" s="77" t="s">
        <v>60</v>
      </c>
      <c r="G505" s="77" t="s">
        <v>34</v>
      </c>
      <c r="H505" s="77">
        <f>STOCK[[#This Row],[Precio Final]]</f>
        <v>35</v>
      </c>
      <c r="I505" s="77">
        <f>STOCK[[#This Row],[Precio Venta Ideal (x1.5)]]</f>
        <v>46.5340909090909</v>
      </c>
      <c r="J505" s="92">
        <v>3</v>
      </c>
      <c r="K505" s="92">
        <f>SUMIFS(VENTAS[Cantidad],VENTAS[Código del producto Vendido],STOCK[[#This Row],[Code]])</f>
        <v>3</v>
      </c>
      <c r="L505" s="92">
        <f>STOCK[[#This Row],[Entradas]]-STOCK[[#This Row],[Salidas]]</f>
        <v>0</v>
      </c>
      <c r="M505" s="77">
        <f>STOCK[[#This Row],[Precio Final]]*10%</f>
        <v>3.5</v>
      </c>
      <c r="N505" s="77">
        <v>315</v>
      </c>
      <c r="O505" s="77">
        <v>17.6</v>
      </c>
      <c r="P505" s="77">
        <v>17.8977272727273</v>
      </c>
      <c r="Q505" s="92">
        <v>550</v>
      </c>
      <c r="R505" s="77">
        <v>17.5</v>
      </c>
      <c r="S505" s="77">
        <f>STOCK[[#This Row],[Peso (g)]]*STOCK[[#This Row],[Precio Envío Kilogramo (USD)]]/1000</f>
        <v>9.625</v>
      </c>
      <c r="T505" s="76">
        <f>STOCK[[#This Row],[Costo Unitario (USD)]]+STOCK[[#This Row],[Costo Envío (USD)]]+STOCK[[#This Row],[Comisión 10%]]</f>
        <v>31.0227272727273</v>
      </c>
      <c r="U505" s="77">
        <f>STOCK[[#This Row],[Costo total]]*1.5</f>
        <v>46.5340909090909</v>
      </c>
      <c r="V505" s="77">
        <v>35</v>
      </c>
      <c r="W505" s="77">
        <f>STOCK[[#This Row],[Precio Final]]-STOCK[[#This Row],[Costo total]]</f>
        <v>3.9772727272727</v>
      </c>
      <c r="X505" s="77">
        <f>STOCK[[#This Row],[Ganancia Unitaria]]*STOCK[[#This Row],[Salidas]]</f>
        <v>11.9318181818181</v>
      </c>
      <c r="AA505" s="77">
        <f>STOCK[[#This Row],[Costo total]]*STOCK[[#This Row],[Entradas]]</f>
        <v>93.0681818181819</v>
      </c>
      <c r="AB505" s="77">
        <f>STOCK[[#This Row],[Stock Actual]]*STOCK[[#This Row],[Costo total]]</f>
        <v>0</v>
      </c>
    </row>
    <row r="506" s="76" customFormat="1" ht="50" customHeight="1" spans="1:28">
      <c r="A506" s="76" t="s">
        <v>1042</v>
      </c>
      <c r="B506" s="6"/>
      <c r="C506" s="76" t="s">
        <v>30</v>
      </c>
      <c r="D506" s="76" t="s">
        <v>154</v>
      </c>
      <c r="E506" s="76" t="s">
        <v>1040</v>
      </c>
      <c r="F506" s="76" t="s">
        <v>47</v>
      </c>
      <c r="G506" s="76" t="s">
        <v>34</v>
      </c>
      <c r="H506" s="76">
        <f>STOCK[[#This Row],[Precio Final]]</f>
        <v>35</v>
      </c>
      <c r="I506" s="76">
        <f>STOCK[[#This Row],[Precio Venta Ideal (x1.5)]]</f>
        <v>46.5340909090909</v>
      </c>
      <c r="J506" s="91">
        <v>2</v>
      </c>
      <c r="K506" s="91">
        <f>SUMIFS(VENTAS[Cantidad],VENTAS[Código del producto Vendido],STOCK[[#This Row],[Code]])</f>
        <v>2</v>
      </c>
      <c r="L506" s="91">
        <f>STOCK[[#This Row],[Entradas]]-STOCK[[#This Row],[Salidas]]</f>
        <v>0</v>
      </c>
      <c r="M506" s="76">
        <f>STOCK[[#This Row],[Precio Final]]*10%</f>
        <v>3.5</v>
      </c>
      <c r="N506" s="76">
        <v>315</v>
      </c>
      <c r="O506" s="76">
        <v>17.6</v>
      </c>
      <c r="P506" s="76">
        <v>17.8977272727273</v>
      </c>
      <c r="Q506" s="91">
        <v>550</v>
      </c>
      <c r="R506" s="76">
        <v>17.5</v>
      </c>
      <c r="S506" s="76">
        <f>STOCK[[#This Row],[Peso (g)]]*STOCK[[#This Row],[Precio Envío Kilogramo (USD)]]/1000</f>
        <v>9.625</v>
      </c>
      <c r="T506" s="76">
        <f>STOCK[[#This Row],[Costo Unitario (USD)]]+STOCK[[#This Row],[Costo Envío (USD)]]+STOCK[[#This Row],[Comisión 10%]]</f>
        <v>31.0227272727273</v>
      </c>
      <c r="U506" s="76">
        <f>STOCK[[#This Row],[Costo total]]*1.5</f>
        <v>46.5340909090909</v>
      </c>
      <c r="V506" s="76">
        <v>35</v>
      </c>
      <c r="W506" s="76">
        <f>STOCK[[#This Row],[Precio Final]]-STOCK[[#This Row],[Costo total]]</f>
        <v>3.9772727272727</v>
      </c>
      <c r="X506" s="76">
        <f>STOCK[[#This Row],[Ganancia Unitaria]]*STOCK[[#This Row],[Salidas]]</f>
        <v>7.9545454545454</v>
      </c>
      <c r="AA506" s="76">
        <f>STOCK[[#This Row],[Costo total]]*STOCK[[#This Row],[Entradas]]</f>
        <v>62.0454545454546</v>
      </c>
      <c r="AB506" s="76">
        <f>STOCK[[#This Row],[Stock Actual]]*STOCK[[#This Row],[Costo total]]</f>
        <v>0</v>
      </c>
    </row>
    <row r="507" s="77" customFormat="1" ht="50" customHeight="1" spans="1:28">
      <c r="A507" s="77" t="s">
        <v>1043</v>
      </c>
      <c r="B507" s="6"/>
      <c r="C507" s="77" t="s">
        <v>30</v>
      </c>
      <c r="D507" s="77" t="s">
        <v>154</v>
      </c>
      <c r="E507" s="77" t="s">
        <v>1044</v>
      </c>
      <c r="F507" s="77" t="s">
        <v>1045</v>
      </c>
      <c r="G507" s="77" t="s">
        <v>34</v>
      </c>
      <c r="H507" s="77">
        <f>STOCK[[#This Row],[Precio Final]]</f>
        <v>30</v>
      </c>
      <c r="I507" s="77">
        <f>STOCK[[#This Row],[Precio Venta Ideal (x1.5)]]</f>
        <v>43.2272727272727</v>
      </c>
      <c r="J507" s="92">
        <v>3</v>
      </c>
      <c r="K507" s="92">
        <f>SUMIFS(VENTAS[Cantidad],VENTAS[Código del producto Vendido],STOCK[[#This Row],[Code]])</f>
        <v>3</v>
      </c>
      <c r="L507" s="92">
        <f>STOCK[[#This Row],[Entradas]]-STOCK[[#This Row],[Salidas]]</f>
        <v>0</v>
      </c>
      <c r="M507" s="77">
        <f>STOCK[[#This Row],[Precio Final]]*10%</f>
        <v>3</v>
      </c>
      <c r="N507" s="77">
        <v>285</v>
      </c>
      <c r="O507" s="77">
        <v>17.6</v>
      </c>
      <c r="P507" s="77">
        <v>16.1931818181818</v>
      </c>
      <c r="Q507" s="92">
        <v>550</v>
      </c>
      <c r="R507" s="77">
        <v>17.5</v>
      </c>
      <c r="S507" s="77">
        <f>STOCK[[#This Row],[Peso (g)]]*STOCK[[#This Row],[Precio Envío Kilogramo (USD)]]/1000</f>
        <v>9.625</v>
      </c>
      <c r="T507" s="76">
        <f>STOCK[[#This Row],[Costo Unitario (USD)]]+STOCK[[#This Row],[Costo Envío (USD)]]+STOCK[[#This Row],[Comisión 10%]]</f>
        <v>28.8181818181818</v>
      </c>
      <c r="U507" s="77">
        <f>STOCK[[#This Row],[Costo total]]*1.5</f>
        <v>43.2272727272727</v>
      </c>
      <c r="V507" s="77">
        <v>30</v>
      </c>
      <c r="W507" s="77">
        <f>STOCK[[#This Row],[Precio Final]]-STOCK[[#This Row],[Costo total]]</f>
        <v>1.1818181818182</v>
      </c>
      <c r="X507" s="77">
        <f>STOCK[[#This Row],[Ganancia Unitaria]]*STOCK[[#This Row],[Salidas]]</f>
        <v>3.5454545454546</v>
      </c>
      <c r="AA507" s="77">
        <f>STOCK[[#This Row],[Costo total]]*STOCK[[#This Row],[Entradas]]</f>
        <v>86.4545454545454</v>
      </c>
      <c r="AB507" s="77">
        <f>STOCK[[#This Row],[Stock Actual]]*STOCK[[#This Row],[Costo total]]</f>
        <v>0</v>
      </c>
    </row>
    <row r="508" s="76" customFormat="1" ht="50" customHeight="1" spans="1:28">
      <c r="A508" s="76" t="s">
        <v>1046</v>
      </c>
      <c r="B508" s="6"/>
      <c r="C508" s="76" t="s">
        <v>30</v>
      </c>
      <c r="D508" s="76" t="s">
        <v>154</v>
      </c>
      <c r="E508" s="76" t="s">
        <v>1044</v>
      </c>
      <c r="F508" s="76" t="s">
        <v>47</v>
      </c>
      <c r="G508" s="76" t="s">
        <v>34</v>
      </c>
      <c r="H508" s="76">
        <f>STOCK[[#This Row],[Precio Final]]</f>
        <v>35</v>
      </c>
      <c r="I508" s="76">
        <f>STOCK[[#This Row],[Precio Venta Ideal (x1.5)]]</f>
        <v>43.9772727272727</v>
      </c>
      <c r="J508" s="91">
        <v>2</v>
      </c>
      <c r="K508" s="91">
        <f>SUMIFS(VENTAS[Cantidad],VENTAS[Código del producto Vendido],STOCK[[#This Row],[Code]])</f>
        <v>2</v>
      </c>
      <c r="L508" s="91">
        <f>STOCK[[#This Row],[Entradas]]-STOCK[[#This Row],[Salidas]]</f>
        <v>0</v>
      </c>
      <c r="M508" s="76">
        <f>STOCK[[#This Row],[Precio Final]]*10%</f>
        <v>3.5</v>
      </c>
      <c r="N508" s="76">
        <v>285</v>
      </c>
      <c r="O508" s="76">
        <v>17.6</v>
      </c>
      <c r="P508" s="76">
        <v>16.1931818181818</v>
      </c>
      <c r="Q508" s="91">
        <v>550</v>
      </c>
      <c r="R508" s="76">
        <v>17.5</v>
      </c>
      <c r="S508" s="76">
        <f>STOCK[[#This Row],[Peso (g)]]*STOCK[[#This Row],[Precio Envío Kilogramo (USD)]]/1000</f>
        <v>9.625</v>
      </c>
      <c r="T508" s="76">
        <f>STOCK[[#This Row],[Costo Unitario (USD)]]+STOCK[[#This Row],[Costo Envío (USD)]]+STOCK[[#This Row],[Comisión 10%]]</f>
        <v>29.3181818181818</v>
      </c>
      <c r="U508" s="76">
        <f>STOCK[[#This Row],[Costo total]]*1.5</f>
        <v>43.9772727272727</v>
      </c>
      <c r="V508" s="76">
        <v>35</v>
      </c>
      <c r="W508" s="76">
        <f>STOCK[[#This Row],[Precio Final]]-STOCK[[#This Row],[Costo total]]</f>
        <v>5.6818181818182</v>
      </c>
      <c r="X508" s="76">
        <f>STOCK[[#This Row],[Ganancia Unitaria]]*STOCK[[#This Row],[Salidas]]</f>
        <v>11.3636363636364</v>
      </c>
      <c r="AA508" s="76">
        <f>STOCK[[#This Row],[Costo total]]*STOCK[[#This Row],[Entradas]]</f>
        <v>58.6363636363636</v>
      </c>
      <c r="AB508" s="76">
        <f>STOCK[[#This Row],[Stock Actual]]*STOCK[[#This Row],[Costo total]]</f>
        <v>0</v>
      </c>
    </row>
    <row r="509" s="77" customFormat="1" ht="50" customHeight="1" spans="1:28">
      <c r="A509" s="77" t="s">
        <v>1047</v>
      </c>
      <c r="B509" s="6"/>
      <c r="C509" s="77" t="s">
        <v>30</v>
      </c>
      <c r="D509" s="77" t="s">
        <v>151</v>
      </c>
      <c r="E509" s="77" t="s">
        <v>1048</v>
      </c>
      <c r="F509" s="77" t="s">
        <v>60</v>
      </c>
      <c r="G509" s="77" t="s">
        <v>34</v>
      </c>
      <c r="H509" s="77">
        <f>STOCK[[#This Row],[Precio Final]]</f>
        <v>20</v>
      </c>
      <c r="I509" s="77">
        <f>STOCK[[#This Row],[Precio Venta Ideal (x1.5)]]</f>
        <v>30.971590909091</v>
      </c>
      <c r="J509" s="92">
        <v>1</v>
      </c>
      <c r="K509" s="92">
        <f>SUMIFS(VENTAS[Cantidad],VENTAS[Código del producto Vendido],STOCK[[#This Row],[Code]])</f>
        <v>1</v>
      </c>
      <c r="L509" s="92">
        <f>STOCK[[#This Row],[Entradas]]-STOCK[[#This Row],[Salidas]]</f>
        <v>0</v>
      </c>
      <c r="M509" s="77">
        <f>STOCK[[#This Row],[Precio Final]]*10%</f>
        <v>2</v>
      </c>
      <c r="N509" s="77">
        <v>205</v>
      </c>
      <c r="O509" s="77">
        <v>17.6</v>
      </c>
      <c r="P509" s="77">
        <v>11.6477272727273</v>
      </c>
      <c r="Q509" s="92">
        <v>400</v>
      </c>
      <c r="R509" s="77">
        <v>17.5</v>
      </c>
      <c r="S509" s="77">
        <f>STOCK[[#This Row],[Peso (g)]]*STOCK[[#This Row],[Precio Envío Kilogramo (USD)]]/1000</f>
        <v>7</v>
      </c>
      <c r="T509" s="76">
        <f>STOCK[[#This Row],[Costo Unitario (USD)]]+STOCK[[#This Row],[Costo Envío (USD)]]+STOCK[[#This Row],[Comisión 10%]]</f>
        <v>20.6477272727273</v>
      </c>
      <c r="U509" s="77">
        <f>STOCK[[#This Row],[Costo total]]*1.5</f>
        <v>30.971590909091</v>
      </c>
      <c r="V509" s="77">
        <v>20</v>
      </c>
      <c r="W509" s="77">
        <f>STOCK[[#This Row],[Precio Final]]-STOCK[[#This Row],[Costo total]]</f>
        <v>-0.647727272727302</v>
      </c>
      <c r="X509" s="77">
        <f>STOCK[[#This Row],[Ganancia Unitaria]]*STOCK[[#This Row],[Salidas]]</f>
        <v>-0.647727272727302</v>
      </c>
      <c r="AA509" s="77">
        <f>STOCK[[#This Row],[Costo total]]*STOCK[[#This Row],[Entradas]]</f>
        <v>20.6477272727273</v>
      </c>
      <c r="AB509" s="77">
        <f>STOCK[[#This Row],[Stock Actual]]*STOCK[[#This Row],[Costo total]]</f>
        <v>0</v>
      </c>
    </row>
    <row r="510" s="76" customFormat="1" ht="50" customHeight="1" spans="1:28">
      <c r="A510" s="76" t="s">
        <v>1049</v>
      </c>
      <c r="B510" s="6"/>
      <c r="C510" s="76" t="s">
        <v>30</v>
      </c>
      <c r="D510" s="76" t="s">
        <v>151</v>
      </c>
      <c r="E510" s="76" t="s">
        <v>1048</v>
      </c>
      <c r="F510" s="76" t="s">
        <v>47</v>
      </c>
      <c r="G510" s="76" t="s">
        <v>34</v>
      </c>
      <c r="H510" s="76">
        <f>STOCK[[#This Row],[Precio Final]]</f>
        <v>30</v>
      </c>
      <c r="I510" s="76">
        <f>STOCK[[#This Row],[Precio Venta Ideal (x1.5)]]</f>
        <v>32.4715909090909</v>
      </c>
      <c r="J510" s="91">
        <v>1</v>
      </c>
      <c r="K510" s="91">
        <f>SUMIFS(VENTAS[Cantidad],VENTAS[Código del producto Vendido],STOCK[[#This Row],[Code]])</f>
        <v>1</v>
      </c>
      <c r="L510" s="91">
        <f>STOCK[[#This Row],[Entradas]]-STOCK[[#This Row],[Salidas]]</f>
        <v>0</v>
      </c>
      <c r="M510" s="76">
        <f>STOCK[[#This Row],[Precio Final]]*10%</f>
        <v>3</v>
      </c>
      <c r="N510" s="76">
        <v>205</v>
      </c>
      <c r="O510" s="76">
        <v>17.6</v>
      </c>
      <c r="P510" s="76">
        <v>11.6477272727273</v>
      </c>
      <c r="Q510" s="91">
        <v>400</v>
      </c>
      <c r="R510" s="76">
        <v>17.5</v>
      </c>
      <c r="S510" s="76">
        <f>STOCK[[#This Row],[Peso (g)]]*STOCK[[#This Row],[Precio Envío Kilogramo (USD)]]/1000</f>
        <v>7</v>
      </c>
      <c r="T510" s="76">
        <f>STOCK[[#This Row],[Costo Unitario (USD)]]+STOCK[[#This Row],[Costo Envío (USD)]]+STOCK[[#This Row],[Comisión 10%]]</f>
        <v>21.6477272727273</v>
      </c>
      <c r="U510" s="76">
        <f>STOCK[[#This Row],[Costo total]]*1.5</f>
        <v>32.4715909090909</v>
      </c>
      <c r="V510" s="76">
        <v>30</v>
      </c>
      <c r="W510" s="76">
        <f>STOCK[[#This Row],[Precio Final]]-STOCK[[#This Row],[Costo total]]</f>
        <v>8.3522727272727</v>
      </c>
      <c r="X510" s="76">
        <f>STOCK[[#This Row],[Ganancia Unitaria]]*STOCK[[#This Row],[Salidas]]</f>
        <v>8.3522727272727</v>
      </c>
      <c r="AA510" s="76">
        <f>STOCK[[#This Row],[Costo total]]*STOCK[[#This Row],[Entradas]]</f>
        <v>21.6477272727273</v>
      </c>
      <c r="AB510" s="76">
        <f>STOCK[[#This Row],[Stock Actual]]*STOCK[[#This Row],[Costo total]]</f>
        <v>0</v>
      </c>
    </row>
    <row r="511" s="77" customFormat="1" ht="50" customHeight="1" spans="1:28">
      <c r="A511" s="77" t="s">
        <v>1050</v>
      </c>
      <c r="B511" s="6"/>
      <c r="C511" s="77" t="s">
        <v>30</v>
      </c>
      <c r="D511" s="77" t="s">
        <v>151</v>
      </c>
      <c r="E511" s="77" t="s">
        <v>1048</v>
      </c>
      <c r="F511" s="77" t="s">
        <v>44</v>
      </c>
      <c r="G511" s="77" t="s">
        <v>34</v>
      </c>
      <c r="H511" s="77">
        <f>STOCK[[#This Row],[Precio Final]]</f>
        <v>30</v>
      </c>
      <c r="I511" s="77">
        <f>STOCK[[#This Row],[Precio Venta Ideal (x1.5)]]</f>
        <v>32.4715909090909</v>
      </c>
      <c r="J511" s="92">
        <v>3</v>
      </c>
      <c r="K511" s="92">
        <f>SUMIFS(VENTAS[Cantidad],VENTAS[Código del producto Vendido],STOCK[[#This Row],[Code]])</f>
        <v>3</v>
      </c>
      <c r="L511" s="92">
        <f>STOCK[[#This Row],[Entradas]]-STOCK[[#This Row],[Salidas]]</f>
        <v>0</v>
      </c>
      <c r="M511" s="77">
        <f>STOCK[[#This Row],[Precio Final]]*10%</f>
        <v>3</v>
      </c>
      <c r="N511" s="77">
        <v>205</v>
      </c>
      <c r="O511" s="77">
        <v>17.6</v>
      </c>
      <c r="P511" s="77">
        <v>11.6477272727273</v>
      </c>
      <c r="Q511" s="92">
        <v>400</v>
      </c>
      <c r="R511" s="77">
        <v>17.5</v>
      </c>
      <c r="S511" s="77">
        <f>STOCK[[#This Row],[Peso (g)]]*STOCK[[#This Row],[Precio Envío Kilogramo (USD)]]/1000</f>
        <v>7</v>
      </c>
      <c r="T511" s="76">
        <f>STOCK[[#This Row],[Costo Unitario (USD)]]+STOCK[[#This Row],[Costo Envío (USD)]]+STOCK[[#This Row],[Comisión 10%]]</f>
        <v>21.6477272727273</v>
      </c>
      <c r="U511" s="77">
        <f>STOCK[[#This Row],[Costo total]]*1.5</f>
        <v>32.4715909090909</v>
      </c>
      <c r="V511" s="77">
        <v>30</v>
      </c>
      <c r="W511" s="77">
        <f>STOCK[[#This Row],[Precio Final]]-STOCK[[#This Row],[Costo total]]</f>
        <v>8.3522727272727</v>
      </c>
      <c r="X511" s="77">
        <f>STOCK[[#This Row],[Ganancia Unitaria]]*STOCK[[#This Row],[Salidas]]</f>
        <v>25.0568181818181</v>
      </c>
      <c r="AA511" s="77">
        <f>STOCK[[#This Row],[Costo total]]*STOCK[[#This Row],[Entradas]]</f>
        <v>64.9431818181819</v>
      </c>
      <c r="AB511" s="77">
        <f>STOCK[[#This Row],[Stock Actual]]*STOCK[[#This Row],[Costo total]]</f>
        <v>0</v>
      </c>
    </row>
    <row r="512" s="76" customFormat="1" ht="50" customHeight="1" spans="1:28">
      <c r="A512" s="76" t="s">
        <v>1051</v>
      </c>
      <c r="B512" s="6"/>
      <c r="C512" s="76" t="s">
        <v>30</v>
      </c>
      <c r="D512" s="76" t="s">
        <v>1012</v>
      </c>
      <c r="E512" s="76" t="s">
        <v>1052</v>
      </c>
      <c r="F512" s="76" t="s">
        <v>86</v>
      </c>
      <c r="G512" s="76" t="s">
        <v>34</v>
      </c>
      <c r="H512" s="76">
        <f>STOCK[[#This Row],[Precio Final]]</f>
        <v>30</v>
      </c>
      <c r="I512" s="76">
        <f>STOCK[[#This Row],[Precio Venta Ideal (x1.5)]]</f>
        <v>36.7056818181818</v>
      </c>
      <c r="J512" s="91">
        <v>1</v>
      </c>
      <c r="K512" s="91">
        <f>SUMIFS(VENTAS[Cantidad],VENTAS[Código del producto Vendido],STOCK[[#This Row],[Code]])</f>
        <v>1</v>
      </c>
      <c r="L512" s="91">
        <f>STOCK[[#This Row],[Entradas]]-STOCK[[#This Row],[Salidas]]</f>
        <v>0</v>
      </c>
      <c r="M512" s="76">
        <f>STOCK[[#This Row],[Precio Final]]*10%</f>
        <v>3</v>
      </c>
      <c r="N512" s="76">
        <v>267</v>
      </c>
      <c r="O512" s="76">
        <v>17.6</v>
      </c>
      <c r="P512" s="76">
        <v>15.1704545454545</v>
      </c>
      <c r="Q512" s="91">
        <v>360</v>
      </c>
      <c r="R512" s="76">
        <v>17.5</v>
      </c>
      <c r="S512" s="76">
        <f>STOCK[[#This Row],[Peso (g)]]*STOCK[[#This Row],[Precio Envío Kilogramo (USD)]]/1000</f>
        <v>6.3</v>
      </c>
      <c r="T512" s="76">
        <f>STOCK[[#This Row],[Costo Unitario (USD)]]+STOCK[[#This Row],[Costo Envío (USD)]]+STOCK[[#This Row],[Comisión 10%]]</f>
        <v>24.4704545454545</v>
      </c>
      <c r="U512" s="76">
        <f>STOCK[[#This Row],[Costo total]]*1.5</f>
        <v>36.7056818181818</v>
      </c>
      <c r="V512" s="76">
        <v>30</v>
      </c>
      <c r="W512" s="76">
        <f>STOCK[[#This Row],[Precio Final]]-STOCK[[#This Row],[Costo total]]</f>
        <v>5.5295454545455</v>
      </c>
      <c r="X512" s="76">
        <f>STOCK[[#This Row],[Ganancia Unitaria]]*STOCK[[#This Row],[Salidas]]</f>
        <v>5.5295454545455</v>
      </c>
      <c r="Y512" s="76" t="s">
        <v>926</v>
      </c>
      <c r="AA512" s="76">
        <f>STOCK[[#This Row],[Costo total]]*STOCK[[#This Row],[Entradas]]</f>
        <v>24.4704545454545</v>
      </c>
      <c r="AB512" s="76">
        <f>STOCK[[#This Row],[Stock Actual]]*STOCK[[#This Row],[Costo total]]</f>
        <v>0</v>
      </c>
    </row>
    <row r="513" s="77" customFormat="1" ht="50" customHeight="1" spans="1:28">
      <c r="A513" s="77" t="s">
        <v>1053</v>
      </c>
      <c r="B513" s="6"/>
      <c r="C513" s="77" t="s">
        <v>30</v>
      </c>
      <c r="D513" s="77" t="s">
        <v>1012</v>
      </c>
      <c r="E513" s="77" t="s">
        <v>1052</v>
      </c>
      <c r="F513" s="77" t="s">
        <v>210</v>
      </c>
      <c r="G513" s="77" t="s">
        <v>34</v>
      </c>
      <c r="H513" s="77">
        <f>STOCK[[#This Row],[Precio Final]]</f>
        <v>30</v>
      </c>
      <c r="I513" s="77">
        <f>STOCK[[#This Row],[Precio Venta Ideal (x1.5)]]</f>
        <v>36.7056818181818</v>
      </c>
      <c r="J513" s="92">
        <v>1</v>
      </c>
      <c r="K513" s="92">
        <f>SUMIFS(VENTAS[Cantidad],VENTAS[Código del producto Vendido],STOCK[[#This Row],[Code]])</f>
        <v>1</v>
      </c>
      <c r="L513" s="92">
        <f>STOCK[[#This Row],[Entradas]]-STOCK[[#This Row],[Salidas]]</f>
        <v>0</v>
      </c>
      <c r="M513" s="77">
        <f>STOCK[[#This Row],[Precio Final]]*10%</f>
        <v>3</v>
      </c>
      <c r="N513" s="77">
        <v>267</v>
      </c>
      <c r="O513" s="77">
        <v>17.6</v>
      </c>
      <c r="P513" s="77">
        <v>15.1704545454545</v>
      </c>
      <c r="Q513" s="92">
        <v>360</v>
      </c>
      <c r="R513" s="77">
        <v>17.5</v>
      </c>
      <c r="S513" s="77">
        <f>STOCK[[#This Row],[Peso (g)]]*STOCK[[#This Row],[Precio Envío Kilogramo (USD)]]/1000</f>
        <v>6.3</v>
      </c>
      <c r="T513" s="76">
        <f>STOCK[[#This Row],[Costo Unitario (USD)]]+STOCK[[#This Row],[Costo Envío (USD)]]+STOCK[[#This Row],[Comisión 10%]]</f>
        <v>24.4704545454545</v>
      </c>
      <c r="U513" s="77">
        <f>STOCK[[#This Row],[Costo total]]*1.5</f>
        <v>36.7056818181818</v>
      </c>
      <c r="V513" s="77">
        <v>30</v>
      </c>
      <c r="W513" s="77">
        <f>STOCK[[#This Row],[Precio Final]]-STOCK[[#This Row],[Costo total]]</f>
        <v>5.5295454545455</v>
      </c>
      <c r="X513" s="77">
        <f>STOCK[[#This Row],[Ganancia Unitaria]]*STOCK[[#This Row],[Salidas]]</f>
        <v>5.5295454545455</v>
      </c>
      <c r="Y513" s="77" t="s">
        <v>926</v>
      </c>
      <c r="AA513" s="77">
        <f>STOCK[[#This Row],[Costo total]]*STOCK[[#This Row],[Entradas]]</f>
        <v>24.4704545454545</v>
      </c>
      <c r="AB513" s="77">
        <f>STOCK[[#This Row],[Stock Actual]]*STOCK[[#This Row],[Costo total]]</f>
        <v>0</v>
      </c>
    </row>
    <row r="514" s="76" customFormat="1" ht="50" customHeight="1" spans="1:28">
      <c r="A514" s="76" t="s">
        <v>1054</v>
      </c>
      <c r="B514" s="6"/>
      <c r="C514" s="76" t="s">
        <v>30</v>
      </c>
      <c r="D514" s="76" t="s">
        <v>1055</v>
      </c>
      <c r="E514" s="76" t="s">
        <v>1052</v>
      </c>
      <c r="F514" s="76" t="s">
        <v>44</v>
      </c>
      <c r="G514" s="76" t="s">
        <v>34</v>
      </c>
      <c r="H514" s="76">
        <f>STOCK[[#This Row],[Precio Final]]</f>
        <v>30</v>
      </c>
      <c r="I514" s="76">
        <f>STOCK[[#This Row],[Precio Venta Ideal (x1.5)]]</f>
        <v>36.7056818181818</v>
      </c>
      <c r="J514" s="91">
        <v>2</v>
      </c>
      <c r="K514" s="91">
        <f>SUMIFS(VENTAS[Cantidad],VENTAS[Código del producto Vendido],STOCK[[#This Row],[Code]])</f>
        <v>0</v>
      </c>
      <c r="L514" s="91">
        <f>STOCK[[#This Row],[Entradas]]-STOCK[[#This Row],[Salidas]]</f>
        <v>2</v>
      </c>
      <c r="M514" s="76">
        <f>STOCK[[#This Row],[Precio Final]]*10%</f>
        <v>3</v>
      </c>
      <c r="N514" s="76">
        <v>267</v>
      </c>
      <c r="O514" s="76">
        <v>17.6</v>
      </c>
      <c r="P514" s="76">
        <v>15.1704545454545</v>
      </c>
      <c r="Q514" s="91">
        <v>360</v>
      </c>
      <c r="R514" s="76">
        <v>17.5</v>
      </c>
      <c r="S514" s="76">
        <f>STOCK[[#This Row],[Peso (g)]]*STOCK[[#This Row],[Precio Envío Kilogramo (USD)]]/1000</f>
        <v>6.3</v>
      </c>
      <c r="T514" s="76">
        <f>STOCK[[#This Row],[Costo Unitario (USD)]]+STOCK[[#This Row],[Costo Envío (USD)]]+STOCK[[#This Row],[Comisión 10%]]</f>
        <v>24.4704545454545</v>
      </c>
      <c r="U514" s="76">
        <f>STOCK[[#This Row],[Costo total]]*1.5</f>
        <v>36.7056818181818</v>
      </c>
      <c r="V514" s="76">
        <v>30</v>
      </c>
      <c r="W514" s="76">
        <f>STOCK[[#This Row],[Precio Final]]-STOCK[[#This Row],[Costo total]]</f>
        <v>5.5295454545455</v>
      </c>
      <c r="X514" s="76">
        <f>STOCK[[#This Row],[Ganancia Unitaria]]*STOCK[[#This Row],[Salidas]]</f>
        <v>0</v>
      </c>
      <c r="Y514" s="76" t="s">
        <v>926</v>
      </c>
      <c r="AA514" s="76">
        <f>STOCK[[#This Row],[Costo total]]*STOCK[[#This Row],[Entradas]]</f>
        <v>48.940909090909</v>
      </c>
      <c r="AB514" s="76">
        <f>STOCK[[#This Row],[Stock Actual]]*STOCK[[#This Row],[Costo total]]</f>
        <v>48.940909090909</v>
      </c>
    </row>
    <row r="515" s="77" customFormat="1" ht="50" customHeight="1" spans="1:28">
      <c r="A515" s="77" t="s">
        <v>1056</v>
      </c>
      <c r="B515" s="6"/>
      <c r="C515" s="77" t="s">
        <v>30</v>
      </c>
      <c r="D515" s="77" t="s">
        <v>151</v>
      </c>
      <c r="E515" s="77" t="s">
        <v>1057</v>
      </c>
      <c r="F515" s="77" t="s">
        <v>210</v>
      </c>
      <c r="G515" s="77" t="s">
        <v>34</v>
      </c>
      <c r="H515" s="77">
        <f>STOCK[[#This Row],[Precio Final]]</f>
        <v>20</v>
      </c>
      <c r="I515" s="77">
        <f>STOCK[[#This Row],[Precio Venta Ideal (x1.5)]]</f>
        <v>25.2954545454546</v>
      </c>
      <c r="J515" s="92">
        <v>1</v>
      </c>
      <c r="K515" s="92">
        <f>SUMIFS(VENTAS[Cantidad],VENTAS[Código del producto Vendido],STOCK[[#This Row],[Code]])</f>
        <v>1</v>
      </c>
      <c r="L515" s="92">
        <f>STOCK[[#This Row],[Entradas]]-STOCK[[#This Row],[Salidas]]</f>
        <v>0</v>
      </c>
      <c r="M515" s="77">
        <f>STOCK[[#This Row],[Precio Final]]*10%</f>
        <v>2</v>
      </c>
      <c r="N515" s="77">
        <v>200</v>
      </c>
      <c r="O515" s="77">
        <v>17.6</v>
      </c>
      <c r="P515" s="77">
        <v>11.3636363636364</v>
      </c>
      <c r="Q515" s="92">
        <v>200</v>
      </c>
      <c r="R515" s="77">
        <v>17.5</v>
      </c>
      <c r="S515" s="77">
        <f>STOCK[[#This Row],[Peso (g)]]*STOCK[[#This Row],[Precio Envío Kilogramo (USD)]]/1000</f>
        <v>3.5</v>
      </c>
      <c r="T515" s="76">
        <f>STOCK[[#This Row],[Costo Unitario (USD)]]+STOCK[[#This Row],[Costo Envío (USD)]]+STOCK[[#This Row],[Comisión 10%]]</f>
        <v>16.8636363636364</v>
      </c>
      <c r="U515" s="77">
        <f>STOCK[[#This Row],[Costo total]]*1.5</f>
        <v>25.2954545454546</v>
      </c>
      <c r="V515" s="77">
        <v>20</v>
      </c>
      <c r="W515" s="77">
        <f>STOCK[[#This Row],[Precio Final]]-STOCK[[#This Row],[Costo total]]</f>
        <v>3.1363636363636</v>
      </c>
      <c r="X515" s="77">
        <f>STOCK[[#This Row],[Ganancia Unitaria]]*STOCK[[#This Row],[Salidas]]</f>
        <v>3.1363636363636</v>
      </c>
      <c r="AA515" s="77">
        <f>STOCK[[#This Row],[Costo total]]*STOCK[[#This Row],[Entradas]]</f>
        <v>16.8636363636364</v>
      </c>
      <c r="AB515" s="77">
        <f>STOCK[[#This Row],[Stock Actual]]*STOCK[[#This Row],[Costo total]]</f>
        <v>0</v>
      </c>
    </row>
    <row r="516" s="76" customFormat="1" ht="50" customHeight="1" spans="1:29">
      <c r="A516" s="76" t="s">
        <v>1058</v>
      </c>
      <c r="B516" s="6"/>
      <c r="C516" s="76" t="s">
        <v>30</v>
      </c>
      <c r="D516" s="76" t="s">
        <v>704</v>
      </c>
      <c r="E516" s="76" t="s">
        <v>1059</v>
      </c>
      <c r="F516" s="76" t="s">
        <v>60</v>
      </c>
      <c r="G516" s="76" t="s">
        <v>702</v>
      </c>
      <c r="H516" s="76">
        <f>STOCK[[#This Row],[Precio Final]]</f>
        <v>8</v>
      </c>
      <c r="I516" s="76">
        <f>STOCK[[#This Row],[Precio Venta Ideal (x1.5)]]</f>
        <v>8.68897058823529</v>
      </c>
      <c r="J516" s="91">
        <v>4</v>
      </c>
      <c r="K516" s="91">
        <f>SUMIFS(VENTAS[Cantidad],VENTAS[Código del producto Vendido],STOCK[[#This Row],[Code]])</f>
        <v>1</v>
      </c>
      <c r="L516" s="91">
        <f>STOCK[[#This Row],[Entradas]]-STOCK[[#This Row],[Salidas]]</f>
        <v>3</v>
      </c>
      <c r="M516" s="76">
        <f>STOCK[[#This Row],[Precio Final]]*10%</f>
        <v>0.8</v>
      </c>
      <c r="N516" s="76">
        <v>70</v>
      </c>
      <c r="O516" s="76">
        <v>17</v>
      </c>
      <c r="P516" s="76">
        <v>4.11764705882353</v>
      </c>
      <c r="Q516" s="91">
        <v>50</v>
      </c>
      <c r="R516" s="76">
        <v>17.5</v>
      </c>
      <c r="S516" s="76">
        <f>STOCK[[#This Row],[Peso (g)]]*STOCK[[#This Row],[Precio Envío Kilogramo (USD)]]/1000</f>
        <v>0.875</v>
      </c>
      <c r="T516" s="76">
        <f>STOCK[[#This Row],[Costo Unitario (USD)]]+STOCK[[#This Row],[Costo Envío (USD)]]+STOCK[[#This Row],[Comisión 10%]]</f>
        <v>5.79264705882353</v>
      </c>
      <c r="U516" s="76">
        <f>STOCK[[#This Row],[Costo total]]*1.5</f>
        <v>8.68897058823529</v>
      </c>
      <c r="V516" s="76">
        <v>8</v>
      </c>
      <c r="W516" s="76">
        <f>STOCK[[#This Row],[Precio Final]]-STOCK[[#This Row],[Costo total]]</f>
        <v>2.20735294117647</v>
      </c>
      <c r="X516" s="76">
        <f>STOCK[[#This Row],[Ganancia Unitaria]]*STOCK[[#This Row],[Salidas]]</f>
        <v>2.20735294117647</v>
      </c>
      <c r="AA516" s="76">
        <f>STOCK[[#This Row],[Costo total]]*STOCK[[#This Row],[Entradas]]</f>
        <v>23.1705882352941</v>
      </c>
      <c r="AB516" s="76">
        <f>STOCK[[#This Row],[Stock Actual]]*STOCK[[#This Row],[Costo total]]</f>
        <v>17.3779411764706</v>
      </c>
      <c r="AC516" s="76">
        <v>7</v>
      </c>
    </row>
    <row r="517" s="77" customFormat="1" ht="50" customHeight="1" spans="2:28">
      <c r="B517" s="6"/>
      <c r="H517" s="77">
        <f>STOCK[[#This Row],[Precio Final]]</f>
        <v>0</v>
      </c>
      <c r="I517" s="77">
        <f>STOCK[[#This Row],[Precio Venta Ideal (x1.5)]]</f>
        <v>0</v>
      </c>
      <c r="J517" s="92"/>
      <c r="K517" s="92">
        <f>SUMIFS(VENTAS[Cantidad],VENTAS[Código del producto Vendido],STOCK[[#This Row],[Code]])</f>
        <v>0</v>
      </c>
      <c r="L517" s="92">
        <f>STOCK[[#This Row],[Entradas]]-STOCK[[#This Row],[Salidas]]</f>
        <v>0</v>
      </c>
      <c r="M517" s="77">
        <f>STOCK[[#This Row],[Precio Final]]*10%</f>
        <v>0</v>
      </c>
      <c r="Q517" s="92"/>
      <c r="S517" s="77">
        <f>STOCK[[#This Row],[Peso (g)]]*STOCK[[#This Row],[Precio Envío Kilogramo (USD)]]/1000</f>
        <v>0</v>
      </c>
      <c r="T517" s="76">
        <f>STOCK[[#This Row],[Costo Unitario (USD)]]+STOCK[[#This Row],[Costo Envío (USD)]]+STOCK[[#This Row],[Comisión 10%]]</f>
        <v>0</v>
      </c>
      <c r="U517" s="77">
        <f>STOCK[[#This Row],[Costo total]]*1.5</f>
        <v>0</v>
      </c>
      <c r="W517" s="77">
        <f>STOCK[[#This Row],[Precio Final]]-STOCK[[#This Row],[Costo total]]</f>
        <v>0</v>
      </c>
      <c r="X517" s="77">
        <f>STOCK[[#This Row],[Ganancia Unitaria]]*STOCK[[#This Row],[Salidas]]</f>
        <v>0</v>
      </c>
      <c r="AA517" s="77">
        <f>STOCK[[#This Row],[Costo total]]*STOCK[[#This Row],[Entradas]]</f>
        <v>0</v>
      </c>
      <c r="AB517" s="77">
        <f>STOCK[[#This Row],[Stock Actual]]*STOCK[[#This Row],[Costo total]]</f>
        <v>0</v>
      </c>
    </row>
    <row r="518" s="76" customFormat="1" ht="50" customHeight="1" spans="1:29">
      <c r="A518" s="76" t="s">
        <v>1060</v>
      </c>
      <c r="B518" s="6"/>
      <c r="C518" s="76" t="s">
        <v>30</v>
      </c>
      <c r="D518" s="76" t="s">
        <v>704</v>
      </c>
      <c r="E518" s="76" t="s">
        <v>1061</v>
      </c>
      <c r="F518" s="76" t="s">
        <v>38</v>
      </c>
      <c r="G518" s="76" t="s">
        <v>702</v>
      </c>
      <c r="H518" s="76">
        <f>STOCK[[#This Row],[Precio Final]]</f>
        <v>8</v>
      </c>
      <c r="I518" s="76">
        <f>STOCK[[#This Row],[Precio Venta Ideal (x1.5)]]</f>
        <v>7.80661764705882</v>
      </c>
      <c r="J518" s="91">
        <v>6</v>
      </c>
      <c r="K518" s="91">
        <f>SUMIFS(VENTAS[Cantidad],VENTAS[Código del producto Vendido],STOCK[[#This Row],[Code]])</f>
        <v>2</v>
      </c>
      <c r="L518" s="91">
        <f>STOCK[[#This Row],[Entradas]]-STOCK[[#This Row],[Salidas]]</f>
        <v>4</v>
      </c>
      <c r="M518" s="76">
        <f>STOCK[[#This Row],[Precio Final]]*10%</f>
        <v>0.8</v>
      </c>
      <c r="N518" s="76">
        <v>60</v>
      </c>
      <c r="O518" s="76">
        <v>17</v>
      </c>
      <c r="P518" s="76">
        <v>3.52941176470588</v>
      </c>
      <c r="Q518" s="91">
        <v>50</v>
      </c>
      <c r="R518" s="76">
        <v>17.5</v>
      </c>
      <c r="S518" s="76">
        <f>STOCK[[#This Row],[Peso (g)]]*STOCK[[#This Row],[Precio Envío Kilogramo (USD)]]/1000</f>
        <v>0.875</v>
      </c>
      <c r="T518" s="76">
        <f>STOCK[[#This Row],[Costo Unitario (USD)]]+STOCK[[#This Row],[Costo Envío (USD)]]+STOCK[[#This Row],[Comisión 10%]]</f>
        <v>5.20441176470588</v>
      </c>
      <c r="U518" s="76">
        <f>STOCK[[#This Row],[Costo total]]*1.5</f>
        <v>7.80661764705882</v>
      </c>
      <c r="V518" s="76">
        <v>8</v>
      </c>
      <c r="W518" s="76">
        <f>STOCK[[#This Row],[Precio Final]]-STOCK[[#This Row],[Costo total]]</f>
        <v>2.79558823529412</v>
      </c>
      <c r="X518" s="76">
        <f>STOCK[[#This Row],[Ganancia Unitaria]]*STOCK[[#This Row],[Salidas]]</f>
        <v>5.59117647058824</v>
      </c>
      <c r="AA518" s="76">
        <f>STOCK[[#This Row],[Costo total]]*STOCK[[#This Row],[Entradas]]</f>
        <v>31.2264705882353</v>
      </c>
      <c r="AB518" s="76">
        <f>STOCK[[#This Row],[Stock Actual]]*STOCK[[#This Row],[Costo total]]</f>
        <v>20.8176470588235</v>
      </c>
      <c r="AC518" s="76">
        <v>7</v>
      </c>
    </row>
    <row r="519" s="77" customFormat="1" ht="50" customHeight="1" spans="1:29">
      <c r="A519" s="77" t="s">
        <v>1062</v>
      </c>
      <c r="B519" s="6"/>
      <c r="C519" s="77" t="s">
        <v>30</v>
      </c>
      <c r="D519" s="77" t="s">
        <v>704</v>
      </c>
      <c r="E519" s="77" t="s">
        <v>1063</v>
      </c>
      <c r="F519" s="77" t="s">
        <v>60</v>
      </c>
      <c r="G519" s="77" t="s">
        <v>702</v>
      </c>
      <c r="H519" s="77">
        <f>STOCK[[#This Row],[Precio Final]]</f>
        <v>9</v>
      </c>
      <c r="I519" s="77">
        <f>STOCK[[#This Row],[Precio Venta Ideal (x1.5)]]</f>
        <v>8.83897058823529</v>
      </c>
      <c r="J519" s="92">
        <v>4</v>
      </c>
      <c r="K519" s="92">
        <f>SUMIFS(VENTAS[Cantidad],VENTAS[Código del producto Vendido],STOCK[[#This Row],[Code]])</f>
        <v>2</v>
      </c>
      <c r="L519" s="92">
        <f>STOCK[[#This Row],[Entradas]]-STOCK[[#This Row],[Salidas]]</f>
        <v>2</v>
      </c>
      <c r="M519" s="77">
        <f>STOCK[[#This Row],[Precio Final]]*10%</f>
        <v>0.9</v>
      </c>
      <c r="N519" s="77">
        <v>70</v>
      </c>
      <c r="O519" s="77">
        <v>17</v>
      </c>
      <c r="P519" s="77">
        <v>4.11764705882353</v>
      </c>
      <c r="Q519" s="92">
        <v>50</v>
      </c>
      <c r="R519" s="77">
        <v>17.5</v>
      </c>
      <c r="S519" s="77">
        <f>STOCK[[#This Row],[Peso (g)]]*STOCK[[#This Row],[Precio Envío Kilogramo (USD)]]/1000</f>
        <v>0.875</v>
      </c>
      <c r="T519" s="76">
        <f>STOCK[[#This Row],[Costo Unitario (USD)]]+STOCK[[#This Row],[Costo Envío (USD)]]+STOCK[[#This Row],[Comisión 10%]]</f>
        <v>5.89264705882353</v>
      </c>
      <c r="U519" s="77">
        <f>STOCK[[#This Row],[Costo total]]*1.5</f>
        <v>8.83897058823529</v>
      </c>
      <c r="V519" s="77">
        <v>9</v>
      </c>
      <c r="W519" s="77">
        <f>STOCK[[#This Row],[Precio Final]]-STOCK[[#This Row],[Costo total]]</f>
        <v>3.10735294117647</v>
      </c>
      <c r="X519" s="77">
        <f>STOCK[[#This Row],[Ganancia Unitaria]]*STOCK[[#This Row],[Salidas]]</f>
        <v>6.21470588235294</v>
      </c>
      <c r="AA519" s="77">
        <f>STOCK[[#This Row],[Costo total]]*STOCK[[#This Row],[Entradas]]</f>
        <v>23.5705882352941</v>
      </c>
      <c r="AB519" s="77">
        <f>STOCK[[#This Row],[Stock Actual]]*STOCK[[#This Row],[Costo total]]</f>
        <v>11.7852941176471</v>
      </c>
      <c r="AC519" s="77">
        <v>7</v>
      </c>
    </row>
    <row r="520" s="76" customFormat="1" ht="50" customHeight="1" spans="1:28">
      <c r="A520" s="76" t="s">
        <v>1064</v>
      </c>
      <c r="B520" s="6"/>
      <c r="C520" s="76" t="s">
        <v>30</v>
      </c>
      <c r="D520" s="76" t="s">
        <v>151</v>
      </c>
      <c r="E520" s="76" t="s">
        <v>1065</v>
      </c>
      <c r="F520" s="76" t="s">
        <v>60</v>
      </c>
      <c r="G520" s="76" t="s">
        <v>34</v>
      </c>
      <c r="H520" s="76">
        <f>STOCK[[#This Row],[Precio Final]]</f>
        <v>20</v>
      </c>
      <c r="I520" s="76">
        <f>STOCK[[#This Row],[Precio Venta Ideal (x1.5)]]</f>
        <v>23.4650735294118</v>
      </c>
      <c r="J520" s="91">
        <v>2</v>
      </c>
      <c r="K520" s="91">
        <f>SUMIFS(VENTAS[Cantidad],VENTAS[Código del producto Vendido],STOCK[[#This Row],[Code]])</f>
        <v>2</v>
      </c>
      <c r="L520" s="91">
        <f>STOCK[[#This Row],[Entradas]]-STOCK[[#This Row],[Salidas]]</f>
        <v>0</v>
      </c>
      <c r="M520" s="76">
        <f>STOCK[[#This Row],[Precio Final]]*10%</f>
        <v>2</v>
      </c>
      <c r="N520" s="76">
        <v>165</v>
      </c>
      <c r="O520" s="76">
        <v>17</v>
      </c>
      <c r="P520" s="76">
        <v>9.70588235294118</v>
      </c>
      <c r="Q520" s="91">
        <v>225</v>
      </c>
      <c r="R520" s="76">
        <v>17.5</v>
      </c>
      <c r="S520" s="76">
        <f>STOCK[[#This Row],[Peso (g)]]*STOCK[[#This Row],[Precio Envío Kilogramo (USD)]]/1000</f>
        <v>3.9375</v>
      </c>
      <c r="T520" s="76">
        <f>STOCK[[#This Row],[Costo Unitario (USD)]]+STOCK[[#This Row],[Costo Envío (USD)]]+STOCK[[#This Row],[Comisión 10%]]</f>
        <v>15.6433823529412</v>
      </c>
      <c r="U520" s="76">
        <f>STOCK[[#This Row],[Costo total]]*1.5</f>
        <v>23.4650735294118</v>
      </c>
      <c r="V520" s="76">
        <v>20</v>
      </c>
      <c r="W520" s="76">
        <f>STOCK[[#This Row],[Precio Final]]-STOCK[[#This Row],[Costo total]]</f>
        <v>4.35661764705882</v>
      </c>
      <c r="X520" s="76">
        <f>STOCK[[#This Row],[Ganancia Unitaria]]*STOCK[[#This Row],[Salidas]]</f>
        <v>8.71323529411764</v>
      </c>
      <c r="Y520" s="76" t="s">
        <v>926</v>
      </c>
      <c r="AA520" s="76">
        <f>STOCK[[#This Row],[Costo total]]*STOCK[[#This Row],[Entradas]]</f>
        <v>31.2867647058824</v>
      </c>
      <c r="AB520" s="76">
        <f>STOCK[[#This Row],[Stock Actual]]*STOCK[[#This Row],[Costo total]]</f>
        <v>0</v>
      </c>
    </row>
    <row r="521" s="77" customFormat="1" ht="50" customHeight="1" spans="1:28">
      <c r="A521" s="77" t="s">
        <v>1066</v>
      </c>
      <c r="B521" s="6"/>
      <c r="C521" s="77" t="s">
        <v>30</v>
      </c>
      <c r="D521" s="77" t="s">
        <v>151</v>
      </c>
      <c r="E521" s="77" t="s">
        <v>1065</v>
      </c>
      <c r="F521" s="77" t="s">
        <v>47</v>
      </c>
      <c r="G521" s="77" t="s">
        <v>34</v>
      </c>
      <c r="H521" s="77">
        <f>STOCK[[#This Row],[Precio Final]]</f>
        <v>20</v>
      </c>
      <c r="I521" s="77">
        <f>STOCK[[#This Row],[Precio Venta Ideal (x1.5)]]</f>
        <v>23.4650735294118</v>
      </c>
      <c r="J521" s="92">
        <v>2</v>
      </c>
      <c r="K521" s="92">
        <f>SUMIFS(VENTAS[Cantidad],VENTAS[Código del producto Vendido],STOCK[[#This Row],[Code]])</f>
        <v>2</v>
      </c>
      <c r="L521" s="92">
        <f>STOCK[[#This Row],[Entradas]]-STOCK[[#This Row],[Salidas]]</f>
        <v>0</v>
      </c>
      <c r="M521" s="77">
        <f>STOCK[[#This Row],[Precio Final]]*10%</f>
        <v>2</v>
      </c>
      <c r="N521" s="77">
        <v>165</v>
      </c>
      <c r="O521" s="77">
        <v>17</v>
      </c>
      <c r="P521" s="77">
        <v>9.70588235294118</v>
      </c>
      <c r="Q521" s="92">
        <v>225</v>
      </c>
      <c r="R521" s="77">
        <v>17.5</v>
      </c>
      <c r="S521" s="77">
        <f>STOCK[[#This Row],[Peso (g)]]*STOCK[[#This Row],[Precio Envío Kilogramo (USD)]]/1000</f>
        <v>3.9375</v>
      </c>
      <c r="T521" s="76">
        <f>STOCK[[#This Row],[Costo Unitario (USD)]]+STOCK[[#This Row],[Costo Envío (USD)]]+STOCK[[#This Row],[Comisión 10%]]</f>
        <v>15.6433823529412</v>
      </c>
      <c r="U521" s="77">
        <f>STOCK[[#This Row],[Costo total]]*1.5</f>
        <v>23.4650735294118</v>
      </c>
      <c r="V521" s="77">
        <v>20</v>
      </c>
      <c r="W521" s="77">
        <f>STOCK[[#This Row],[Precio Final]]-STOCK[[#This Row],[Costo total]]</f>
        <v>4.35661764705882</v>
      </c>
      <c r="X521" s="77">
        <f>STOCK[[#This Row],[Ganancia Unitaria]]*STOCK[[#This Row],[Salidas]]</f>
        <v>8.71323529411764</v>
      </c>
      <c r="Y521" s="77" t="s">
        <v>926</v>
      </c>
      <c r="AA521" s="77">
        <f>STOCK[[#This Row],[Costo total]]*STOCK[[#This Row],[Entradas]]</f>
        <v>31.2867647058824</v>
      </c>
      <c r="AB521" s="77">
        <f>STOCK[[#This Row],[Stock Actual]]*STOCK[[#This Row],[Costo total]]</f>
        <v>0</v>
      </c>
    </row>
    <row r="522" s="76" customFormat="1" ht="50" customHeight="1" spans="1:28">
      <c r="A522" s="76" t="s">
        <v>1067</v>
      </c>
      <c r="B522" s="6"/>
      <c r="C522" s="76" t="s">
        <v>30</v>
      </c>
      <c r="D522" s="76" t="s">
        <v>173</v>
      </c>
      <c r="E522" s="76" t="s">
        <v>1068</v>
      </c>
      <c r="F522" s="76" t="s">
        <v>38</v>
      </c>
      <c r="G522" s="76" t="s">
        <v>34</v>
      </c>
      <c r="H522" s="76">
        <f>STOCK[[#This Row],[Precio Final]]</f>
        <v>17</v>
      </c>
      <c r="I522" s="76">
        <f>STOCK[[#This Row],[Precio Venta Ideal (x1.5)]]</f>
        <v>21.3132352941177</v>
      </c>
      <c r="J522" s="91">
        <v>2</v>
      </c>
      <c r="K522" s="91">
        <f>SUMIFS(VENTAS[Cantidad],VENTAS[Código del producto Vendido],STOCK[[#This Row],[Code]])</f>
        <v>2</v>
      </c>
      <c r="L522" s="91">
        <f>STOCK[[#This Row],[Entradas]]-STOCK[[#This Row],[Salidas]]</f>
        <v>0</v>
      </c>
      <c r="M522" s="76">
        <f>STOCK[[#This Row],[Precio Final]]*10%</f>
        <v>1.7</v>
      </c>
      <c r="N522" s="76">
        <v>171</v>
      </c>
      <c r="O522" s="76">
        <v>17</v>
      </c>
      <c r="P522" s="76">
        <v>10.0588235294118</v>
      </c>
      <c r="Q522" s="91">
        <v>140</v>
      </c>
      <c r="R522" s="76">
        <v>17.5</v>
      </c>
      <c r="S522" s="76">
        <f>STOCK[[#This Row],[Peso (g)]]*STOCK[[#This Row],[Precio Envío Kilogramo (USD)]]/1000</f>
        <v>2.45</v>
      </c>
      <c r="T522" s="76">
        <f>STOCK[[#This Row],[Costo Unitario (USD)]]+STOCK[[#This Row],[Costo Envío (USD)]]+STOCK[[#This Row],[Comisión 10%]]</f>
        <v>14.2088235294118</v>
      </c>
      <c r="U522" s="76">
        <f>STOCK[[#This Row],[Costo total]]*1.5</f>
        <v>21.3132352941177</v>
      </c>
      <c r="V522" s="76">
        <v>17</v>
      </c>
      <c r="W522" s="76">
        <f>STOCK[[#This Row],[Precio Final]]-STOCK[[#This Row],[Costo total]]</f>
        <v>2.7911764705882</v>
      </c>
      <c r="X522" s="76">
        <f>STOCK[[#This Row],[Ganancia Unitaria]]*STOCK[[#This Row],[Salidas]]</f>
        <v>5.5823529411764</v>
      </c>
      <c r="Y522" s="76" t="s">
        <v>926</v>
      </c>
      <c r="AA522" s="76">
        <f>STOCK[[#This Row],[Costo total]]*STOCK[[#This Row],[Entradas]]</f>
        <v>28.4176470588236</v>
      </c>
      <c r="AB522" s="76">
        <f>STOCK[[#This Row],[Stock Actual]]*STOCK[[#This Row],[Costo total]]</f>
        <v>0</v>
      </c>
    </row>
    <row r="523" s="77" customFormat="1" ht="50" customHeight="1" spans="1:28">
      <c r="A523" s="77" t="s">
        <v>1069</v>
      </c>
      <c r="B523" s="6"/>
      <c r="C523" s="77" t="s">
        <v>30</v>
      </c>
      <c r="D523" s="77" t="s">
        <v>173</v>
      </c>
      <c r="E523" s="77" t="s">
        <v>1068</v>
      </c>
      <c r="F523" s="77" t="s">
        <v>47</v>
      </c>
      <c r="G523" s="77" t="s">
        <v>34</v>
      </c>
      <c r="H523" s="77">
        <f>STOCK[[#This Row],[Precio Final]]</f>
        <v>17</v>
      </c>
      <c r="I523" s="77">
        <f>STOCK[[#This Row],[Precio Venta Ideal (x1.5)]]</f>
        <v>21.3132352941177</v>
      </c>
      <c r="J523" s="92">
        <v>2</v>
      </c>
      <c r="K523" s="92">
        <f>SUMIFS(VENTAS[Cantidad],VENTAS[Código del producto Vendido],STOCK[[#This Row],[Code]])</f>
        <v>2</v>
      </c>
      <c r="L523" s="92">
        <f>STOCK[[#This Row],[Entradas]]-STOCK[[#This Row],[Salidas]]</f>
        <v>0</v>
      </c>
      <c r="M523" s="77">
        <f>STOCK[[#This Row],[Precio Final]]*10%</f>
        <v>1.7</v>
      </c>
      <c r="N523" s="77">
        <v>171</v>
      </c>
      <c r="O523" s="77">
        <v>17</v>
      </c>
      <c r="P523" s="77">
        <v>10.0588235294118</v>
      </c>
      <c r="Q523" s="92">
        <v>140</v>
      </c>
      <c r="R523" s="77">
        <v>17.5</v>
      </c>
      <c r="S523" s="77">
        <f>STOCK[[#This Row],[Peso (g)]]*STOCK[[#This Row],[Precio Envío Kilogramo (USD)]]/1000</f>
        <v>2.45</v>
      </c>
      <c r="T523" s="76">
        <f>STOCK[[#This Row],[Costo Unitario (USD)]]+STOCK[[#This Row],[Costo Envío (USD)]]+STOCK[[#This Row],[Comisión 10%]]</f>
        <v>14.2088235294118</v>
      </c>
      <c r="U523" s="77">
        <f>STOCK[[#This Row],[Costo total]]*1.5</f>
        <v>21.3132352941177</v>
      </c>
      <c r="V523" s="77">
        <v>17</v>
      </c>
      <c r="W523" s="77">
        <f>STOCK[[#This Row],[Precio Final]]-STOCK[[#This Row],[Costo total]]</f>
        <v>2.7911764705882</v>
      </c>
      <c r="X523" s="77">
        <f>STOCK[[#This Row],[Ganancia Unitaria]]*STOCK[[#This Row],[Salidas]]</f>
        <v>5.5823529411764</v>
      </c>
      <c r="Y523" s="77" t="s">
        <v>926</v>
      </c>
      <c r="AA523" s="77">
        <f>STOCK[[#This Row],[Costo total]]*STOCK[[#This Row],[Entradas]]</f>
        <v>28.4176470588236</v>
      </c>
      <c r="AB523" s="77">
        <f>STOCK[[#This Row],[Stock Actual]]*STOCK[[#This Row],[Costo total]]</f>
        <v>0</v>
      </c>
    </row>
    <row r="524" s="76" customFormat="1" ht="50" customHeight="1" spans="1:28">
      <c r="A524" s="76" t="s">
        <v>1070</v>
      </c>
      <c r="B524" s="6"/>
      <c r="C524" s="76" t="s">
        <v>30</v>
      </c>
      <c r="D524" s="76" t="s">
        <v>36</v>
      </c>
      <c r="E524" s="76" t="s">
        <v>1071</v>
      </c>
      <c r="F524" s="76" t="s">
        <v>60</v>
      </c>
      <c r="G524" s="76" t="s">
        <v>34</v>
      </c>
      <c r="H524" s="76">
        <f>STOCK[[#This Row],[Precio Final]]</f>
        <v>25</v>
      </c>
      <c r="I524" s="76">
        <f>STOCK[[#This Row],[Precio Venta Ideal (x1.5)]]</f>
        <v>33.9573529411764</v>
      </c>
      <c r="J524" s="91">
        <v>1</v>
      </c>
      <c r="K524" s="91">
        <f>SUMIFS(VENTAS[Cantidad],VENTAS[Código del producto Vendido],STOCK[[#This Row],[Code]])</f>
        <v>1</v>
      </c>
      <c r="L524" s="91">
        <f>STOCK[[#This Row],[Entradas]]-STOCK[[#This Row],[Salidas]]</f>
        <v>0</v>
      </c>
      <c r="M524" s="76">
        <f>STOCK[[#This Row],[Precio Final]]*10%</f>
        <v>2.5</v>
      </c>
      <c r="N524" s="76">
        <v>265</v>
      </c>
      <c r="O524" s="76">
        <v>17</v>
      </c>
      <c r="P524" s="76">
        <v>15.5882352941176</v>
      </c>
      <c r="Q524" s="91">
        <v>260</v>
      </c>
      <c r="R524" s="76">
        <v>17.5</v>
      </c>
      <c r="S524" s="76">
        <f>STOCK[[#This Row],[Peso (g)]]*STOCK[[#This Row],[Precio Envío Kilogramo (USD)]]/1000</f>
        <v>4.55</v>
      </c>
      <c r="T524" s="76">
        <f>STOCK[[#This Row],[Costo Unitario (USD)]]+STOCK[[#This Row],[Costo Envío (USD)]]+STOCK[[#This Row],[Comisión 10%]]</f>
        <v>22.6382352941176</v>
      </c>
      <c r="U524" s="76">
        <f>STOCK[[#This Row],[Costo total]]*1.5</f>
        <v>33.9573529411764</v>
      </c>
      <c r="V524" s="76">
        <v>25</v>
      </c>
      <c r="W524" s="76">
        <f>STOCK[[#This Row],[Precio Final]]-STOCK[[#This Row],[Costo total]]</f>
        <v>2.3617647058824</v>
      </c>
      <c r="X524" s="76">
        <f>STOCK[[#This Row],[Ganancia Unitaria]]*STOCK[[#This Row],[Salidas]]</f>
        <v>2.3617647058824</v>
      </c>
      <c r="Y524" s="76" t="s">
        <v>926</v>
      </c>
      <c r="AA524" s="76">
        <f>STOCK[[#This Row],[Costo total]]*STOCK[[#This Row],[Entradas]]</f>
        <v>22.6382352941176</v>
      </c>
      <c r="AB524" s="76">
        <f>STOCK[[#This Row],[Stock Actual]]*STOCK[[#This Row],[Costo total]]</f>
        <v>0</v>
      </c>
    </row>
    <row r="525" s="77" customFormat="1" ht="50" customHeight="1" spans="1:28">
      <c r="A525" s="77" t="s">
        <v>1072</v>
      </c>
      <c r="B525" s="6"/>
      <c r="C525" s="77" t="s">
        <v>30</v>
      </c>
      <c r="D525" s="77" t="s">
        <v>1073</v>
      </c>
      <c r="E525" s="77" t="s">
        <v>1074</v>
      </c>
      <c r="F525" s="77" t="s">
        <v>60</v>
      </c>
      <c r="G525" s="77" t="s">
        <v>34</v>
      </c>
      <c r="H525" s="77">
        <f>STOCK[[#This Row],[Precio Final]]</f>
        <v>20</v>
      </c>
      <c r="I525" s="77">
        <f>STOCK[[#This Row],[Precio Venta Ideal (x1.5)]]</f>
        <v>23.5235294117647</v>
      </c>
      <c r="J525" s="92">
        <v>1</v>
      </c>
      <c r="K525" s="92">
        <f>SUMIFS(VENTAS[Cantidad],VENTAS[Código del producto Vendido],STOCK[[#This Row],[Code]])</f>
        <v>1</v>
      </c>
      <c r="L525" s="92">
        <f>STOCK[[#This Row],[Entradas]]-STOCK[[#This Row],[Salidas]]</f>
        <v>0</v>
      </c>
      <c r="M525" s="77">
        <f>STOCK[[#This Row],[Precio Final]]*10%</f>
        <v>2</v>
      </c>
      <c r="N525" s="77">
        <v>185</v>
      </c>
      <c r="O525" s="77">
        <v>17</v>
      </c>
      <c r="P525" s="77">
        <v>10.8823529411765</v>
      </c>
      <c r="Q525" s="92">
        <v>160</v>
      </c>
      <c r="R525" s="77">
        <v>17.5</v>
      </c>
      <c r="S525" s="77">
        <f>STOCK[[#This Row],[Peso (g)]]*STOCK[[#This Row],[Precio Envío Kilogramo (USD)]]/1000</f>
        <v>2.8</v>
      </c>
      <c r="T525" s="76">
        <f>STOCK[[#This Row],[Costo Unitario (USD)]]+STOCK[[#This Row],[Costo Envío (USD)]]+STOCK[[#This Row],[Comisión 10%]]</f>
        <v>15.6823529411765</v>
      </c>
      <c r="U525" s="77">
        <f>STOCK[[#This Row],[Costo total]]*1.5</f>
        <v>23.5235294117647</v>
      </c>
      <c r="V525" s="77">
        <v>20</v>
      </c>
      <c r="W525" s="77">
        <f>STOCK[[#This Row],[Precio Final]]-STOCK[[#This Row],[Costo total]]</f>
        <v>4.3176470588235</v>
      </c>
      <c r="X525" s="77">
        <f>STOCK[[#This Row],[Ganancia Unitaria]]*STOCK[[#This Row],[Salidas]]</f>
        <v>4.3176470588235</v>
      </c>
      <c r="Y525" s="77" t="s">
        <v>926</v>
      </c>
      <c r="AA525" s="77">
        <f>STOCK[[#This Row],[Costo total]]*STOCK[[#This Row],[Entradas]]</f>
        <v>15.6823529411765</v>
      </c>
      <c r="AB525" s="77">
        <f>STOCK[[#This Row],[Stock Actual]]*STOCK[[#This Row],[Costo total]]</f>
        <v>0</v>
      </c>
    </row>
    <row r="526" s="76" customFormat="1" ht="50" customHeight="1" spans="1:28">
      <c r="A526" s="76" t="s">
        <v>1075</v>
      </c>
      <c r="B526" s="6"/>
      <c r="C526" s="76" t="s">
        <v>30</v>
      </c>
      <c r="D526" s="76" t="s">
        <v>123</v>
      </c>
      <c r="E526" s="76" t="s">
        <v>1076</v>
      </c>
      <c r="F526" s="76" t="s">
        <v>1077</v>
      </c>
      <c r="G526" s="76" t="s">
        <v>34</v>
      </c>
      <c r="H526" s="76">
        <f>STOCK[[#This Row],[Precio Final]]</f>
        <v>20</v>
      </c>
      <c r="I526" s="76">
        <f>STOCK[[#This Row],[Precio Venta Ideal (x1.5)]]</f>
        <v>36.0761029411764</v>
      </c>
      <c r="J526" s="91">
        <v>1</v>
      </c>
      <c r="K526" s="91">
        <f>SUMIFS(VENTAS[Cantidad],VENTAS[Código del producto Vendido],STOCK[[#This Row],[Code]])</f>
        <v>1</v>
      </c>
      <c r="L526" s="91">
        <f>STOCK[[#This Row],[Entradas]]-STOCK[[#This Row],[Salidas]]</f>
        <v>0</v>
      </c>
      <c r="M526" s="76">
        <f>STOCK[[#This Row],[Precio Final]]*10%</f>
        <v>2</v>
      </c>
      <c r="N526" s="76">
        <v>299</v>
      </c>
      <c r="O526" s="76">
        <v>17</v>
      </c>
      <c r="P526" s="76">
        <v>17.5882352941176</v>
      </c>
      <c r="Q526" s="91">
        <v>255</v>
      </c>
      <c r="R526" s="76">
        <v>17.5</v>
      </c>
      <c r="S526" s="76">
        <f>STOCK[[#This Row],[Peso (g)]]*STOCK[[#This Row],[Precio Envío Kilogramo (USD)]]/1000</f>
        <v>4.4625</v>
      </c>
      <c r="T526" s="76">
        <f>STOCK[[#This Row],[Costo Unitario (USD)]]+STOCK[[#This Row],[Costo Envío (USD)]]+STOCK[[#This Row],[Comisión 10%]]</f>
        <v>24.0507352941176</v>
      </c>
      <c r="U526" s="76">
        <f>STOCK[[#This Row],[Costo total]]*1.5</f>
        <v>36.0761029411764</v>
      </c>
      <c r="V526" s="76">
        <v>20</v>
      </c>
      <c r="W526" s="76">
        <f>STOCK[[#This Row],[Precio Final]]-STOCK[[#This Row],[Costo total]]</f>
        <v>-4.0507352941176</v>
      </c>
      <c r="X526" s="76">
        <f>STOCK[[#This Row],[Ganancia Unitaria]]*STOCK[[#This Row],[Salidas]]</f>
        <v>-4.0507352941176</v>
      </c>
      <c r="Y526" s="76" t="s">
        <v>926</v>
      </c>
      <c r="AA526" s="76">
        <f>STOCK[[#This Row],[Costo total]]*STOCK[[#This Row],[Entradas]]</f>
        <v>24.0507352941176</v>
      </c>
      <c r="AB526" s="76">
        <f>STOCK[[#This Row],[Stock Actual]]*STOCK[[#This Row],[Costo total]]</f>
        <v>0</v>
      </c>
    </row>
    <row r="527" s="77" customFormat="1" ht="50" customHeight="1" spans="1:28">
      <c r="A527" s="77" t="s">
        <v>1078</v>
      </c>
      <c r="B527" s="6"/>
      <c r="C527" s="77" t="s">
        <v>30</v>
      </c>
      <c r="D527" s="77" t="s">
        <v>42</v>
      </c>
      <c r="E527" s="77" t="s">
        <v>1079</v>
      </c>
      <c r="F527" s="77" t="s">
        <v>47</v>
      </c>
      <c r="G527" s="77" t="s">
        <v>34</v>
      </c>
      <c r="H527" s="77">
        <f>STOCK[[#This Row],[Precio Final]]</f>
        <v>35</v>
      </c>
      <c r="I527" s="77">
        <f>STOCK[[#This Row],[Precio Venta Ideal (x1.5)]]</f>
        <v>38.833455882353</v>
      </c>
      <c r="J527" s="92">
        <v>1</v>
      </c>
      <c r="K527" s="92">
        <f>SUMIFS(VENTAS[Cantidad],VENTAS[Código del producto Vendido],STOCK[[#This Row],[Code]])</f>
        <v>1</v>
      </c>
      <c r="L527" s="92">
        <f>STOCK[[#This Row],[Entradas]]-STOCK[[#This Row],[Salidas]]</f>
        <v>0</v>
      </c>
      <c r="M527" s="77">
        <f>STOCK[[#This Row],[Precio Final]]*10%</f>
        <v>3.5</v>
      </c>
      <c r="N527" s="77">
        <v>275</v>
      </c>
      <c r="O527" s="77">
        <v>17</v>
      </c>
      <c r="P527" s="77">
        <v>16.1764705882353</v>
      </c>
      <c r="Q527" s="92">
        <v>355</v>
      </c>
      <c r="R527" s="77">
        <v>17.5</v>
      </c>
      <c r="S527" s="77">
        <f>STOCK[[#This Row],[Peso (g)]]*STOCK[[#This Row],[Precio Envío Kilogramo (USD)]]/1000</f>
        <v>6.2125</v>
      </c>
      <c r="T527" s="76">
        <f>STOCK[[#This Row],[Costo Unitario (USD)]]+STOCK[[#This Row],[Costo Envío (USD)]]+STOCK[[#This Row],[Comisión 10%]]</f>
        <v>25.8889705882353</v>
      </c>
      <c r="U527" s="77">
        <f>STOCK[[#This Row],[Costo total]]*1.5</f>
        <v>38.833455882353</v>
      </c>
      <c r="V527" s="77">
        <v>35</v>
      </c>
      <c r="W527" s="77">
        <f>STOCK[[#This Row],[Precio Final]]-STOCK[[#This Row],[Costo total]]</f>
        <v>9.1110294117647</v>
      </c>
      <c r="X527" s="77">
        <f>STOCK[[#This Row],[Ganancia Unitaria]]*STOCK[[#This Row],[Salidas]]</f>
        <v>9.1110294117647</v>
      </c>
      <c r="Y527" s="77" t="s">
        <v>926</v>
      </c>
      <c r="AA527" s="77">
        <f>STOCK[[#This Row],[Costo total]]*STOCK[[#This Row],[Entradas]]</f>
        <v>25.8889705882353</v>
      </c>
      <c r="AB527" s="77">
        <f>STOCK[[#This Row],[Stock Actual]]*STOCK[[#This Row],[Costo total]]</f>
        <v>0</v>
      </c>
    </row>
    <row r="528" s="76" customFormat="1" ht="50" customHeight="1" spans="1:28">
      <c r="A528" s="76" t="s">
        <v>1080</v>
      </c>
      <c r="B528" s="6"/>
      <c r="C528" s="76" t="s">
        <v>30</v>
      </c>
      <c r="D528" s="76" t="s">
        <v>42</v>
      </c>
      <c r="E528" s="76" t="s">
        <v>1079</v>
      </c>
      <c r="F528" s="76" t="s">
        <v>60</v>
      </c>
      <c r="G528" s="76" t="s">
        <v>34</v>
      </c>
      <c r="H528" s="76">
        <f>STOCK[[#This Row],[Precio Final]]</f>
        <v>35</v>
      </c>
      <c r="I528" s="76">
        <f>STOCK[[#This Row],[Precio Venta Ideal (x1.5)]]</f>
        <v>38.7022058823529</v>
      </c>
      <c r="J528" s="91">
        <v>1</v>
      </c>
      <c r="K528" s="91">
        <f>SUMIFS(VENTAS[Cantidad],VENTAS[Código del producto Vendido],STOCK[[#This Row],[Code]])</f>
        <v>1</v>
      </c>
      <c r="L528" s="91">
        <f>STOCK[[#This Row],[Entradas]]-STOCK[[#This Row],[Salidas]]</f>
        <v>0</v>
      </c>
      <c r="M528" s="76">
        <f>STOCK[[#This Row],[Precio Final]]*10%</f>
        <v>3.5</v>
      </c>
      <c r="N528" s="76">
        <v>275</v>
      </c>
      <c r="O528" s="76">
        <v>17</v>
      </c>
      <c r="P528" s="76">
        <v>16.1764705882353</v>
      </c>
      <c r="Q528" s="91">
        <v>350</v>
      </c>
      <c r="R528" s="76">
        <v>17.5</v>
      </c>
      <c r="S528" s="76">
        <f>STOCK[[#This Row],[Peso (g)]]*STOCK[[#This Row],[Precio Envío Kilogramo (USD)]]/1000</f>
        <v>6.125</v>
      </c>
      <c r="T528" s="76">
        <f>STOCK[[#This Row],[Costo Unitario (USD)]]+STOCK[[#This Row],[Costo Envío (USD)]]+STOCK[[#This Row],[Comisión 10%]]</f>
        <v>25.8014705882353</v>
      </c>
      <c r="U528" s="76">
        <f>STOCK[[#This Row],[Costo total]]*1.5</f>
        <v>38.7022058823529</v>
      </c>
      <c r="V528" s="76">
        <v>35</v>
      </c>
      <c r="W528" s="76">
        <f>STOCK[[#This Row],[Precio Final]]-STOCK[[#This Row],[Costo total]]</f>
        <v>9.1985294117647</v>
      </c>
      <c r="X528" s="76">
        <f>STOCK[[#This Row],[Ganancia Unitaria]]*STOCK[[#This Row],[Salidas]]</f>
        <v>9.1985294117647</v>
      </c>
      <c r="Y528" s="76" t="s">
        <v>926</v>
      </c>
      <c r="AA528" s="76">
        <f>STOCK[[#This Row],[Costo total]]*STOCK[[#This Row],[Entradas]]</f>
        <v>25.8014705882353</v>
      </c>
      <c r="AB528" s="76">
        <f>STOCK[[#This Row],[Stock Actual]]*STOCK[[#This Row],[Costo total]]</f>
        <v>0</v>
      </c>
    </row>
    <row r="529" s="77" customFormat="1" ht="50" customHeight="1" spans="1:28">
      <c r="A529" s="77" t="s">
        <v>1081</v>
      </c>
      <c r="B529" s="6"/>
      <c r="C529" s="77" t="s">
        <v>30</v>
      </c>
      <c r="D529" s="77" t="s">
        <v>42</v>
      </c>
      <c r="E529" s="77" t="s">
        <v>1082</v>
      </c>
      <c r="F529" s="77" t="s">
        <v>47</v>
      </c>
      <c r="G529" s="77" t="s">
        <v>34</v>
      </c>
      <c r="H529" s="77">
        <f>STOCK[[#This Row],[Precio Final]]</f>
        <v>25</v>
      </c>
      <c r="I529" s="77">
        <f>STOCK[[#This Row],[Precio Venta Ideal (x1.5)]]</f>
        <v>27.4599264705882</v>
      </c>
      <c r="J529" s="92">
        <v>1</v>
      </c>
      <c r="K529" s="92">
        <f>SUMIFS(VENTAS[Cantidad],VENTAS[Código del producto Vendido],STOCK[[#This Row],[Code]])</f>
        <v>1</v>
      </c>
      <c r="L529" s="92">
        <f>STOCK[[#This Row],[Entradas]]-STOCK[[#This Row],[Salidas]]</f>
        <v>0</v>
      </c>
      <c r="M529" s="77">
        <f>STOCK[[#This Row],[Precio Final]]*10%</f>
        <v>2.5</v>
      </c>
      <c r="N529" s="77">
        <v>175</v>
      </c>
      <c r="O529" s="77">
        <v>17</v>
      </c>
      <c r="P529" s="77">
        <v>10.2941176470588</v>
      </c>
      <c r="Q529" s="92">
        <v>315</v>
      </c>
      <c r="R529" s="77">
        <v>17.5</v>
      </c>
      <c r="S529" s="77">
        <f>STOCK[[#This Row],[Peso (g)]]*STOCK[[#This Row],[Precio Envío Kilogramo (USD)]]/1000</f>
        <v>5.5125</v>
      </c>
      <c r="T529" s="76">
        <f>STOCK[[#This Row],[Costo Unitario (USD)]]+STOCK[[#This Row],[Costo Envío (USD)]]+STOCK[[#This Row],[Comisión 10%]]</f>
        <v>18.3066176470588</v>
      </c>
      <c r="U529" s="77">
        <f>STOCK[[#This Row],[Costo total]]*1.5</f>
        <v>27.4599264705882</v>
      </c>
      <c r="V529" s="77">
        <v>25</v>
      </c>
      <c r="W529" s="77">
        <f>STOCK[[#This Row],[Precio Final]]-STOCK[[#This Row],[Costo total]]</f>
        <v>6.6933823529412</v>
      </c>
      <c r="X529" s="77">
        <f>STOCK[[#This Row],[Ganancia Unitaria]]*STOCK[[#This Row],[Salidas]]</f>
        <v>6.6933823529412</v>
      </c>
      <c r="Y529" s="77" t="s">
        <v>926</v>
      </c>
      <c r="AA529" s="77">
        <f>STOCK[[#This Row],[Costo total]]*STOCK[[#This Row],[Entradas]]</f>
        <v>18.3066176470588</v>
      </c>
      <c r="AB529" s="77">
        <f>STOCK[[#This Row],[Stock Actual]]*STOCK[[#This Row],[Costo total]]</f>
        <v>0</v>
      </c>
    </row>
    <row r="530" s="76" customFormat="1" ht="50" customHeight="1" spans="1:28">
      <c r="A530" s="76" t="s">
        <v>1083</v>
      </c>
      <c r="B530" s="6"/>
      <c r="C530" s="76" t="s">
        <v>30</v>
      </c>
      <c r="D530" s="76" t="s">
        <v>42</v>
      </c>
      <c r="E530" s="76" t="s">
        <v>1084</v>
      </c>
      <c r="F530" s="76" t="s">
        <v>60</v>
      </c>
      <c r="G530" s="76" t="s">
        <v>34</v>
      </c>
      <c r="H530" s="76">
        <f>STOCK[[#This Row],[Precio Final]]</f>
        <v>25</v>
      </c>
      <c r="I530" s="76">
        <f>STOCK[[#This Row],[Precio Venta Ideal (x1.5)]]</f>
        <v>28.95</v>
      </c>
      <c r="J530" s="91">
        <v>1</v>
      </c>
      <c r="K530" s="91">
        <f>SUMIFS(VENTAS[Cantidad],VENTAS[Código del producto Vendido],STOCK[[#This Row],[Code]])</f>
        <v>1</v>
      </c>
      <c r="L530" s="91">
        <f>STOCK[[#This Row],[Entradas]]-STOCK[[#This Row],[Salidas]]</f>
        <v>0</v>
      </c>
      <c r="M530" s="76">
        <f>STOCK[[#This Row],[Precio Final]]*10%</f>
        <v>2.5</v>
      </c>
      <c r="N530" s="76">
        <v>238</v>
      </c>
      <c r="O530" s="76">
        <v>17</v>
      </c>
      <c r="P530" s="76">
        <v>14</v>
      </c>
      <c r="Q530" s="91">
        <v>160</v>
      </c>
      <c r="R530" s="76">
        <v>17.5</v>
      </c>
      <c r="S530" s="76">
        <f>STOCK[[#This Row],[Peso (g)]]*STOCK[[#This Row],[Precio Envío Kilogramo (USD)]]/1000</f>
        <v>2.8</v>
      </c>
      <c r="T530" s="76">
        <f>STOCK[[#This Row],[Costo Unitario (USD)]]+STOCK[[#This Row],[Costo Envío (USD)]]+STOCK[[#This Row],[Comisión 10%]]</f>
        <v>19.3</v>
      </c>
      <c r="U530" s="76">
        <f>STOCK[[#This Row],[Costo total]]*1.5</f>
        <v>28.95</v>
      </c>
      <c r="V530" s="76">
        <v>25</v>
      </c>
      <c r="W530" s="76">
        <f>STOCK[[#This Row],[Precio Final]]-STOCK[[#This Row],[Costo total]]</f>
        <v>5.7</v>
      </c>
      <c r="X530" s="76">
        <f>STOCK[[#This Row],[Ganancia Unitaria]]*STOCK[[#This Row],[Salidas]]</f>
        <v>5.7</v>
      </c>
      <c r="Y530" s="76" t="s">
        <v>1085</v>
      </c>
      <c r="AA530" s="76">
        <f>STOCK[[#This Row],[Costo total]]*STOCK[[#This Row],[Entradas]]</f>
        <v>19.3</v>
      </c>
      <c r="AB530" s="76">
        <f>STOCK[[#This Row],[Stock Actual]]*STOCK[[#This Row],[Costo total]]</f>
        <v>0</v>
      </c>
    </row>
    <row r="531" s="77" customFormat="1" ht="50" customHeight="1" spans="1:28">
      <c r="A531" s="77" t="s">
        <v>1086</v>
      </c>
      <c r="B531" s="6"/>
      <c r="C531" s="77" t="s">
        <v>30</v>
      </c>
      <c r="D531" s="77" t="s">
        <v>36</v>
      </c>
      <c r="E531" s="77" t="s">
        <v>1087</v>
      </c>
      <c r="F531" s="77" t="s">
        <v>393</v>
      </c>
      <c r="G531" s="77" t="s">
        <v>34</v>
      </c>
      <c r="H531" s="77">
        <f>STOCK[[#This Row],[Precio Final]]</f>
        <v>10</v>
      </c>
      <c r="I531" s="77">
        <f>STOCK[[#This Row],[Precio Venta Ideal (x1.5)]]</f>
        <v>8.28308823529411</v>
      </c>
      <c r="J531" s="92">
        <v>1</v>
      </c>
      <c r="K531" s="92">
        <f>SUMIFS(VENTAS[Cantidad],VENTAS[Código del producto Vendido],STOCK[[#This Row],[Code]])</f>
        <v>1</v>
      </c>
      <c r="L531" s="92">
        <f>STOCK[[#This Row],[Entradas]]-STOCK[[#This Row],[Salidas]]</f>
        <v>0</v>
      </c>
      <c r="M531" s="77">
        <f>STOCK[[#This Row],[Precio Final]]*10%</f>
        <v>1</v>
      </c>
      <c r="N531" s="77">
        <v>62</v>
      </c>
      <c r="O531" s="77">
        <v>17</v>
      </c>
      <c r="P531" s="77">
        <v>3.64705882352941</v>
      </c>
      <c r="Q531" s="92">
        <v>50</v>
      </c>
      <c r="R531" s="77">
        <v>17.5</v>
      </c>
      <c r="S531" s="77">
        <f>STOCK[[#This Row],[Peso (g)]]*STOCK[[#This Row],[Precio Envío Kilogramo (USD)]]/1000</f>
        <v>0.875</v>
      </c>
      <c r="T531" s="76">
        <f>STOCK[[#This Row],[Costo Unitario (USD)]]+STOCK[[#This Row],[Costo Envío (USD)]]+STOCK[[#This Row],[Comisión 10%]]</f>
        <v>5.52205882352941</v>
      </c>
      <c r="U531" s="77">
        <f>STOCK[[#This Row],[Costo total]]*1.5</f>
        <v>8.28308823529411</v>
      </c>
      <c r="V531" s="77">
        <v>10</v>
      </c>
      <c r="W531" s="77">
        <f>STOCK[[#This Row],[Precio Final]]-STOCK[[#This Row],[Costo total]]</f>
        <v>4.47794117647059</v>
      </c>
      <c r="X531" s="77">
        <f>STOCK[[#This Row],[Ganancia Unitaria]]*STOCK[[#This Row],[Salidas]]</f>
        <v>4.47794117647059</v>
      </c>
      <c r="Y531" s="77" t="s">
        <v>926</v>
      </c>
      <c r="AA531" s="77">
        <f>STOCK[[#This Row],[Costo total]]*STOCK[[#This Row],[Entradas]]</f>
        <v>5.52205882352941</v>
      </c>
      <c r="AB531" s="77">
        <f>STOCK[[#This Row],[Stock Actual]]*STOCK[[#This Row],[Costo total]]</f>
        <v>0</v>
      </c>
    </row>
    <row r="532" s="76" customFormat="1" ht="50" customHeight="1" spans="1:28">
      <c r="A532" s="76" t="s">
        <v>1088</v>
      </c>
      <c r="B532" s="6"/>
      <c r="C532" s="76" t="s">
        <v>30</v>
      </c>
      <c r="D532" s="76" t="s">
        <v>36</v>
      </c>
      <c r="E532" s="76" t="s">
        <v>1089</v>
      </c>
      <c r="F532" s="76" t="s">
        <v>60</v>
      </c>
      <c r="G532" s="76" t="s">
        <v>34</v>
      </c>
      <c r="H532" s="76">
        <f>STOCK[[#This Row],[Precio Final]]</f>
        <v>10</v>
      </c>
      <c r="I532" s="76">
        <f>STOCK[[#This Row],[Precio Venta Ideal (x1.5)]]</f>
        <v>11.8852941176471</v>
      </c>
      <c r="J532" s="91">
        <v>1</v>
      </c>
      <c r="K532" s="91">
        <f>SUMIFS(VENTAS[Cantidad],VENTAS[Código del producto Vendido],STOCK[[#This Row],[Code]])</f>
        <v>1</v>
      </c>
      <c r="L532" s="91">
        <f>STOCK[[#This Row],[Entradas]]-STOCK[[#This Row],[Salidas]]</f>
        <v>0</v>
      </c>
      <c r="M532" s="76">
        <f>STOCK[[#This Row],[Precio Final]]*10%</f>
        <v>1</v>
      </c>
      <c r="N532" s="76">
        <v>82</v>
      </c>
      <c r="O532" s="76">
        <v>17</v>
      </c>
      <c r="P532" s="76">
        <v>4.82352941176471</v>
      </c>
      <c r="Q532" s="91">
        <v>120</v>
      </c>
      <c r="R532" s="76">
        <v>17.5</v>
      </c>
      <c r="S532" s="76">
        <f>STOCK[[#This Row],[Peso (g)]]*STOCK[[#This Row],[Precio Envío Kilogramo (USD)]]/1000</f>
        <v>2.1</v>
      </c>
      <c r="T532" s="76">
        <f>STOCK[[#This Row],[Costo Unitario (USD)]]+STOCK[[#This Row],[Costo Envío (USD)]]+STOCK[[#This Row],[Comisión 10%]]</f>
        <v>7.92352941176471</v>
      </c>
      <c r="U532" s="76">
        <f>STOCK[[#This Row],[Costo total]]*1.5</f>
        <v>11.8852941176471</v>
      </c>
      <c r="V532" s="76">
        <v>10</v>
      </c>
      <c r="W532" s="76">
        <f>STOCK[[#This Row],[Precio Final]]-STOCK[[#This Row],[Costo total]]</f>
        <v>2.07647058823529</v>
      </c>
      <c r="X532" s="76">
        <f>STOCK[[#This Row],[Ganancia Unitaria]]*STOCK[[#This Row],[Salidas]]</f>
        <v>2.07647058823529</v>
      </c>
      <c r="Y532" s="76" t="s">
        <v>926</v>
      </c>
      <c r="AA532" s="76">
        <f>STOCK[[#This Row],[Costo total]]*STOCK[[#This Row],[Entradas]]</f>
        <v>7.92352941176471</v>
      </c>
      <c r="AB532" s="76">
        <f>STOCK[[#This Row],[Stock Actual]]*STOCK[[#This Row],[Costo total]]</f>
        <v>0</v>
      </c>
    </row>
    <row r="533" s="77" customFormat="1" ht="50" customHeight="1" spans="1:28">
      <c r="A533" s="77" t="s">
        <v>1090</v>
      </c>
      <c r="B533" s="6"/>
      <c r="C533" s="77" t="s">
        <v>30</v>
      </c>
      <c r="D533" s="77" t="s">
        <v>36</v>
      </c>
      <c r="E533" s="77" t="s">
        <v>1091</v>
      </c>
      <c r="F533" s="77" t="s">
        <v>44</v>
      </c>
      <c r="G533" s="77" t="s">
        <v>34</v>
      </c>
      <c r="H533" s="77">
        <f>STOCK[[#This Row],[Precio Final]]</f>
        <v>28</v>
      </c>
      <c r="I533" s="77">
        <f>STOCK[[#This Row],[Precio Venta Ideal (x1.5)]]</f>
        <v>34.9191176470589</v>
      </c>
      <c r="J533" s="92">
        <v>2</v>
      </c>
      <c r="K533" s="92">
        <f>SUMIFS(VENTAS[Cantidad],VENTAS[Código del producto Vendido],STOCK[[#This Row],[Code]])</f>
        <v>2</v>
      </c>
      <c r="L533" s="92">
        <f>STOCK[[#This Row],[Entradas]]-STOCK[[#This Row],[Salidas]]</f>
        <v>0</v>
      </c>
      <c r="M533" s="77">
        <f>STOCK[[#This Row],[Precio Final]]*10%</f>
        <v>2.8</v>
      </c>
      <c r="N533" s="77">
        <v>247</v>
      </c>
      <c r="O533" s="77">
        <v>17</v>
      </c>
      <c r="P533" s="77">
        <v>14.5294117647059</v>
      </c>
      <c r="Q533" s="92">
        <v>340</v>
      </c>
      <c r="R533" s="77">
        <v>17.5</v>
      </c>
      <c r="S533" s="77">
        <f>STOCK[[#This Row],[Peso (g)]]*STOCK[[#This Row],[Precio Envío Kilogramo (USD)]]/1000</f>
        <v>5.95</v>
      </c>
      <c r="T533" s="76">
        <f>STOCK[[#This Row],[Costo Unitario (USD)]]+STOCK[[#This Row],[Costo Envío (USD)]]+STOCK[[#This Row],[Comisión 10%]]</f>
        <v>23.2794117647059</v>
      </c>
      <c r="U533" s="77">
        <f>STOCK[[#This Row],[Costo total]]*1.5</f>
        <v>34.9191176470589</v>
      </c>
      <c r="V533" s="77">
        <v>28</v>
      </c>
      <c r="W533" s="77">
        <f>STOCK[[#This Row],[Precio Final]]-STOCK[[#This Row],[Costo total]]</f>
        <v>4.7205882352941</v>
      </c>
      <c r="X533" s="77">
        <f>STOCK[[#This Row],[Ganancia Unitaria]]*STOCK[[#This Row],[Salidas]]</f>
        <v>9.4411764705882</v>
      </c>
      <c r="Y533" s="77" t="s">
        <v>926</v>
      </c>
      <c r="AA533" s="77">
        <f>STOCK[[#This Row],[Costo total]]*STOCK[[#This Row],[Entradas]]</f>
        <v>46.5588235294118</v>
      </c>
      <c r="AB533" s="77">
        <f>STOCK[[#This Row],[Stock Actual]]*STOCK[[#This Row],[Costo total]]</f>
        <v>0</v>
      </c>
    </row>
    <row r="534" s="76" customFormat="1" ht="50" customHeight="1" spans="1:28">
      <c r="A534" s="76" t="s">
        <v>1092</v>
      </c>
      <c r="B534" s="6"/>
      <c r="C534" s="76" t="s">
        <v>30</v>
      </c>
      <c r="D534" s="76" t="s">
        <v>36</v>
      </c>
      <c r="E534" s="76" t="s">
        <v>1091</v>
      </c>
      <c r="F534" s="76" t="s">
        <v>40</v>
      </c>
      <c r="G534" s="76" t="s">
        <v>34</v>
      </c>
      <c r="H534" s="76">
        <f>STOCK[[#This Row],[Precio Final]]</f>
        <v>28</v>
      </c>
      <c r="I534" s="76">
        <f>STOCK[[#This Row],[Precio Venta Ideal (x1.5)]]</f>
        <v>34.9191176470589</v>
      </c>
      <c r="J534" s="91">
        <v>2</v>
      </c>
      <c r="K534" s="91">
        <f>SUMIFS(VENTAS[Cantidad],VENTAS[Código del producto Vendido],STOCK[[#This Row],[Code]])</f>
        <v>2</v>
      </c>
      <c r="L534" s="91">
        <f>STOCK[[#This Row],[Entradas]]-STOCK[[#This Row],[Salidas]]</f>
        <v>0</v>
      </c>
      <c r="M534" s="76">
        <f>STOCK[[#This Row],[Precio Final]]*10%</f>
        <v>2.8</v>
      </c>
      <c r="N534" s="76">
        <v>247</v>
      </c>
      <c r="O534" s="76">
        <v>17</v>
      </c>
      <c r="P534" s="76">
        <v>14.5294117647059</v>
      </c>
      <c r="Q534" s="91">
        <v>340</v>
      </c>
      <c r="R534" s="76">
        <v>17.5</v>
      </c>
      <c r="S534" s="76">
        <f>STOCK[[#This Row],[Peso (g)]]*STOCK[[#This Row],[Precio Envío Kilogramo (USD)]]/1000</f>
        <v>5.95</v>
      </c>
      <c r="T534" s="76">
        <f>STOCK[[#This Row],[Costo Unitario (USD)]]+STOCK[[#This Row],[Costo Envío (USD)]]+STOCK[[#This Row],[Comisión 10%]]</f>
        <v>23.2794117647059</v>
      </c>
      <c r="U534" s="76">
        <f>STOCK[[#This Row],[Costo total]]*1.5</f>
        <v>34.9191176470589</v>
      </c>
      <c r="V534" s="76">
        <v>28</v>
      </c>
      <c r="W534" s="76">
        <f>STOCK[[#This Row],[Precio Final]]-STOCK[[#This Row],[Costo total]]</f>
        <v>4.7205882352941</v>
      </c>
      <c r="X534" s="76">
        <f>STOCK[[#This Row],[Ganancia Unitaria]]*STOCK[[#This Row],[Salidas]]</f>
        <v>9.4411764705882</v>
      </c>
      <c r="Y534" s="76" t="s">
        <v>926</v>
      </c>
      <c r="AA534" s="76">
        <f>STOCK[[#This Row],[Costo total]]*STOCK[[#This Row],[Entradas]]</f>
        <v>46.5588235294118</v>
      </c>
      <c r="AB534" s="76">
        <f>STOCK[[#This Row],[Stock Actual]]*STOCK[[#This Row],[Costo total]]</f>
        <v>0</v>
      </c>
    </row>
    <row r="535" s="77" customFormat="1" ht="50" customHeight="1" spans="1:28">
      <c r="A535" s="77" t="s">
        <v>1093</v>
      </c>
      <c r="B535" s="6"/>
      <c r="C535" s="77" t="s">
        <v>30</v>
      </c>
      <c r="D535" s="77" t="s">
        <v>154</v>
      </c>
      <c r="E535" s="77" t="s">
        <v>1094</v>
      </c>
      <c r="F535" s="77" t="s">
        <v>90</v>
      </c>
      <c r="G535" s="77" t="s">
        <v>34</v>
      </c>
      <c r="H535" s="77">
        <f>STOCK[[#This Row],[Precio Final]]</f>
        <v>40</v>
      </c>
      <c r="I535" s="77">
        <f>STOCK[[#This Row],[Precio Venta Ideal (x1.5)]]</f>
        <v>54.3970588235293</v>
      </c>
      <c r="J535" s="92">
        <v>1</v>
      </c>
      <c r="K535" s="92">
        <f>SUMIFS(VENTAS[Cantidad],VENTAS[Código del producto Vendido],STOCK[[#This Row],[Code]])</f>
        <v>1</v>
      </c>
      <c r="L535" s="92">
        <f>STOCK[[#This Row],[Entradas]]-STOCK[[#This Row],[Salidas]]</f>
        <v>0</v>
      </c>
      <c r="M535" s="77">
        <f>STOCK[[#This Row],[Precio Final]]*10%</f>
        <v>4</v>
      </c>
      <c r="N535" s="77">
        <v>370</v>
      </c>
      <c r="O535" s="77">
        <v>17</v>
      </c>
      <c r="P535" s="77">
        <v>21.7647058823529</v>
      </c>
      <c r="Q535" s="92">
        <v>600</v>
      </c>
      <c r="R535" s="77">
        <v>17.5</v>
      </c>
      <c r="S535" s="77">
        <f>STOCK[[#This Row],[Peso (g)]]*STOCK[[#This Row],[Precio Envío Kilogramo (USD)]]/1000</f>
        <v>10.5</v>
      </c>
      <c r="T535" s="76">
        <f>STOCK[[#This Row],[Costo Unitario (USD)]]+STOCK[[#This Row],[Costo Envío (USD)]]+STOCK[[#This Row],[Comisión 10%]]</f>
        <v>36.2647058823529</v>
      </c>
      <c r="U535" s="77">
        <f>STOCK[[#This Row],[Costo total]]*1.5</f>
        <v>54.3970588235293</v>
      </c>
      <c r="V535" s="77">
        <v>40</v>
      </c>
      <c r="W535" s="77">
        <f>STOCK[[#This Row],[Precio Final]]-STOCK[[#This Row],[Costo total]]</f>
        <v>3.7352941176471</v>
      </c>
      <c r="X535" s="77">
        <f>STOCK[[#This Row],[Ganancia Unitaria]]*STOCK[[#This Row],[Salidas]]</f>
        <v>3.7352941176471</v>
      </c>
      <c r="AA535" s="77">
        <f>STOCK[[#This Row],[Costo total]]*STOCK[[#This Row],[Entradas]]</f>
        <v>36.2647058823529</v>
      </c>
      <c r="AB535" s="77">
        <f>STOCK[[#This Row],[Stock Actual]]*STOCK[[#This Row],[Costo total]]</f>
        <v>0</v>
      </c>
    </row>
    <row r="536" s="76" customFormat="1" ht="50" customHeight="1" spans="1:28">
      <c r="A536" s="76" t="s">
        <v>1095</v>
      </c>
      <c r="B536" s="6"/>
      <c r="C536" s="76" t="s">
        <v>30</v>
      </c>
      <c r="D536" s="76" t="s">
        <v>36</v>
      </c>
      <c r="E536" s="76" t="s">
        <v>1096</v>
      </c>
      <c r="F536" s="76" t="s">
        <v>44</v>
      </c>
      <c r="G536" s="76" t="s">
        <v>34</v>
      </c>
      <c r="H536" s="76">
        <f>STOCK[[#This Row],[Precio Final]]</f>
        <v>28</v>
      </c>
      <c r="I536" s="76">
        <f>STOCK[[#This Row],[Precio Venta Ideal (x1.5)]]</f>
        <v>33.208455882353</v>
      </c>
      <c r="J536" s="91">
        <v>1</v>
      </c>
      <c r="K536" s="91">
        <f>SUMIFS(VENTAS[Cantidad],VENTAS[Código del producto Vendido],STOCK[[#This Row],[Code]])</f>
        <v>1</v>
      </c>
      <c r="L536" s="91">
        <f>STOCK[[#This Row],[Entradas]]-STOCK[[#This Row],[Salidas]]</f>
        <v>0</v>
      </c>
      <c r="M536" s="76">
        <f>STOCK[[#This Row],[Precio Final]]*10%</f>
        <v>2.8</v>
      </c>
      <c r="N536" s="76">
        <v>241</v>
      </c>
      <c r="O536" s="76">
        <v>17</v>
      </c>
      <c r="P536" s="76">
        <v>14.1764705882353</v>
      </c>
      <c r="Q536" s="91">
        <v>295</v>
      </c>
      <c r="R536" s="76">
        <v>17.5</v>
      </c>
      <c r="S536" s="76">
        <f>STOCK[[#This Row],[Peso (g)]]*STOCK[[#This Row],[Precio Envío Kilogramo (USD)]]/1000</f>
        <v>5.1625</v>
      </c>
      <c r="T536" s="76">
        <f>STOCK[[#This Row],[Costo Unitario (USD)]]+STOCK[[#This Row],[Costo Envío (USD)]]+STOCK[[#This Row],[Comisión 10%]]</f>
        <v>22.1389705882353</v>
      </c>
      <c r="U536" s="76">
        <f>STOCK[[#This Row],[Costo total]]*1.5</f>
        <v>33.208455882353</v>
      </c>
      <c r="V536" s="76">
        <v>28</v>
      </c>
      <c r="W536" s="76">
        <f>STOCK[[#This Row],[Precio Final]]-STOCK[[#This Row],[Costo total]]</f>
        <v>5.8610294117647</v>
      </c>
      <c r="X536" s="76">
        <f>STOCK[[#This Row],[Ganancia Unitaria]]*STOCK[[#This Row],[Salidas]]</f>
        <v>5.8610294117647</v>
      </c>
      <c r="Y536" s="76" t="s">
        <v>926</v>
      </c>
      <c r="AA536" s="76">
        <f>STOCK[[#This Row],[Costo total]]*STOCK[[#This Row],[Entradas]]</f>
        <v>22.1389705882353</v>
      </c>
      <c r="AB536" s="76">
        <f>STOCK[[#This Row],[Stock Actual]]*STOCK[[#This Row],[Costo total]]</f>
        <v>0</v>
      </c>
    </row>
    <row r="537" s="77" customFormat="1" ht="50" customHeight="1" spans="1:28">
      <c r="A537" s="77" t="s">
        <v>1097</v>
      </c>
      <c r="B537" s="6"/>
      <c r="C537" s="77" t="s">
        <v>30</v>
      </c>
      <c r="D537" s="77" t="s">
        <v>36</v>
      </c>
      <c r="E537" s="77" t="s">
        <v>1096</v>
      </c>
      <c r="F537" s="77" t="s">
        <v>40</v>
      </c>
      <c r="G537" s="77" t="s">
        <v>34</v>
      </c>
      <c r="H537" s="77">
        <f>STOCK[[#This Row],[Precio Final]]</f>
        <v>28</v>
      </c>
      <c r="I537" s="77">
        <f>STOCK[[#This Row],[Precio Venta Ideal (x1.5)]]</f>
        <v>33.208455882353</v>
      </c>
      <c r="J537" s="92">
        <v>2</v>
      </c>
      <c r="K537" s="92">
        <f>SUMIFS(VENTAS[Cantidad],VENTAS[Código del producto Vendido],STOCK[[#This Row],[Code]])</f>
        <v>2</v>
      </c>
      <c r="L537" s="92">
        <f>STOCK[[#This Row],[Entradas]]-STOCK[[#This Row],[Salidas]]</f>
        <v>0</v>
      </c>
      <c r="M537" s="77">
        <f>STOCK[[#This Row],[Precio Final]]*10%</f>
        <v>2.8</v>
      </c>
      <c r="N537" s="77">
        <v>241</v>
      </c>
      <c r="O537" s="77">
        <v>17</v>
      </c>
      <c r="P537" s="77">
        <v>14.1764705882353</v>
      </c>
      <c r="Q537" s="92">
        <v>295</v>
      </c>
      <c r="R537" s="77">
        <v>17.5</v>
      </c>
      <c r="S537" s="77">
        <f>STOCK[[#This Row],[Peso (g)]]*STOCK[[#This Row],[Precio Envío Kilogramo (USD)]]/1000</f>
        <v>5.1625</v>
      </c>
      <c r="T537" s="76">
        <f>STOCK[[#This Row],[Costo Unitario (USD)]]+STOCK[[#This Row],[Costo Envío (USD)]]+STOCK[[#This Row],[Comisión 10%]]</f>
        <v>22.1389705882353</v>
      </c>
      <c r="U537" s="77">
        <f>STOCK[[#This Row],[Costo total]]*1.5</f>
        <v>33.208455882353</v>
      </c>
      <c r="V537" s="77">
        <v>28</v>
      </c>
      <c r="W537" s="77">
        <f>STOCK[[#This Row],[Precio Final]]-STOCK[[#This Row],[Costo total]]</f>
        <v>5.8610294117647</v>
      </c>
      <c r="X537" s="77">
        <f>STOCK[[#This Row],[Ganancia Unitaria]]*STOCK[[#This Row],[Salidas]]</f>
        <v>11.7220588235294</v>
      </c>
      <c r="Y537" s="77" t="s">
        <v>926</v>
      </c>
      <c r="AA537" s="77">
        <f>STOCK[[#This Row],[Costo total]]*STOCK[[#This Row],[Entradas]]</f>
        <v>44.2779411764706</v>
      </c>
      <c r="AB537" s="77">
        <f>STOCK[[#This Row],[Stock Actual]]*STOCK[[#This Row],[Costo total]]</f>
        <v>0</v>
      </c>
    </row>
    <row r="538" s="76" customFormat="1" ht="50" customHeight="1" spans="1:28">
      <c r="A538" s="76" t="s">
        <v>1098</v>
      </c>
      <c r="B538" s="6"/>
      <c r="C538" s="76" t="s">
        <v>30</v>
      </c>
      <c r="D538" s="76" t="s">
        <v>514</v>
      </c>
      <c r="E538" s="76" t="s">
        <v>1099</v>
      </c>
      <c r="F538" s="76" t="s">
        <v>764</v>
      </c>
      <c r="G538" s="76" t="s">
        <v>34</v>
      </c>
      <c r="H538" s="76">
        <f>STOCK[[#This Row],[Precio Final]]</f>
        <v>35</v>
      </c>
      <c r="I538" s="76">
        <f>STOCK[[#This Row],[Precio Venta Ideal (x1.5)]]</f>
        <v>45.5294117647059</v>
      </c>
      <c r="J538" s="91">
        <v>2</v>
      </c>
      <c r="K538" s="91">
        <f>SUMIFS(VENTAS[Cantidad],VENTAS[Código del producto Vendido],STOCK[[#This Row],[Code]])</f>
        <v>1</v>
      </c>
      <c r="L538" s="91">
        <f>STOCK[[#This Row],[Entradas]]-STOCK[[#This Row],[Salidas]]</f>
        <v>1</v>
      </c>
      <c r="M538" s="76">
        <f>STOCK[[#This Row],[Precio Final]]*10%</f>
        <v>3.5</v>
      </c>
      <c r="N538" s="76">
        <v>278</v>
      </c>
      <c r="O538" s="76">
        <v>17</v>
      </c>
      <c r="P538" s="76">
        <v>16.3529411764706</v>
      </c>
      <c r="Q538" s="91">
        <v>600</v>
      </c>
      <c r="R538" s="76">
        <v>17.5</v>
      </c>
      <c r="S538" s="76">
        <f>STOCK[[#This Row],[Peso (g)]]*STOCK[[#This Row],[Precio Envío Kilogramo (USD)]]/1000</f>
        <v>10.5</v>
      </c>
      <c r="T538" s="76">
        <f>STOCK[[#This Row],[Costo Unitario (USD)]]+STOCK[[#This Row],[Costo Envío (USD)]]+STOCK[[#This Row],[Comisión 10%]]</f>
        <v>30.3529411764706</v>
      </c>
      <c r="U538" s="76">
        <f>STOCK[[#This Row],[Costo total]]*1.5</f>
        <v>45.5294117647059</v>
      </c>
      <c r="V538" s="76">
        <v>35</v>
      </c>
      <c r="W538" s="76">
        <f>STOCK[[#This Row],[Precio Final]]-STOCK[[#This Row],[Costo total]]</f>
        <v>4.6470588235294</v>
      </c>
      <c r="X538" s="76">
        <f>STOCK[[#This Row],[Ganancia Unitaria]]*STOCK[[#This Row],[Salidas]]</f>
        <v>4.6470588235294</v>
      </c>
      <c r="AA538" s="76">
        <f>STOCK[[#This Row],[Costo total]]*STOCK[[#This Row],[Entradas]]</f>
        <v>60.7058823529412</v>
      </c>
      <c r="AB538" s="76">
        <f>STOCK[[#This Row],[Stock Actual]]*STOCK[[#This Row],[Costo total]]</f>
        <v>30.3529411764706</v>
      </c>
    </row>
    <row r="539" s="76" customFormat="1" ht="50" customHeight="1" spans="1:28">
      <c r="A539" s="76" t="s">
        <v>1100</v>
      </c>
      <c r="B539" s="6"/>
      <c r="C539" s="76" t="s">
        <v>30</v>
      </c>
      <c r="D539" s="76" t="s">
        <v>514</v>
      </c>
      <c r="E539" s="76" t="s">
        <v>1099</v>
      </c>
      <c r="F539" s="76" t="s">
        <v>762</v>
      </c>
      <c r="G539" s="76" t="s">
        <v>34</v>
      </c>
      <c r="H539" s="76">
        <f>STOCK[[#This Row],[Precio Final]]</f>
        <v>40</v>
      </c>
      <c r="I539" s="76">
        <f>STOCK[[#This Row],[Precio Venta Ideal (x1.5)]]</f>
        <v>46.2794117647059</v>
      </c>
      <c r="J539" s="91">
        <v>2</v>
      </c>
      <c r="K539" s="91">
        <f>SUMIFS(VENTAS[Cantidad],VENTAS[Código del producto Vendido],STOCK[[#This Row],[Code]])</f>
        <v>2</v>
      </c>
      <c r="L539" s="91">
        <f>STOCK[[#This Row],[Entradas]]-STOCK[[#This Row],[Salidas]]</f>
        <v>0</v>
      </c>
      <c r="M539" s="76">
        <f>STOCK[[#This Row],[Precio Final]]*10%</f>
        <v>4</v>
      </c>
      <c r="N539" s="76">
        <v>278</v>
      </c>
      <c r="O539" s="76">
        <v>17</v>
      </c>
      <c r="P539" s="76">
        <v>16.3529411764706</v>
      </c>
      <c r="Q539" s="91">
        <v>600</v>
      </c>
      <c r="R539" s="76">
        <v>17.5</v>
      </c>
      <c r="S539" s="76">
        <f>STOCK[[#This Row],[Peso (g)]]*STOCK[[#This Row],[Precio Envío Kilogramo (USD)]]/1000</f>
        <v>10.5</v>
      </c>
      <c r="T539" s="76">
        <f>STOCK[[#This Row],[Costo Unitario (USD)]]+STOCK[[#This Row],[Costo Envío (USD)]]+STOCK[[#This Row],[Comisión 10%]]</f>
        <v>30.8529411764706</v>
      </c>
      <c r="U539" s="76">
        <f>STOCK[[#This Row],[Costo total]]*1.5</f>
        <v>46.2794117647059</v>
      </c>
      <c r="V539" s="76">
        <v>40</v>
      </c>
      <c r="W539" s="76">
        <f>STOCK[[#This Row],[Precio Final]]-STOCK[[#This Row],[Costo total]]</f>
        <v>9.1470588235294</v>
      </c>
      <c r="X539" s="76">
        <f>STOCK[[#This Row],[Ganancia Unitaria]]*STOCK[[#This Row],[Salidas]]</f>
        <v>18.2941176470588</v>
      </c>
      <c r="AA539" s="76">
        <f>STOCK[[#This Row],[Costo total]]*STOCK[[#This Row],[Entradas]]</f>
        <v>61.7058823529412</v>
      </c>
      <c r="AB539" s="76">
        <f>STOCK[[#This Row],[Stock Actual]]*STOCK[[#This Row],[Costo total]]</f>
        <v>0</v>
      </c>
    </row>
    <row r="540" s="77" customFormat="1" ht="50" customHeight="1" spans="1:28">
      <c r="A540" s="77" t="s">
        <v>1101</v>
      </c>
      <c r="B540" s="6"/>
      <c r="C540" s="77" t="s">
        <v>30</v>
      </c>
      <c r="D540" s="76" t="s">
        <v>514</v>
      </c>
      <c r="E540" s="77" t="s">
        <v>1099</v>
      </c>
      <c r="F540" s="77" t="s">
        <v>539</v>
      </c>
      <c r="G540" s="77" t="s">
        <v>34</v>
      </c>
      <c r="H540" s="77">
        <f>STOCK[[#This Row],[Precio Final]]</f>
        <v>35</v>
      </c>
      <c r="I540" s="77">
        <f>STOCK[[#This Row],[Precio Venta Ideal (x1.5)]]</f>
        <v>45.5294117647059</v>
      </c>
      <c r="J540" s="92">
        <v>2</v>
      </c>
      <c r="K540" s="92">
        <f>SUMIFS(VENTAS[Cantidad],VENTAS[Código del producto Vendido],STOCK[[#This Row],[Code]])</f>
        <v>2</v>
      </c>
      <c r="L540" s="92">
        <f>STOCK[[#This Row],[Entradas]]-STOCK[[#This Row],[Salidas]]</f>
        <v>0</v>
      </c>
      <c r="M540" s="77">
        <f>STOCK[[#This Row],[Precio Final]]*10%</f>
        <v>3.5</v>
      </c>
      <c r="N540" s="77">
        <v>278</v>
      </c>
      <c r="O540" s="77">
        <v>17</v>
      </c>
      <c r="P540" s="77">
        <v>16.3529411764706</v>
      </c>
      <c r="Q540" s="92">
        <v>600</v>
      </c>
      <c r="R540" s="77">
        <v>17.5</v>
      </c>
      <c r="S540" s="77">
        <f>STOCK[[#This Row],[Peso (g)]]*STOCK[[#This Row],[Precio Envío Kilogramo (USD)]]/1000</f>
        <v>10.5</v>
      </c>
      <c r="T540" s="76">
        <f>STOCK[[#This Row],[Costo Unitario (USD)]]+STOCK[[#This Row],[Costo Envío (USD)]]+STOCK[[#This Row],[Comisión 10%]]</f>
        <v>30.3529411764706</v>
      </c>
      <c r="U540" s="77">
        <f>STOCK[[#This Row],[Costo total]]*1.5</f>
        <v>45.5294117647059</v>
      </c>
      <c r="V540" s="77">
        <v>35</v>
      </c>
      <c r="W540" s="77">
        <f>STOCK[[#This Row],[Precio Final]]-STOCK[[#This Row],[Costo total]]</f>
        <v>4.6470588235294</v>
      </c>
      <c r="X540" s="77">
        <f>STOCK[[#This Row],[Ganancia Unitaria]]*STOCK[[#This Row],[Salidas]]</f>
        <v>9.2941176470588</v>
      </c>
      <c r="AA540" s="77">
        <f>STOCK[[#This Row],[Costo total]]*STOCK[[#This Row],[Entradas]]</f>
        <v>60.7058823529412</v>
      </c>
      <c r="AB540" s="77">
        <f>STOCK[[#This Row],[Stock Actual]]*STOCK[[#This Row],[Costo total]]</f>
        <v>0</v>
      </c>
    </row>
    <row r="541" s="76" customFormat="1" ht="50" customHeight="1" spans="1:28">
      <c r="A541" s="76" t="s">
        <v>1102</v>
      </c>
      <c r="B541" s="6"/>
      <c r="C541" s="76" t="s">
        <v>30</v>
      </c>
      <c r="D541" s="76" t="s">
        <v>301</v>
      </c>
      <c r="E541" s="76" t="s">
        <v>1103</v>
      </c>
      <c r="F541" s="76" t="s">
        <v>47</v>
      </c>
      <c r="G541" s="76" t="s">
        <v>34</v>
      </c>
      <c r="H541" s="76">
        <f>STOCK[[#This Row],[Precio Final]]</f>
        <v>22</v>
      </c>
      <c r="I541" s="76">
        <f>STOCK[[#This Row],[Precio Venta Ideal (x1.5)]]</f>
        <v>25.1227941176471</v>
      </c>
      <c r="J541" s="91">
        <v>1</v>
      </c>
      <c r="K541" s="91">
        <f>SUMIFS(VENTAS[Cantidad],VENTAS[Código del producto Vendido],STOCK[[#This Row],[Code]])</f>
        <v>1</v>
      </c>
      <c r="L541" s="91">
        <f>STOCK[[#This Row],[Entradas]]-STOCK[[#This Row],[Salidas]]</f>
        <v>0</v>
      </c>
      <c r="M541" s="76">
        <f>STOCK[[#This Row],[Precio Final]]*10%</f>
        <v>2.2</v>
      </c>
      <c r="N541" s="76">
        <v>167</v>
      </c>
      <c r="O541" s="76">
        <v>17</v>
      </c>
      <c r="P541" s="76">
        <v>9.82352941176471</v>
      </c>
      <c r="Q541" s="91">
        <v>270</v>
      </c>
      <c r="R541" s="76">
        <v>17.5</v>
      </c>
      <c r="S541" s="76">
        <f>STOCK[[#This Row],[Peso (g)]]*STOCK[[#This Row],[Precio Envío Kilogramo (USD)]]/1000</f>
        <v>4.725</v>
      </c>
      <c r="T541" s="76">
        <f>STOCK[[#This Row],[Costo Unitario (USD)]]+STOCK[[#This Row],[Costo Envío (USD)]]+STOCK[[#This Row],[Comisión 10%]]</f>
        <v>16.7485294117647</v>
      </c>
      <c r="U541" s="76">
        <f>STOCK[[#This Row],[Costo total]]*1.5</f>
        <v>25.1227941176471</v>
      </c>
      <c r="V541" s="76">
        <v>22</v>
      </c>
      <c r="W541" s="76">
        <f>STOCK[[#This Row],[Precio Final]]-STOCK[[#This Row],[Costo total]]</f>
        <v>5.25147058823529</v>
      </c>
      <c r="X541" s="76">
        <f>STOCK[[#This Row],[Ganancia Unitaria]]*STOCK[[#This Row],[Salidas]]</f>
        <v>5.25147058823529</v>
      </c>
      <c r="Y541" s="76" t="s">
        <v>926</v>
      </c>
      <c r="AA541" s="76">
        <f>STOCK[[#This Row],[Costo total]]*STOCK[[#This Row],[Entradas]]</f>
        <v>16.7485294117647</v>
      </c>
      <c r="AB541" s="76">
        <f>STOCK[[#This Row],[Stock Actual]]*STOCK[[#This Row],[Costo total]]</f>
        <v>0</v>
      </c>
    </row>
    <row r="542" s="77" customFormat="1" ht="50" customHeight="1" spans="1:28">
      <c r="A542" s="77" t="s">
        <v>1104</v>
      </c>
      <c r="B542" s="6"/>
      <c r="C542" s="77" t="s">
        <v>30</v>
      </c>
      <c r="D542" s="77" t="s">
        <v>301</v>
      </c>
      <c r="E542" s="77" t="s">
        <v>1103</v>
      </c>
      <c r="F542" s="77" t="s">
        <v>44</v>
      </c>
      <c r="G542" s="77" t="s">
        <v>34</v>
      </c>
      <c r="H542" s="77">
        <f>STOCK[[#This Row],[Precio Final]]</f>
        <v>25</v>
      </c>
      <c r="I542" s="77">
        <f>STOCK[[#This Row],[Precio Venta Ideal (x1.5)]]</f>
        <v>25.5727941176471</v>
      </c>
      <c r="J542" s="92">
        <v>2</v>
      </c>
      <c r="K542" s="92">
        <f>SUMIFS(VENTAS[Cantidad],VENTAS[Código del producto Vendido],STOCK[[#This Row],[Code]])</f>
        <v>2</v>
      </c>
      <c r="L542" s="92">
        <f>STOCK[[#This Row],[Entradas]]-STOCK[[#This Row],[Salidas]]</f>
        <v>0</v>
      </c>
      <c r="M542" s="77">
        <f>STOCK[[#This Row],[Precio Final]]*10%</f>
        <v>2.5</v>
      </c>
      <c r="N542" s="77">
        <v>167</v>
      </c>
      <c r="O542" s="77">
        <v>17</v>
      </c>
      <c r="P542" s="77">
        <v>9.82352941176471</v>
      </c>
      <c r="Q542" s="92">
        <v>270</v>
      </c>
      <c r="R542" s="77">
        <v>17.5</v>
      </c>
      <c r="S542" s="77">
        <f>STOCK[[#This Row],[Peso (g)]]*STOCK[[#This Row],[Precio Envío Kilogramo (USD)]]/1000</f>
        <v>4.725</v>
      </c>
      <c r="T542" s="76">
        <f>STOCK[[#This Row],[Costo Unitario (USD)]]+STOCK[[#This Row],[Costo Envío (USD)]]+STOCK[[#This Row],[Comisión 10%]]</f>
        <v>17.0485294117647</v>
      </c>
      <c r="U542" s="77">
        <f>STOCK[[#This Row],[Costo total]]*1.5</f>
        <v>25.5727941176471</v>
      </c>
      <c r="V542" s="77">
        <v>25</v>
      </c>
      <c r="W542" s="77">
        <f>STOCK[[#This Row],[Precio Final]]-STOCK[[#This Row],[Costo total]]</f>
        <v>7.95147058823529</v>
      </c>
      <c r="X542" s="77">
        <f>STOCK[[#This Row],[Ganancia Unitaria]]*STOCK[[#This Row],[Salidas]]</f>
        <v>15.9029411764706</v>
      </c>
      <c r="Y542" s="77" t="s">
        <v>926</v>
      </c>
      <c r="AA542" s="77">
        <f>STOCK[[#This Row],[Costo total]]*STOCK[[#This Row],[Entradas]]</f>
        <v>34.0970588235294</v>
      </c>
      <c r="AB542" s="77">
        <f>STOCK[[#This Row],[Stock Actual]]*STOCK[[#This Row],[Costo total]]</f>
        <v>0</v>
      </c>
    </row>
    <row r="543" s="76" customFormat="1" ht="50" customHeight="1" spans="1:28">
      <c r="A543" s="76" t="s">
        <v>1105</v>
      </c>
      <c r="B543" s="6"/>
      <c r="C543" s="76" t="s">
        <v>30</v>
      </c>
      <c r="D543" s="76" t="s">
        <v>301</v>
      </c>
      <c r="E543" s="76" t="s">
        <v>1106</v>
      </c>
      <c r="F543" s="76" t="s">
        <v>1107</v>
      </c>
      <c r="G543" s="76" t="s">
        <v>34</v>
      </c>
      <c r="H543" s="76">
        <f>STOCK[[#This Row],[Precio Final]]</f>
        <v>28</v>
      </c>
      <c r="I543" s="76">
        <f>STOCK[[#This Row],[Precio Venta Ideal (x1.5)]]</f>
        <v>31.8419117647059</v>
      </c>
      <c r="J543" s="91">
        <v>1</v>
      </c>
      <c r="K543" s="91">
        <f>SUMIFS(VENTAS[Cantidad],VENTAS[Código del producto Vendido],STOCK[[#This Row],[Code]])</f>
        <v>1</v>
      </c>
      <c r="L543" s="91">
        <f>STOCK[[#This Row],[Entradas]]-STOCK[[#This Row],[Salidas]]</f>
        <v>0</v>
      </c>
      <c r="M543" s="76">
        <f>STOCK[[#This Row],[Precio Final]]*10%</f>
        <v>2.8</v>
      </c>
      <c r="N543" s="76">
        <v>227</v>
      </c>
      <c r="O543" s="76">
        <v>17</v>
      </c>
      <c r="P543" s="76">
        <v>13.3529411764706</v>
      </c>
      <c r="Q543" s="91">
        <v>290</v>
      </c>
      <c r="R543" s="76">
        <v>17.5</v>
      </c>
      <c r="S543" s="76">
        <f>STOCK[[#This Row],[Peso (g)]]*STOCK[[#This Row],[Precio Envío Kilogramo (USD)]]/1000</f>
        <v>5.075</v>
      </c>
      <c r="T543" s="76">
        <f>STOCK[[#This Row],[Costo Unitario (USD)]]+STOCK[[#This Row],[Costo Envío (USD)]]+STOCK[[#This Row],[Comisión 10%]]</f>
        <v>21.2279411764706</v>
      </c>
      <c r="U543" s="76">
        <f>STOCK[[#This Row],[Costo total]]*1.5</f>
        <v>31.8419117647059</v>
      </c>
      <c r="V543" s="76">
        <v>28</v>
      </c>
      <c r="W543" s="76">
        <f>STOCK[[#This Row],[Precio Final]]-STOCK[[#This Row],[Costo total]]</f>
        <v>6.7720588235294</v>
      </c>
      <c r="X543" s="76">
        <f>STOCK[[#This Row],[Ganancia Unitaria]]*STOCK[[#This Row],[Salidas]]</f>
        <v>6.7720588235294</v>
      </c>
      <c r="AA543" s="76">
        <f>STOCK[[#This Row],[Costo total]]*STOCK[[#This Row],[Entradas]]</f>
        <v>21.2279411764706</v>
      </c>
      <c r="AB543" s="76">
        <f>STOCK[[#This Row],[Stock Actual]]*STOCK[[#This Row],[Costo total]]</f>
        <v>0</v>
      </c>
    </row>
    <row r="544" s="77" customFormat="1" ht="50" customHeight="1" spans="1:28">
      <c r="A544" s="77" t="s">
        <v>1108</v>
      </c>
      <c r="B544" s="6"/>
      <c r="C544" s="77" t="s">
        <v>30</v>
      </c>
      <c r="D544" s="77" t="s">
        <v>301</v>
      </c>
      <c r="E544" s="77" t="s">
        <v>1109</v>
      </c>
      <c r="F544" s="77" t="s">
        <v>47</v>
      </c>
      <c r="G544" s="77" t="s">
        <v>34</v>
      </c>
      <c r="H544" s="77">
        <f>STOCK[[#This Row],[Precio Final]]</f>
        <v>30</v>
      </c>
      <c r="I544" s="77">
        <f>STOCK[[#This Row],[Precio Venta Ideal (x1.5)]]</f>
        <v>32.1419117647059</v>
      </c>
      <c r="J544" s="92">
        <v>1</v>
      </c>
      <c r="K544" s="92">
        <f>SUMIFS(VENTAS[Cantidad],VENTAS[Código del producto Vendido],STOCK[[#This Row],[Code]])</f>
        <v>1</v>
      </c>
      <c r="L544" s="92">
        <f>STOCK[[#This Row],[Entradas]]-STOCK[[#This Row],[Salidas]]</f>
        <v>0</v>
      </c>
      <c r="M544" s="77">
        <f>STOCK[[#This Row],[Precio Final]]*10%</f>
        <v>3</v>
      </c>
      <c r="N544" s="77">
        <v>227</v>
      </c>
      <c r="O544" s="77">
        <v>17</v>
      </c>
      <c r="P544" s="77">
        <v>13.3529411764706</v>
      </c>
      <c r="Q544" s="92">
        <v>290</v>
      </c>
      <c r="R544" s="77">
        <v>17.5</v>
      </c>
      <c r="S544" s="77">
        <f>STOCK[[#This Row],[Peso (g)]]*STOCK[[#This Row],[Precio Envío Kilogramo (USD)]]/1000</f>
        <v>5.075</v>
      </c>
      <c r="T544" s="76">
        <f>STOCK[[#This Row],[Costo Unitario (USD)]]+STOCK[[#This Row],[Costo Envío (USD)]]+STOCK[[#This Row],[Comisión 10%]]</f>
        <v>21.4279411764706</v>
      </c>
      <c r="U544" s="77">
        <f>STOCK[[#This Row],[Costo total]]*1.5</f>
        <v>32.1419117647059</v>
      </c>
      <c r="V544" s="77">
        <v>30</v>
      </c>
      <c r="W544" s="77">
        <f>STOCK[[#This Row],[Precio Final]]-STOCK[[#This Row],[Costo total]]</f>
        <v>8.5720588235294</v>
      </c>
      <c r="X544" s="77">
        <f>STOCK[[#This Row],[Ganancia Unitaria]]*STOCK[[#This Row],[Salidas]]</f>
        <v>8.5720588235294</v>
      </c>
      <c r="AA544" s="77">
        <f>STOCK[[#This Row],[Costo total]]*STOCK[[#This Row],[Entradas]]</f>
        <v>21.4279411764706</v>
      </c>
      <c r="AB544" s="77">
        <f>STOCK[[#This Row],[Stock Actual]]*STOCK[[#This Row],[Costo total]]</f>
        <v>0</v>
      </c>
    </row>
    <row r="545" s="76" customFormat="1" ht="50" customHeight="1" spans="1:28">
      <c r="A545" s="76" t="s">
        <v>1110</v>
      </c>
      <c r="B545" s="6"/>
      <c r="C545" s="76" t="s">
        <v>30</v>
      </c>
      <c r="D545" s="76" t="s">
        <v>301</v>
      </c>
      <c r="E545" s="76" t="s">
        <v>1109</v>
      </c>
      <c r="F545" s="76" t="s">
        <v>44</v>
      </c>
      <c r="G545" s="76" t="s">
        <v>34</v>
      </c>
      <c r="H545" s="76">
        <f>STOCK[[#This Row],[Precio Final]]</f>
        <v>22</v>
      </c>
      <c r="I545" s="76">
        <f>STOCK[[#This Row],[Precio Venta Ideal (x1.5)]]</f>
        <v>30.9419117647059</v>
      </c>
      <c r="J545" s="91">
        <v>1</v>
      </c>
      <c r="K545" s="91">
        <f>SUMIFS(VENTAS[Cantidad],VENTAS[Código del producto Vendido],STOCK[[#This Row],[Code]])</f>
        <v>1</v>
      </c>
      <c r="L545" s="91">
        <f>STOCK[[#This Row],[Entradas]]-STOCK[[#This Row],[Salidas]]</f>
        <v>0</v>
      </c>
      <c r="M545" s="76">
        <f>STOCK[[#This Row],[Precio Final]]*10%</f>
        <v>2.2</v>
      </c>
      <c r="N545" s="76">
        <v>227</v>
      </c>
      <c r="O545" s="76">
        <v>17</v>
      </c>
      <c r="P545" s="76">
        <v>13.3529411764706</v>
      </c>
      <c r="Q545" s="91">
        <v>290</v>
      </c>
      <c r="R545" s="76">
        <v>17.5</v>
      </c>
      <c r="S545" s="76">
        <f>STOCK[[#This Row],[Peso (g)]]*STOCK[[#This Row],[Precio Envío Kilogramo (USD)]]/1000</f>
        <v>5.075</v>
      </c>
      <c r="T545" s="76">
        <f>STOCK[[#This Row],[Costo Unitario (USD)]]+STOCK[[#This Row],[Costo Envío (USD)]]+STOCK[[#This Row],[Comisión 10%]]</f>
        <v>20.6279411764706</v>
      </c>
      <c r="U545" s="76">
        <f>STOCK[[#This Row],[Costo total]]*1.5</f>
        <v>30.9419117647059</v>
      </c>
      <c r="V545" s="76">
        <v>22</v>
      </c>
      <c r="W545" s="76">
        <f>STOCK[[#This Row],[Precio Final]]-STOCK[[#This Row],[Costo total]]</f>
        <v>1.3720588235294</v>
      </c>
      <c r="X545" s="76">
        <f>STOCK[[#This Row],[Ganancia Unitaria]]*STOCK[[#This Row],[Salidas]]</f>
        <v>1.3720588235294</v>
      </c>
      <c r="AA545" s="76">
        <f>STOCK[[#This Row],[Costo total]]*STOCK[[#This Row],[Entradas]]</f>
        <v>20.6279411764706</v>
      </c>
      <c r="AB545" s="76">
        <f>STOCK[[#This Row],[Stock Actual]]*STOCK[[#This Row],[Costo total]]</f>
        <v>0</v>
      </c>
    </row>
    <row r="546" s="77" customFormat="1" ht="50" customHeight="1" spans="1:28">
      <c r="A546" s="77" t="s">
        <v>1111</v>
      </c>
      <c r="B546" s="6"/>
      <c r="C546" s="77" t="s">
        <v>30</v>
      </c>
      <c r="D546" s="77" t="s">
        <v>350</v>
      </c>
      <c r="E546" s="77" t="s">
        <v>1112</v>
      </c>
      <c r="F546" s="77" t="s">
        <v>393</v>
      </c>
      <c r="G546" s="77" t="s">
        <v>34</v>
      </c>
      <c r="H546" s="77">
        <f>STOCK[[#This Row],[Precio Final]]</f>
        <v>20</v>
      </c>
      <c r="I546" s="77">
        <f>STOCK[[#This Row],[Precio Venta Ideal (x1.5)]]</f>
        <v>20.7430147058824</v>
      </c>
      <c r="J546" s="92">
        <v>2</v>
      </c>
      <c r="K546" s="92">
        <f>SUMIFS(VENTAS[Cantidad],VENTAS[Código del producto Vendido],STOCK[[#This Row],[Code]])</f>
        <v>2</v>
      </c>
      <c r="L546" s="92">
        <f>STOCK[[#This Row],[Entradas]]-STOCK[[#This Row],[Salidas]]</f>
        <v>0</v>
      </c>
      <c r="M546" s="77">
        <f>STOCK[[#This Row],[Precio Final]]*10%</f>
        <v>2</v>
      </c>
      <c r="N546" s="77">
        <v>152</v>
      </c>
      <c r="O546" s="77">
        <v>17</v>
      </c>
      <c r="P546" s="77">
        <v>8.94117647058824</v>
      </c>
      <c r="Q546" s="92">
        <v>165</v>
      </c>
      <c r="R546" s="77">
        <v>17.5</v>
      </c>
      <c r="S546" s="77">
        <f>STOCK[[#This Row],[Peso (g)]]*STOCK[[#This Row],[Precio Envío Kilogramo (USD)]]/1000</f>
        <v>2.8875</v>
      </c>
      <c r="T546" s="76">
        <f>STOCK[[#This Row],[Costo Unitario (USD)]]+STOCK[[#This Row],[Costo Envío (USD)]]+STOCK[[#This Row],[Comisión 10%]]</f>
        <v>13.8286764705882</v>
      </c>
      <c r="U546" s="77">
        <f>STOCK[[#This Row],[Costo total]]*1.5</f>
        <v>20.7430147058824</v>
      </c>
      <c r="V546" s="77">
        <v>20</v>
      </c>
      <c r="W546" s="77">
        <f>STOCK[[#This Row],[Precio Final]]-STOCK[[#This Row],[Costo total]]</f>
        <v>6.17132352941176</v>
      </c>
      <c r="X546" s="77">
        <f>STOCK[[#This Row],[Ganancia Unitaria]]*STOCK[[#This Row],[Salidas]]</f>
        <v>12.3426470588235</v>
      </c>
      <c r="AA546" s="77">
        <f>STOCK[[#This Row],[Costo total]]*STOCK[[#This Row],[Entradas]]</f>
        <v>27.6573529411765</v>
      </c>
      <c r="AB546" s="77">
        <f>STOCK[[#This Row],[Stock Actual]]*STOCK[[#This Row],[Costo total]]</f>
        <v>0</v>
      </c>
    </row>
    <row r="547" s="76" customFormat="1" ht="50" customHeight="1" spans="1:28">
      <c r="A547" s="76" t="s">
        <v>1113</v>
      </c>
      <c r="B547" s="6"/>
      <c r="C547" s="76" t="s">
        <v>30</v>
      </c>
      <c r="D547" s="76" t="s">
        <v>1114</v>
      </c>
      <c r="E547" s="76" t="s">
        <v>1115</v>
      </c>
      <c r="F547" s="76" t="s">
        <v>204</v>
      </c>
      <c r="G547" s="76" t="s">
        <v>34</v>
      </c>
      <c r="H547" s="76">
        <f>STOCK[[#This Row],[Precio Final]]</f>
        <v>12</v>
      </c>
      <c r="I547" s="76">
        <f>STOCK[[#This Row],[Precio Venta Ideal (x1.5)]]</f>
        <v>11.4452205882353</v>
      </c>
      <c r="J547" s="91">
        <v>1</v>
      </c>
      <c r="K547" s="91">
        <f>SUMIFS(VENTAS[Cantidad],VENTAS[Código del producto Vendido],STOCK[[#This Row],[Code]])</f>
        <v>1</v>
      </c>
      <c r="L547" s="91">
        <f>STOCK[[#This Row],[Entradas]]-STOCK[[#This Row],[Salidas]]</f>
        <v>0</v>
      </c>
      <c r="M547" s="76">
        <f>STOCK[[#This Row],[Precio Final]]*10%</f>
        <v>1.2</v>
      </c>
      <c r="N547" s="76">
        <v>87</v>
      </c>
      <c r="O547" s="76">
        <v>17</v>
      </c>
      <c r="P547" s="76">
        <v>5.11764705882353</v>
      </c>
      <c r="Q547" s="91">
        <v>75</v>
      </c>
      <c r="R547" s="76">
        <v>17.5</v>
      </c>
      <c r="S547" s="76">
        <f>STOCK[[#This Row],[Peso (g)]]*STOCK[[#This Row],[Precio Envío Kilogramo (USD)]]/1000</f>
        <v>1.3125</v>
      </c>
      <c r="T547" s="76">
        <f>STOCK[[#This Row],[Costo Unitario (USD)]]+STOCK[[#This Row],[Costo Envío (USD)]]+STOCK[[#This Row],[Comisión 10%]]</f>
        <v>7.63014705882353</v>
      </c>
      <c r="U547" s="76">
        <f>STOCK[[#This Row],[Costo total]]*1.5</f>
        <v>11.4452205882353</v>
      </c>
      <c r="V547" s="76">
        <v>12</v>
      </c>
      <c r="W547" s="76">
        <f>STOCK[[#This Row],[Precio Final]]-STOCK[[#This Row],[Costo total]]</f>
        <v>4.36985294117647</v>
      </c>
      <c r="X547" s="76">
        <f>STOCK[[#This Row],[Ganancia Unitaria]]*STOCK[[#This Row],[Salidas]]</f>
        <v>4.36985294117647</v>
      </c>
      <c r="Y547" s="76" t="s">
        <v>926</v>
      </c>
      <c r="AA547" s="76">
        <f>STOCK[[#This Row],[Costo total]]*STOCK[[#This Row],[Entradas]]</f>
        <v>7.63014705882353</v>
      </c>
      <c r="AB547" s="76">
        <f>STOCK[[#This Row],[Stock Actual]]*STOCK[[#This Row],[Costo total]]</f>
        <v>0</v>
      </c>
    </row>
    <row r="548" s="77" customFormat="1" ht="50" customHeight="1" spans="1:28">
      <c r="A548" s="77" t="s">
        <v>1116</v>
      </c>
      <c r="B548" s="6"/>
      <c r="C548" s="77" t="s">
        <v>30</v>
      </c>
      <c r="D548" s="77" t="s">
        <v>545</v>
      </c>
      <c r="E548" s="77" t="s">
        <v>1117</v>
      </c>
      <c r="F548" s="77" t="s">
        <v>714</v>
      </c>
      <c r="G548" s="77" t="s">
        <v>34</v>
      </c>
      <c r="H548" s="77">
        <f>STOCK[[#This Row],[Precio Final]]</f>
        <v>12</v>
      </c>
      <c r="I548" s="77">
        <f>STOCK[[#This Row],[Precio Venta Ideal (x1.5)]]</f>
        <v>11.4452205882353</v>
      </c>
      <c r="J548" s="92">
        <v>1</v>
      </c>
      <c r="K548" s="92">
        <f>SUMIFS(VENTAS[Cantidad],VENTAS[Código del producto Vendido],STOCK[[#This Row],[Code]])</f>
        <v>0</v>
      </c>
      <c r="L548" s="92">
        <f>STOCK[[#This Row],[Entradas]]-STOCK[[#This Row],[Salidas]]</f>
        <v>1</v>
      </c>
      <c r="M548" s="77">
        <f>STOCK[[#This Row],[Precio Final]]*10%</f>
        <v>1.2</v>
      </c>
      <c r="N548" s="77">
        <v>87</v>
      </c>
      <c r="O548" s="77">
        <v>17</v>
      </c>
      <c r="P548" s="77">
        <v>5.11764705882353</v>
      </c>
      <c r="Q548" s="92">
        <v>75</v>
      </c>
      <c r="R548" s="77">
        <v>17.5</v>
      </c>
      <c r="S548" s="77">
        <f>STOCK[[#This Row],[Peso (g)]]*STOCK[[#This Row],[Precio Envío Kilogramo (USD)]]/1000</f>
        <v>1.3125</v>
      </c>
      <c r="T548" s="76">
        <f>STOCK[[#This Row],[Costo Unitario (USD)]]+STOCK[[#This Row],[Costo Envío (USD)]]+STOCK[[#This Row],[Comisión 10%]]</f>
        <v>7.63014705882353</v>
      </c>
      <c r="U548" s="77">
        <f>STOCK[[#This Row],[Costo total]]*1.5</f>
        <v>11.4452205882353</v>
      </c>
      <c r="V548" s="77">
        <v>12</v>
      </c>
      <c r="W548" s="77">
        <f>STOCK[[#This Row],[Precio Final]]-STOCK[[#This Row],[Costo total]]</f>
        <v>4.36985294117647</v>
      </c>
      <c r="X548" s="77">
        <f>STOCK[[#This Row],[Ganancia Unitaria]]*STOCK[[#This Row],[Salidas]]</f>
        <v>0</v>
      </c>
      <c r="Y548" s="77" t="s">
        <v>926</v>
      </c>
      <c r="AA548" s="77">
        <f>STOCK[[#This Row],[Costo total]]*STOCK[[#This Row],[Entradas]]</f>
        <v>7.63014705882353</v>
      </c>
      <c r="AB548" s="77">
        <f>STOCK[[#This Row],[Stock Actual]]*STOCK[[#This Row],[Costo total]]</f>
        <v>7.63014705882353</v>
      </c>
    </row>
    <row r="549" s="76" customFormat="1" ht="50" customHeight="1" spans="1:28">
      <c r="A549" s="76" t="s">
        <v>1118</v>
      </c>
      <c r="B549" s="6"/>
      <c r="C549" s="76" t="s">
        <v>30</v>
      </c>
      <c r="D549" s="76" t="s">
        <v>545</v>
      </c>
      <c r="E549" s="77" t="s">
        <v>1117</v>
      </c>
      <c r="F549" s="76" t="s">
        <v>60</v>
      </c>
      <c r="G549" s="76" t="s">
        <v>34</v>
      </c>
      <c r="H549" s="76">
        <f>STOCK[[#This Row],[Precio Final]]</f>
        <v>12</v>
      </c>
      <c r="I549" s="76">
        <f>STOCK[[#This Row],[Precio Venta Ideal (x1.5)]]</f>
        <v>11.4452205882353</v>
      </c>
      <c r="J549" s="91">
        <v>1</v>
      </c>
      <c r="K549" s="91">
        <f>SUMIFS(VENTAS[Cantidad],VENTAS[Código del producto Vendido],STOCK[[#This Row],[Code]])</f>
        <v>0</v>
      </c>
      <c r="L549" s="91">
        <f>STOCK[[#This Row],[Entradas]]-STOCK[[#This Row],[Salidas]]</f>
        <v>1</v>
      </c>
      <c r="M549" s="76">
        <f>STOCK[[#This Row],[Precio Final]]*10%</f>
        <v>1.2</v>
      </c>
      <c r="N549" s="76">
        <v>87</v>
      </c>
      <c r="O549" s="76">
        <v>17</v>
      </c>
      <c r="P549" s="76">
        <v>5.11764705882353</v>
      </c>
      <c r="Q549" s="91">
        <v>75</v>
      </c>
      <c r="R549" s="76">
        <v>17.5</v>
      </c>
      <c r="S549" s="76">
        <f>STOCK[[#This Row],[Peso (g)]]*STOCK[[#This Row],[Precio Envío Kilogramo (USD)]]/1000</f>
        <v>1.3125</v>
      </c>
      <c r="T549" s="76">
        <f>STOCK[[#This Row],[Costo Unitario (USD)]]+STOCK[[#This Row],[Costo Envío (USD)]]+STOCK[[#This Row],[Comisión 10%]]</f>
        <v>7.63014705882353</v>
      </c>
      <c r="U549" s="76">
        <f>STOCK[[#This Row],[Costo total]]*1.5</f>
        <v>11.4452205882353</v>
      </c>
      <c r="V549" s="76">
        <v>12</v>
      </c>
      <c r="W549" s="76">
        <f>STOCK[[#This Row],[Precio Final]]-STOCK[[#This Row],[Costo total]]</f>
        <v>4.36985294117647</v>
      </c>
      <c r="X549" s="76">
        <f>STOCK[[#This Row],[Ganancia Unitaria]]*STOCK[[#This Row],[Salidas]]</f>
        <v>0</v>
      </c>
      <c r="Y549" s="76" t="s">
        <v>926</v>
      </c>
      <c r="AA549" s="76">
        <f>STOCK[[#This Row],[Costo total]]*STOCK[[#This Row],[Entradas]]</f>
        <v>7.63014705882353</v>
      </c>
      <c r="AB549" s="76">
        <f>STOCK[[#This Row],[Stock Actual]]*STOCK[[#This Row],[Costo total]]</f>
        <v>7.63014705882353</v>
      </c>
    </row>
    <row r="550" s="77" customFormat="1" ht="50" customHeight="1" spans="1:28">
      <c r="A550" s="77" t="s">
        <v>1119</v>
      </c>
      <c r="B550" s="6"/>
      <c r="C550" s="77" t="s">
        <v>30</v>
      </c>
      <c r="D550" s="77" t="s">
        <v>545</v>
      </c>
      <c r="E550" s="77" t="s">
        <v>1120</v>
      </c>
      <c r="F550" s="77" t="s">
        <v>60</v>
      </c>
      <c r="G550" s="77" t="s">
        <v>34</v>
      </c>
      <c r="H550" s="77">
        <f>STOCK[[#This Row],[Precio Final]]</f>
        <v>15</v>
      </c>
      <c r="I550" s="77">
        <f>STOCK[[#This Row],[Precio Venta Ideal (x1.5)]]</f>
        <v>12.9132352941176</v>
      </c>
      <c r="J550" s="92">
        <v>2</v>
      </c>
      <c r="K550" s="92">
        <f>SUMIFS(VENTAS[Cantidad],VENTAS[Código del producto Vendido],STOCK[[#This Row],[Code]])</f>
        <v>2</v>
      </c>
      <c r="L550" s="92">
        <f>STOCK[[#This Row],[Entradas]]-STOCK[[#This Row],[Salidas]]</f>
        <v>0</v>
      </c>
      <c r="M550" s="77">
        <f>STOCK[[#This Row],[Precio Final]]*10%</f>
        <v>1.5</v>
      </c>
      <c r="N550" s="77">
        <v>103</v>
      </c>
      <c r="O550" s="77">
        <v>17</v>
      </c>
      <c r="P550" s="77">
        <v>6.05882352941176</v>
      </c>
      <c r="Q550" s="92">
        <v>60</v>
      </c>
      <c r="R550" s="77">
        <v>17.5</v>
      </c>
      <c r="S550" s="77">
        <f>STOCK[[#This Row],[Peso (g)]]*STOCK[[#This Row],[Precio Envío Kilogramo (USD)]]/1000</f>
        <v>1.05</v>
      </c>
      <c r="T550" s="76">
        <f>STOCK[[#This Row],[Costo Unitario (USD)]]+STOCK[[#This Row],[Costo Envío (USD)]]+STOCK[[#This Row],[Comisión 10%]]</f>
        <v>8.60882352941176</v>
      </c>
      <c r="U550" s="77">
        <f>STOCK[[#This Row],[Costo total]]*1.5</f>
        <v>12.9132352941176</v>
      </c>
      <c r="V550" s="77">
        <v>15</v>
      </c>
      <c r="W550" s="77">
        <f>STOCK[[#This Row],[Precio Final]]-STOCK[[#This Row],[Costo total]]</f>
        <v>6.39117647058824</v>
      </c>
      <c r="X550" s="77">
        <f>STOCK[[#This Row],[Ganancia Unitaria]]*STOCK[[#This Row],[Salidas]]</f>
        <v>12.7823529411765</v>
      </c>
      <c r="Y550" s="77" t="s">
        <v>926</v>
      </c>
      <c r="AA550" s="77">
        <f>STOCK[[#This Row],[Costo total]]*STOCK[[#This Row],[Entradas]]</f>
        <v>17.2176470588235</v>
      </c>
      <c r="AB550" s="77">
        <f>STOCK[[#This Row],[Stock Actual]]*STOCK[[#This Row],[Costo total]]</f>
        <v>0</v>
      </c>
    </row>
    <row r="551" s="76" customFormat="1" ht="50" customHeight="1" spans="1:28">
      <c r="A551" s="76" t="s">
        <v>1121</v>
      </c>
      <c r="B551" s="6"/>
      <c r="C551" s="76" t="s">
        <v>30</v>
      </c>
      <c r="D551" s="76" t="s">
        <v>545</v>
      </c>
      <c r="E551" s="76" t="s">
        <v>1120</v>
      </c>
      <c r="F551" s="76" t="s">
        <v>47</v>
      </c>
      <c r="G551" s="76" t="s">
        <v>34</v>
      </c>
      <c r="H551" s="76">
        <f>STOCK[[#This Row],[Precio Final]]</f>
        <v>12</v>
      </c>
      <c r="I551" s="76">
        <f>STOCK[[#This Row],[Precio Venta Ideal (x1.5)]]</f>
        <v>12.4632352941176</v>
      </c>
      <c r="J551" s="91">
        <v>2</v>
      </c>
      <c r="K551" s="91">
        <f>SUMIFS(VENTAS[Cantidad],VENTAS[Código del producto Vendido],STOCK[[#This Row],[Code]])</f>
        <v>2</v>
      </c>
      <c r="L551" s="91">
        <f>STOCK[[#This Row],[Entradas]]-STOCK[[#This Row],[Salidas]]</f>
        <v>0</v>
      </c>
      <c r="M551" s="76">
        <f>STOCK[[#This Row],[Precio Final]]*10%</f>
        <v>1.2</v>
      </c>
      <c r="N551" s="76">
        <v>103</v>
      </c>
      <c r="O551" s="76">
        <v>17</v>
      </c>
      <c r="P551" s="76">
        <v>6.05882352941176</v>
      </c>
      <c r="Q551" s="91">
        <v>60</v>
      </c>
      <c r="R551" s="76">
        <v>17.5</v>
      </c>
      <c r="S551" s="76">
        <f>STOCK[[#This Row],[Peso (g)]]*STOCK[[#This Row],[Precio Envío Kilogramo (USD)]]/1000</f>
        <v>1.05</v>
      </c>
      <c r="T551" s="76">
        <f>STOCK[[#This Row],[Costo Unitario (USD)]]+STOCK[[#This Row],[Costo Envío (USD)]]+STOCK[[#This Row],[Comisión 10%]]</f>
        <v>8.30882352941176</v>
      </c>
      <c r="U551" s="76">
        <f>STOCK[[#This Row],[Costo total]]*1.5</f>
        <v>12.4632352941176</v>
      </c>
      <c r="V551" s="76">
        <v>12</v>
      </c>
      <c r="W551" s="76">
        <f>STOCK[[#This Row],[Precio Final]]-STOCK[[#This Row],[Costo total]]</f>
        <v>3.69117647058824</v>
      </c>
      <c r="X551" s="76">
        <f>STOCK[[#This Row],[Ganancia Unitaria]]*STOCK[[#This Row],[Salidas]]</f>
        <v>7.38235294117648</v>
      </c>
      <c r="Y551" s="76" t="s">
        <v>926</v>
      </c>
      <c r="AA551" s="76">
        <f>STOCK[[#This Row],[Costo total]]*STOCK[[#This Row],[Entradas]]</f>
        <v>16.6176470588235</v>
      </c>
      <c r="AB551" s="76">
        <f>STOCK[[#This Row],[Stock Actual]]*STOCK[[#This Row],[Costo total]]</f>
        <v>0</v>
      </c>
    </row>
    <row r="552" s="77" customFormat="1" ht="50" customHeight="1" spans="1:28">
      <c r="A552" s="77" t="s">
        <v>1122</v>
      </c>
      <c r="B552" s="6"/>
      <c r="C552" s="77" t="s">
        <v>30</v>
      </c>
      <c r="D552" s="76" t="s">
        <v>514</v>
      </c>
      <c r="E552" s="77" t="s">
        <v>1123</v>
      </c>
      <c r="F552" s="77" t="s">
        <v>539</v>
      </c>
      <c r="G552" s="77" t="s">
        <v>34</v>
      </c>
      <c r="H552" s="77">
        <f>STOCK[[#This Row],[Precio Final]]</f>
        <v>40</v>
      </c>
      <c r="I552" s="77">
        <f>STOCK[[#This Row],[Precio Venta Ideal (x1.5)]]</f>
        <v>46.7294117647059</v>
      </c>
      <c r="J552" s="92">
        <v>2</v>
      </c>
      <c r="K552" s="92">
        <f>SUMIFS(VENTAS[Cantidad],VENTAS[Código del producto Vendido],STOCK[[#This Row],[Code]])</f>
        <v>2</v>
      </c>
      <c r="L552" s="92">
        <f>STOCK[[#This Row],[Entradas]]-STOCK[[#This Row],[Salidas]]</f>
        <v>0</v>
      </c>
      <c r="M552" s="77">
        <f>STOCK[[#This Row],[Precio Final]]*10%</f>
        <v>4</v>
      </c>
      <c r="N552" s="77">
        <v>295</v>
      </c>
      <c r="O552" s="77">
        <v>17</v>
      </c>
      <c r="P552" s="77">
        <v>17.3529411764706</v>
      </c>
      <c r="Q552" s="92">
        <v>560</v>
      </c>
      <c r="R552" s="77">
        <v>17.5</v>
      </c>
      <c r="S552" s="77">
        <f>STOCK[[#This Row],[Peso (g)]]*STOCK[[#This Row],[Precio Envío Kilogramo (USD)]]/1000</f>
        <v>9.8</v>
      </c>
      <c r="T552" s="76">
        <f>STOCK[[#This Row],[Costo Unitario (USD)]]+STOCK[[#This Row],[Costo Envío (USD)]]+STOCK[[#This Row],[Comisión 10%]]</f>
        <v>31.1529411764706</v>
      </c>
      <c r="U552" s="77">
        <f>STOCK[[#This Row],[Costo total]]*1.5</f>
        <v>46.7294117647059</v>
      </c>
      <c r="V552" s="77">
        <v>40</v>
      </c>
      <c r="W552" s="77">
        <f>STOCK[[#This Row],[Precio Final]]-STOCK[[#This Row],[Costo total]]</f>
        <v>8.8470588235294</v>
      </c>
      <c r="X552" s="77">
        <f>STOCK[[#This Row],[Ganancia Unitaria]]*STOCK[[#This Row],[Salidas]]</f>
        <v>17.6941176470588</v>
      </c>
      <c r="Y552" s="77" t="s">
        <v>926</v>
      </c>
      <c r="AA552" s="77">
        <f>STOCK[[#This Row],[Costo total]]*STOCK[[#This Row],[Entradas]]</f>
        <v>62.3058823529412</v>
      </c>
      <c r="AB552" s="77">
        <f>STOCK[[#This Row],[Stock Actual]]*STOCK[[#This Row],[Costo total]]</f>
        <v>0</v>
      </c>
    </row>
    <row r="553" s="76" customFormat="1" ht="50" customHeight="1" spans="1:28">
      <c r="A553" s="76" t="s">
        <v>1124</v>
      </c>
      <c r="B553" s="6"/>
      <c r="C553" s="76" t="s">
        <v>30</v>
      </c>
      <c r="D553" s="76" t="s">
        <v>173</v>
      </c>
      <c r="E553" s="76" t="s">
        <v>1125</v>
      </c>
      <c r="F553" s="76" t="s">
        <v>86</v>
      </c>
      <c r="G553" s="76" t="s">
        <v>34</v>
      </c>
      <c r="H553" s="76">
        <f>STOCK[[#This Row],[Precio Final]]</f>
        <v>15</v>
      </c>
      <c r="I553" s="76">
        <f>STOCK[[#This Row],[Precio Venta Ideal (x1.5)]]</f>
        <v>20.3911764705882</v>
      </c>
      <c r="J553" s="91">
        <v>1</v>
      </c>
      <c r="K553" s="91">
        <f>SUMIFS(VENTAS[Cantidad],VENTAS[Código del producto Vendido],STOCK[[#This Row],[Code]])</f>
        <v>1</v>
      </c>
      <c r="L553" s="91">
        <f>STOCK[[#This Row],[Entradas]]-STOCK[[#This Row],[Salidas]]</f>
        <v>0</v>
      </c>
      <c r="M553" s="76">
        <f>STOCK[[#This Row],[Precio Final]]*10%</f>
        <v>1.5</v>
      </c>
      <c r="N553" s="76">
        <v>158</v>
      </c>
      <c r="O553" s="76">
        <v>17</v>
      </c>
      <c r="P553" s="76">
        <v>9.29411764705882</v>
      </c>
      <c r="Q553" s="91">
        <v>160</v>
      </c>
      <c r="R553" s="76">
        <v>17.5</v>
      </c>
      <c r="S553" s="76">
        <f>STOCK[[#This Row],[Peso (g)]]*STOCK[[#This Row],[Precio Envío Kilogramo (USD)]]/1000</f>
        <v>2.8</v>
      </c>
      <c r="T553" s="76">
        <f>STOCK[[#This Row],[Costo Unitario (USD)]]+STOCK[[#This Row],[Costo Envío (USD)]]+STOCK[[#This Row],[Comisión 10%]]</f>
        <v>13.5941176470588</v>
      </c>
      <c r="U553" s="76">
        <f>STOCK[[#This Row],[Costo total]]*1.5</f>
        <v>20.3911764705882</v>
      </c>
      <c r="V553" s="76">
        <v>15</v>
      </c>
      <c r="W553" s="76">
        <f>STOCK[[#This Row],[Precio Final]]-STOCK[[#This Row],[Costo total]]</f>
        <v>1.40588235294118</v>
      </c>
      <c r="X553" s="76">
        <f>STOCK[[#This Row],[Ganancia Unitaria]]*STOCK[[#This Row],[Salidas]]</f>
        <v>1.40588235294118</v>
      </c>
      <c r="Y553" s="76" t="s">
        <v>926</v>
      </c>
      <c r="AA553" s="76">
        <f>STOCK[[#This Row],[Costo total]]*STOCK[[#This Row],[Entradas]]</f>
        <v>13.5941176470588</v>
      </c>
      <c r="AB553" s="76">
        <f>STOCK[[#This Row],[Stock Actual]]*STOCK[[#This Row],[Costo total]]</f>
        <v>0</v>
      </c>
    </row>
    <row r="554" s="77" customFormat="1" ht="50" customHeight="1" spans="1:28">
      <c r="A554" s="77" t="s">
        <v>1126</v>
      </c>
      <c r="B554" s="6"/>
      <c r="C554" s="77" t="s">
        <v>30</v>
      </c>
      <c r="D554" s="77" t="s">
        <v>173</v>
      </c>
      <c r="E554" s="77" t="s">
        <v>1127</v>
      </c>
      <c r="F554" s="77" t="s">
        <v>60</v>
      </c>
      <c r="G554" s="77" t="s">
        <v>34</v>
      </c>
      <c r="H554" s="77">
        <f>STOCK[[#This Row],[Precio Final]]</f>
        <v>18</v>
      </c>
      <c r="I554" s="77">
        <f>STOCK[[#This Row],[Precio Venta Ideal (x1.5)]]</f>
        <v>20.6647058823529</v>
      </c>
      <c r="J554" s="92">
        <v>1</v>
      </c>
      <c r="K554" s="92">
        <f>SUMIFS(VENTAS[Cantidad],VENTAS[Código del producto Vendido],STOCK[[#This Row],[Code]])</f>
        <v>1</v>
      </c>
      <c r="L554" s="92">
        <f>STOCK[[#This Row],[Entradas]]-STOCK[[#This Row],[Salidas]]</f>
        <v>0</v>
      </c>
      <c r="M554" s="77">
        <f>STOCK[[#This Row],[Precio Final]]*10%</f>
        <v>1.8</v>
      </c>
      <c r="N554" s="77">
        <v>156</v>
      </c>
      <c r="O554" s="77">
        <v>17</v>
      </c>
      <c r="P554" s="77">
        <v>9.17647058823529</v>
      </c>
      <c r="Q554" s="92">
        <v>160</v>
      </c>
      <c r="R554" s="77">
        <v>17.5</v>
      </c>
      <c r="S554" s="77">
        <f>STOCK[[#This Row],[Peso (g)]]*STOCK[[#This Row],[Precio Envío Kilogramo (USD)]]/1000</f>
        <v>2.8</v>
      </c>
      <c r="T554" s="76">
        <f>STOCK[[#This Row],[Costo Unitario (USD)]]+STOCK[[#This Row],[Costo Envío (USD)]]+STOCK[[#This Row],[Comisión 10%]]</f>
        <v>13.7764705882353</v>
      </c>
      <c r="U554" s="77">
        <f>STOCK[[#This Row],[Costo total]]*1.5</f>
        <v>20.6647058823529</v>
      </c>
      <c r="V554" s="77">
        <v>18</v>
      </c>
      <c r="W554" s="77">
        <f>STOCK[[#This Row],[Precio Final]]-STOCK[[#This Row],[Costo total]]</f>
        <v>4.22352941176471</v>
      </c>
      <c r="X554" s="77">
        <f>STOCK[[#This Row],[Ganancia Unitaria]]*STOCK[[#This Row],[Salidas]]</f>
        <v>4.22352941176471</v>
      </c>
      <c r="Y554" s="77" t="s">
        <v>926</v>
      </c>
      <c r="AA554" s="77">
        <f>STOCK[[#This Row],[Costo total]]*STOCK[[#This Row],[Entradas]]</f>
        <v>13.7764705882353</v>
      </c>
      <c r="AB554" s="77">
        <f>STOCK[[#This Row],[Stock Actual]]*STOCK[[#This Row],[Costo total]]</f>
        <v>0</v>
      </c>
    </row>
    <row r="555" s="76" customFormat="1" ht="50" customHeight="1" spans="1:28">
      <c r="A555" s="76" t="s">
        <v>1128</v>
      </c>
      <c r="B555" s="6"/>
      <c r="C555" s="76" t="s">
        <v>30</v>
      </c>
      <c r="D555" s="76" t="s">
        <v>42</v>
      </c>
      <c r="E555" s="76" t="s">
        <v>1129</v>
      </c>
      <c r="F555" s="76" t="s">
        <v>86</v>
      </c>
      <c r="G555" s="76" t="s">
        <v>34</v>
      </c>
      <c r="H555" s="76">
        <f>STOCK[[#This Row],[Precio Final]]</f>
        <v>35</v>
      </c>
      <c r="I555" s="76">
        <f>STOCK[[#This Row],[Precio Venta Ideal (x1.5)]]</f>
        <v>40.7316176470588</v>
      </c>
      <c r="J555" s="91">
        <v>2</v>
      </c>
      <c r="K555" s="91">
        <f>SUMIFS(VENTAS[Cantidad],VENTAS[Código del producto Vendido],STOCK[[#This Row],[Code]])</f>
        <v>2</v>
      </c>
      <c r="L555" s="91">
        <f>STOCK[[#This Row],[Entradas]]-STOCK[[#This Row],[Salidas]]</f>
        <v>0</v>
      </c>
      <c r="M555" s="76">
        <f>STOCK[[#This Row],[Precio Final]]*10%</f>
        <v>3.5</v>
      </c>
      <c r="N555" s="76">
        <v>298</v>
      </c>
      <c r="O555" s="76">
        <v>17</v>
      </c>
      <c r="P555" s="76">
        <v>17.5294117647059</v>
      </c>
      <c r="Q555" s="91">
        <v>350</v>
      </c>
      <c r="R555" s="76">
        <v>17.5</v>
      </c>
      <c r="S555" s="76">
        <f>STOCK[[#This Row],[Peso (g)]]*STOCK[[#This Row],[Precio Envío Kilogramo (USD)]]/1000</f>
        <v>6.125</v>
      </c>
      <c r="T555" s="76">
        <f>STOCK[[#This Row],[Costo Unitario (USD)]]+STOCK[[#This Row],[Costo Envío (USD)]]+STOCK[[#This Row],[Comisión 10%]]</f>
        <v>27.1544117647059</v>
      </c>
      <c r="U555" s="76">
        <f>STOCK[[#This Row],[Costo total]]*1.5</f>
        <v>40.7316176470588</v>
      </c>
      <c r="V555" s="76">
        <v>35</v>
      </c>
      <c r="W555" s="76">
        <f>STOCK[[#This Row],[Precio Final]]-STOCK[[#This Row],[Costo total]]</f>
        <v>7.8455882352941</v>
      </c>
      <c r="X555" s="76">
        <f>STOCK[[#This Row],[Ganancia Unitaria]]*STOCK[[#This Row],[Salidas]]</f>
        <v>15.6911764705882</v>
      </c>
      <c r="AA555" s="76">
        <f>STOCK[[#This Row],[Costo total]]*STOCK[[#This Row],[Entradas]]</f>
        <v>54.3088235294118</v>
      </c>
      <c r="AB555" s="76">
        <f>STOCK[[#This Row],[Stock Actual]]*STOCK[[#This Row],[Costo total]]</f>
        <v>0</v>
      </c>
    </row>
    <row r="556" s="77" customFormat="1" ht="50" customHeight="1" spans="1:28">
      <c r="A556" s="77" t="s">
        <v>1130</v>
      </c>
      <c r="B556" s="6"/>
      <c r="C556" s="77" t="s">
        <v>30</v>
      </c>
      <c r="D556" s="77" t="s">
        <v>42</v>
      </c>
      <c r="E556" s="77" t="s">
        <v>1131</v>
      </c>
      <c r="F556" s="77" t="s">
        <v>47</v>
      </c>
      <c r="G556" s="77" t="s">
        <v>34</v>
      </c>
      <c r="H556" s="77">
        <f>STOCK[[#This Row],[Precio Final]]</f>
        <v>35</v>
      </c>
      <c r="I556" s="77">
        <f>STOCK[[#This Row],[Precio Venta Ideal (x1.5)]]</f>
        <v>40.7316176470588</v>
      </c>
      <c r="J556" s="92">
        <v>1</v>
      </c>
      <c r="K556" s="92">
        <f>SUMIFS(VENTAS[Cantidad],VENTAS[Código del producto Vendido],STOCK[[#This Row],[Code]])</f>
        <v>1</v>
      </c>
      <c r="L556" s="92">
        <f>STOCK[[#This Row],[Entradas]]-STOCK[[#This Row],[Salidas]]</f>
        <v>0</v>
      </c>
      <c r="M556" s="77">
        <f>STOCK[[#This Row],[Precio Final]]*10%</f>
        <v>3.5</v>
      </c>
      <c r="N556" s="77">
        <v>298</v>
      </c>
      <c r="O556" s="77">
        <v>17</v>
      </c>
      <c r="P556" s="77">
        <v>17.5294117647059</v>
      </c>
      <c r="Q556" s="92">
        <v>350</v>
      </c>
      <c r="R556" s="77">
        <v>17.5</v>
      </c>
      <c r="S556" s="77">
        <f>STOCK[[#This Row],[Peso (g)]]*STOCK[[#This Row],[Precio Envío Kilogramo (USD)]]/1000</f>
        <v>6.125</v>
      </c>
      <c r="T556" s="76">
        <f>STOCK[[#This Row],[Costo Unitario (USD)]]+STOCK[[#This Row],[Costo Envío (USD)]]+STOCK[[#This Row],[Comisión 10%]]</f>
        <v>27.1544117647059</v>
      </c>
      <c r="U556" s="77">
        <f>STOCK[[#This Row],[Costo total]]*1.5</f>
        <v>40.7316176470588</v>
      </c>
      <c r="V556" s="77">
        <v>35</v>
      </c>
      <c r="W556" s="77">
        <f>STOCK[[#This Row],[Precio Final]]-STOCK[[#This Row],[Costo total]]</f>
        <v>7.8455882352941</v>
      </c>
      <c r="X556" s="77">
        <f>STOCK[[#This Row],[Ganancia Unitaria]]*STOCK[[#This Row],[Salidas]]</f>
        <v>7.8455882352941</v>
      </c>
      <c r="AA556" s="77">
        <f>STOCK[[#This Row],[Costo total]]*STOCK[[#This Row],[Entradas]]</f>
        <v>27.1544117647059</v>
      </c>
      <c r="AB556" s="77">
        <f>STOCK[[#This Row],[Stock Actual]]*STOCK[[#This Row],[Costo total]]</f>
        <v>0</v>
      </c>
    </row>
    <row r="557" s="76" customFormat="1" ht="50" customHeight="1" spans="1:28">
      <c r="A557" s="76" t="s">
        <v>1132</v>
      </c>
      <c r="B557" s="6"/>
      <c r="C557" s="76" t="s">
        <v>30</v>
      </c>
      <c r="D557" s="76" t="s">
        <v>724</v>
      </c>
      <c r="E557" s="76" t="s">
        <v>1133</v>
      </c>
      <c r="F557" s="76" t="s">
        <v>817</v>
      </c>
      <c r="G557" s="76" t="s">
        <v>702</v>
      </c>
      <c r="H557" s="76">
        <f>STOCK[[#This Row],[Precio Final]]</f>
        <v>35</v>
      </c>
      <c r="I557" s="76">
        <f>STOCK[[#This Row],[Precio Venta Ideal (x1.5)]]</f>
        <v>43.1691176470588</v>
      </c>
      <c r="J557" s="91">
        <v>1</v>
      </c>
      <c r="K557" s="91">
        <f>SUMIFS(VENTAS[Cantidad],VENTAS[Código del producto Vendido],STOCK[[#This Row],[Code]])</f>
        <v>0</v>
      </c>
      <c r="L557" s="91">
        <f>STOCK[[#This Row],[Entradas]]-STOCK[[#This Row],[Salidas]]</f>
        <v>1</v>
      </c>
      <c r="M557" s="76">
        <f>STOCK[[#This Row],[Precio Final]]*10%</f>
        <v>3.5</v>
      </c>
      <c r="N557" s="76">
        <v>400</v>
      </c>
      <c r="O557" s="76">
        <v>17</v>
      </c>
      <c r="P557" s="76">
        <v>23.5294117647059</v>
      </c>
      <c r="Q557" s="91">
        <v>100</v>
      </c>
      <c r="R557" s="76">
        <v>17.5</v>
      </c>
      <c r="S557" s="76">
        <f>STOCK[[#This Row],[Peso (g)]]*STOCK[[#This Row],[Precio Envío Kilogramo (USD)]]/1000</f>
        <v>1.75</v>
      </c>
      <c r="T557" s="76">
        <f>STOCK[[#This Row],[Costo Unitario (USD)]]+STOCK[[#This Row],[Costo Envío (USD)]]+STOCK[[#This Row],[Comisión 10%]]</f>
        <v>28.7794117647059</v>
      </c>
      <c r="U557" s="76">
        <f>STOCK[[#This Row],[Costo total]]*1.5</f>
        <v>43.1691176470588</v>
      </c>
      <c r="V557" s="76">
        <v>35</v>
      </c>
      <c r="W557" s="76">
        <f>STOCK[[#This Row],[Precio Final]]-STOCK[[#This Row],[Costo total]]</f>
        <v>6.2205882352941</v>
      </c>
      <c r="X557" s="76">
        <f>STOCK[[#This Row],[Ganancia Unitaria]]*STOCK[[#This Row],[Salidas]]</f>
        <v>0</v>
      </c>
      <c r="AA557" s="76">
        <f>STOCK[[#This Row],[Costo total]]*STOCK[[#This Row],[Entradas]]</f>
        <v>28.7794117647059</v>
      </c>
      <c r="AB557" s="76">
        <f>STOCK[[#This Row],[Stock Actual]]*STOCK[[#This Row],[Costo total]]</f>
        <v>28.7794117647059</v>
      </c>
    </row>
    <row r="558" s="77" customFormat="1" ht="50" customHeight="1" spans="1:28">
      <c r="A558" s="77" t="s">
        <v>1134</v>
      </c>
      <c r="B558" s="6"/>
      <c r="C558" s="77" t="s">
        <v>30</v>
      </c>
      <c r="D558" s="77" t="s">
        <v>42</v>
      </c>
      <c r="E558" s="77" t="s">
        <v>1135</v>
      </c>
      <c r="F558" s="77" t="s">
        <v>38</v>
      </c>
      <c r="G558" s="77" t="s">
        <v>34</v>
      </c>
      <c r="H558" s="77">
        <f>STOCK[[#This Row],[Precio Final]]</f>
        <v>30</v>
      </c>
      <c r="I558" s="77">
        <f>STOCK[[#This Row],[Precio Venta Ideal (x1.5)]]</f>
        <v>37.5220588235293</v>
      </c>
      <c r="J558" s="92">
        <v>1</v>
      </c>
      <c r="K558" s="92">
        <f>SUMIFS(VENTAS[Cantidad],VENTAS[Código del producto Vendido],STOCK[[#This Row],[Code]])</f>
        <v>1</v>
      </c>
      <c r="L558" s="92">
        <f>STOCK[[#This Row],[Entradas]]-STOCK[[#This Row],[Salidas]]</f>
        <v>0</v>
      </c>
      <c r="M558" s="77">
        <f>STOCK[[#This Row],[Precio Final]]*10%</f>
        <v>3</v>
      </c>
      <c r="N558" s="77">
        <v>285</v>
      </c>
      <c r="O558" s="77">
        <v>17</v>
      </c>
      <c r="P558" s="77">
        <v>16.7647058823529</v>
      </c>
      <c r="Q558" s="92">
        <v>300</v>
      </c>
      <c r="R558" s="77">
        <v>17.5</v>
      </c>
      <c r="S558" s="77">
        <f>STOCK[[#This Row],[Peso (g)]]*STOCK[[#This Row],[Precio Envío Kilogramo (USD)]]/1000</f>
        <v>5.25</v>
      </c>
      <c r="T558" s="76">
        <f>STOCK[[#This Row],[Costo Unitario (USD)]]+STOCK[[#This Row],[Costo Envío (USD)]]+STOCK[[#This Row],[Comisión 10%]]</f>
        <v>25.0147058823529</v>
      </c>
      <c r="U558" s="77">
        <f>STOCK[[#This Row],[Costo total]]*1.5</f>
        <v>37.5220588235293</v>
      </c>
      <c r="V558" s="77">
        <v>30</v>
      </c>
      <c r="W558" s="77">
        <f>STOCK[[#This Row],[Precio Final]]-STOCK[[#This Row],[Costo total]]</f>
        <v>4.9852941176471</v>
      </c>
      <c r="X558" s="77">
        <f>STOCK[[#This Row],[Ganancia Unitaria]]*STOCK[[#This Row],[Salidas]]</f>
        <v>4.9852941176471</v>
      </c>
      <c r="AA558" s="77">
        <f>STOCK[[#This Row],[Costo total]]*STOCK[[#This Row],[Entradas]]</f>
        <v>25.0147058823529</v>
      </c>
      <c r="AB558" s="77">
        <f>STOCK[[#This Row],[Stock Actual]]*STOCK[[#This Row],[Costo total]]</f>
        <v>0</v>
      </c>
    </row>
    <row r="559" s="76" customFormat="1" ht="50" customHeight="1" spans="1:28">
      <c r="A559" s="76" t="s">
        <v>1136</v>
      </c>
      <c r="B559" s="6"/>
      <c r="C559" s="76" t="s">
        <v>30</v>
      </c>
      <c r="D559" s="76" t="s">
        <v>733</v>
      </c>
      <c r="E559" s="76" t="s">
        <v>1137</v>
      </c>
      <c r="F559" s="76" t="s">
        <v>60</v>
      </c>
      <c r="G559" s="76" t="s">
        <v>702</v>
      </c>
      <c r="H559" s="76">
        <f>STOCK[[#This Row],[Precio Final]]</f>
        <v>25</v>
      </c>
      <c r="I559" s="76">
        <f>STOCK[[#This Row],[Precio Venta Ideal (x1.5)]]</f>
        <v>30.9264705882353</v>
      </c>
      <c r="J559" s="91">
        <v>3</v>
      </c>
      <c r="K559" s="91">
        <f>SUMIFS(VENTAS[Cantidad],VENTAS[Código del producto Vendido],STOCK[[#This Row],[Code]])</f>
        <v>2</v>
      </c>
      <c r="L559" s="91">
        <f>STOCK[[#This Row],[Entradas]]-STOCK[[#This Row],[Salidas]]</f>
        <v>1</v>
      </c>
      <c r="M559" s="76">
        <f>STOCK[[#This Row],[Precio Final]]*10%</f>
        <v>2.5</v>
      </c>
      <c r="N559" s="76">
        <v>240</v>
      </c>
      <c r="O559" s="76">
        <v>17</v>
      </c>
      <c r="P559" s="76">
        <v>14.1176470588235</v>
      </c>
      <c r="Q559" s="91">
        <v>350</v>
      </c>
      <c r="R559" s="76">
        <v>0</v>
      </c>
      <c r="S559" s="76">
        <v>4</v>
      </c>
      <c r="T559" s="76">
        <f>STOCK[[#This Row],[Costo Unitario (USD)]]+STOCK[[#This Row],[Costo Envío (USD)]]+STOCK[[#This Row],[Comisión 10%]]</f>
        <v>20.6176470588235</v>
      </c>
      <c r="U559" s="76">
        <f>STOCK[[#This Row],[Costo total]]*1.5</f>
        <v>30.9264705882353</v>
      </c>
      <c r="V559" s="76">
        <v>25</v>
      </c>
      <c r="W559" s="76">
        <f>STOCK[[#This Row],[Precio Final]]-STOCK[[#This Row],[Costo total]]</f>
        <v>4.3823529411765</v>
      </c>
      <c r="X559" s="76">
        <f>STOCK[[#This Row],[Ganancia Unitaria]]*STOCK[[#This Row],[Salidas]]</f>
        <v>8.764705882353</v>
      </c>
      <c r="AA559" s="76">
        <f>STOCK[[#This Row],[Costo total]]*STOCK[[#This Row],[Entradas]]</f>
        <v>61.8529411764705</v>
      </c>
      <c r="AB559" s="76">
        <f>STOCK[[#This Row],[Stock Actual]]*STOCK[[#This Row],[Costo total]]</f>
        <v>20.6176470588235</v>
      </c>
    </row>
    <row r="560" s="77" customFormat="1" ht="50" customHeight="1" spans="1:28">
      <c r="A560" s="77" t="s">
        <v>1138</v>
      </c>
      <c r="B560" s="6"/>
      <c r="C560" s="77" t="s">
        <v>30</v>
      </c>
      <c r="D560" s="77" t="s">
        <v>545</v>
      </c>
      <c r="E560" s="77" t="s">
        <v>1139</v>
      </c>
      <c r="F560" s="77" t="s">
        <v>60</v>
      </c>
      <c r="G560" s="77" t="s">
        <v>34</v>
      </c>
      <c r="H560" s="77">
        <f>STOCK[[#This Row],[Precio Final]]</f>
        <v>15</v>
      </c>
      <c r="I560" s="77">
        <f>STOCK[[#This Row],[Precio Venta Ideal (x1.5)]]</f>
        <v>16.6191176470588</v>
      </c>
      <c r="J560" s="92">
        <v>1</v>
      </c>
      <c r="K560" s="92">
        <f>SUMIFS(VENTAS[Cantidad],VENTAS[Código del producto Vendido],STOCK[[#This Row],[Code]])</f>
        <v>1</v>
      </c>
      <c r="L560" s="92">
        <f>STOCK[[#This Row],[Entradas]]-STOCK[[#This Row],[Salidas]]</f>
        <v>0</v>
      </c>
      <c r="M560" s="77">
        <f>STOCK[[#This Row],[Precio Final]]*10%</f>
        <v>1.5</v>
      </c>
      <c r="N560" s="77">
        <v>145</v>
      </c>
      <c r="O560" s="77">
        <v>17</v>
      </c>
      <c r="P560" s="77">
        <v>8.52941176470588</v>
      </c>
      <c r="Q560" s="92">
        <v>60</v>
      </c>
      <c r="R560" s="77">
        <v>17.5</v>
      </c>
      <c r="S560" s="77">
        <f>STOCK[[#This Row],[Peso (g)]]*STOCK[[#This Row],[Precio Envío Kilogramo (USD)]]/1000</f>
        <v>1.05</v>
      </c>
      <c r="T560" s="76">
        <f>STOCK[[#This Row],[Costo Unitario (USD)]]+STOCK[[#This Row],[Costo Envío (USD)]]+STOCK[[#This Row],[Comisión 10%]]</f>
        <v>11.0794117647059</v>
      </c>
      <c r="U560" s="77">
        <f>STOCK[[#This Row],[Costo total]]*1.5</f>
        <v>16.6191176470588</v>
      </c>
      <c r="V560" s="77">
        <v>15</v>
      </c>
      <c r="W560" s="77">
        <f>STOCK[[#This Row],[Precio Final]]-STOCK[[#This Row],[Costo total]]</f>
        <v>3.92058823529412</v>
      </c>
      <c r="X560" s="77">
        <f>STOCK[[#This Row],[Ganancia Unitaria]]*STOCK[[#This Row],[Salidas]]</f>
        <v>3.92058823529412</v>
      </c>
      <c r="AA560" s="77">
        <f>STOCK[[#This Row],[Costo total]]*STOCK[[#This Row],[Entradas]]</f>
        <v>11.0794117647059</v>
      </c>
      <c r="AB560" s="77">
        <f>STOCK[[#This Row],[Stock Actual]]*STOCK[[#This Row],[Costo total]]</f>
        <v>0</v>
      </c>
    </row>
    <row r="561" s="76" customFormat="1" ht="50" customHeight="1" spans="1:28">
      <c r="A561" s="76" t="s">
        <v>1140</v>
      </c>
      <c r="B561" s="6"/>
      <c r="C561" s="76" t="s">
        <v>30</v>
      </c>
      <c r="D561" s="76" t="s">
        <v>36</v>
      </c>
      <c r="E561" s="76" t="s">
        <v>1141</v>
      </c>
      <c r="F561" s="76" t="s">
        <v>86</v>
      </c>
      <c r="G561" s="76" t="s">
        <v>34</v>
      </c>
      <c r="H561" s="76">
        <f>STOCK[[#This Row],[Precio Final]]</f>
        <v>12</v>
      </c>
      <c r="I561" s="76">
        <f>STOCK[[#This Row],[Precio Venta Ideal (x1.5)]]</f>
        <v>13.9632352941176</v>
      </c>
      <c r="J561" s="91">
        <v>0</v>
      </c>
      <c r="K561" s="91">
        <f>SUMIFS(VENTAS[Cantidad],VENTAS[Código del producto Vendido],STOCK[[#This Row],[Code]])</f>
        <v>0</v>
      </c>
      <c r="L561" s="91">
        <f>STOCK[[#This Row],[Entradas]]-STOCK[[#This Row],[Salidas]]</f>
        <v>0</v>
      </c>
      <c r="M561" s="76">
        <f>STOCK[[#This Row],[Precio Final]]*10%</f>
        <v>1.2</v>
      </c>
      <c r="N561" s="76">
        <v>120</v>
      </c>
      <c r="O561" s="76">
        <v>17</v>
      </c>
      <c r="P561" s="76">
        <v>7.05882352941176</v>
      </c>
      <c r="Q561" s="91">
        <v>60</v>
      </c>
      <c r="R561" s="76">
        <v>17.5</v>
      </c>
      <c r="S561" s="76">
        <f>STOCK[[#This Row],[Peso (g)]]*STOCK[[#This Row],[Precio Envío Kilogramo (USD)]]/1000</f>
        <v>1.05</v>
      </c>
      <c r="T561" s="76">
        <f>STOCK[[#This Row],[Costo Unitario (USD)]]+STOCK[[#This Row],[Costo Envío (USD)]]+STOCK[[#This Row],[Comisión 10%]]</f>
        <v>9.30882352941176</v>
      </c>
      <c r="U561" s="76">
        <f>STOCK[[#This Row],[Costo total]]*1.5</f>
        <v>13.9632352941176</v>
      </c>
      <c r="V561" s="76">
        <v>12</v>
      </c>
      <c r="W561" s="76">
        <f>STOCK[[#This Row],[Precio Final]]-STOCK[[#This Row],[Costo total]]</f>
        <v>2.69117647058824</v>
      </c>
      <c r="X561" s="76">
        <f>STOCK[[#This Row],[Ganancia Unitaria]]*STOCK[[#This Row],[Salidas]]</f>
        <v>0</v>
      </c>
      <c r="AA561" s="76">
        <f>STOCK[[#This Row],[Costo total]]*STOCK[[#This Row],[Entradas]]</f>
        <v>0</v>
      </c>
      <c r="AB561" s="76">
        <f>STOCK[[#This Row],[Stock Actual]]*STOCK[[#This Row],[Costo total]]</f>
        <v>0</v>
      </c>
    </row>
    <row r="562" s="77" customFormat="1" ht="50" customHeight="1" spans="1:28">
      <c r="A562" s="77" t="s">
        <v>1142</v>
      </c>
      <c r="B562" s="6"/>
      <c r="C562" s="77" t="s">
        <v>30</v>
      </c>
      <c r="D562" s="77" t="s">
        <v>741</v>
      </c>
      <c r="E562" s="77" t="s">
        <v>1143</v>
      </c>
      <c r="F562" s="77" t="s">
        <v>47</v>
      </c>
      <c r="G562" s="77" t="s">
        <v>702</v>
      </c>
      <c r="H562" s="77">
        <f>STOCK[[#This Row],[Precio Final]]</f>
        <v>25</v>
      </c>
      <c r="I562" s="77">
        <f>STOCK[[#This Row],[Precio Venta Ideal (x1.5)]]</f>
        <v>28.1558823529411</v>
      </c>
      <c r="J562" s="92">
        <v>1</v>
      </c>
      <c r="K562" s="92">
        <f>SUMIFS(VENTAS[Cantidad],VENTAS[Código del producto Vendido],STOCK[[#This Row],[Code]])</f>
        <v>1</v>
      </c>
      <c r="L562" s="92">
        <f>STOCK[[#This Row],[Entradas]]-STOCK[[#This Row],[Salidas]]</f>
        <v>0</v>
      </c>
      <c r="M562" s="77">
        <f>STOCK[[#This Row],[Precio Final]]*10%</f>
        <v>2.5</v>
      </c>
      <c r="N562" s="77">
        <v>229</v>
      </c>
      <c r="O562" s="77">
        <v>17</v>
      </c>
      <c r="P562" s="77">
        <v>13.4705882352941</v>
      </c>
      <c r="Q562" s="92">
        <v>160</v>
      </c>
      <c r="R562" s="77">
        <v>17.5</v>
      </c>
      <c r="S562" s="77">
        <f>STOCK[[#This Row],[Peso (g)]]*STOCK[[#This Row],[Precio Envío Kilogramo (USD)]]/1000</f>
        <v>2.8</v>
      </c>
      <c r="T562" s="76">
        <f>STOCK[[#This Row],[Costo Unitario (USD)]]+STOCK[[#This Row],[Costo Envío (USD)]]+STOCK[[#This Row],[Comisión 10%]]</f>
        <v>18.7705882352941</v>
      </c>
      <c r="U562" s="77">
        <f>STOCK[[#This Row],[Costo total]]*1.5</f>
        <v>28.1558823529411</v>
      </c>
      <c r="V562" s="77">
        <v>25</v>
      </c>
      <c r="W562" s="77">
        <f>STOCK[[#This Row],[Precio Final]]-STOCK[[#This Row],[Costo total]]</f>
        <v>6.2294117647059</v>
      </c>
      <c r="X562" s="77">
        <f>STOCK[[#This Row],[Ganancia Unitaria]]*STOCK[[#This Row],[Salidas]]</f>
        <v>6.2294117647059</v>
      </c>
      <c r="AA562" s="77">
        <f>STOCK[[#This Row],[Costo total]]*STOCK[[#This Row],[Entradas]]</f>
        <v>18.7705882352941</v>
      </c>
      <c r="AB562" s="77">
        <f>STOCK[[#This Row],[Stock Actual]]*STOCK[[#This Row],[Costo total]]</f>
        <v>0</v>
      </c>
    </row>
    <row r="563" s="76" customFormat="1" ht="50" customHeight="1" spans="1:28">
      <c r="A563" s="76" t="s">
        <v>1144</v>
      </c>
      <c r="B563" s="6"/>
      <c r="C563" s="76" t="s">
        <v>30</v>
      </c>
      <c r="D563" s="76" t="s">
        <v>747</v>
      </c>
      <c r="E563" s="76" t="s">
        <v>1145</v>
      </c>
      <c r="F563" s="76" t="s">
        <v>47</v>
      </c>
      <c r="G563" s="76" t="s">
        <v>702</v>
      </c>
      <c r="H563" s="76">
        <f>STOCK[[#This Row],[Precio Final]]</f>
        <v>25</v>
      </c>
      <c r="I563" s="76">
        <f>STOCK[[#This Row],[Precio Venta Ideal (x1.5)]]</f>
        <v>33.7125</v>
      </c>
      <c r="J563" s="91">
        <v>1</v>
      </c>
      <c r="K563" s="91">
        <f>SUMIFS(VENTAS[Cantidad],VENTAS[Código del producto Vendido],STOCK[[#This Row],[Code]])</f>
        <v>0</v>
      </c>
      <c r="L563" s="91">
        <f>STOCK[[#This Row],[Entradas]]-STOCK[[#This Row],[Salidas]]</f>
        <v>1</v>
      </c>
      <c r="M563" s="76">
        <f>STOCK[[#This Row],[Precio Final]]*10%</f>
        <v>2.5</v>
      </c>
      <c r="N563" s="76">
        <v>289</v>
      </c>
      <c r="O563" s="76">
        <v>17</v>
      </c>
      <c r="P563" s="76">
        <v>17</v>
      </c>
      <c r="Q563" s="91">
        <v>170</v>
      </c>
      <c r="R563" s="76">
        <v>17.5</v>
      </c>
      <c r="S563" s="76">
        <f>STOCK[[#This Row],[Peso (g)]]*STOCK[[#This Row],[Precio Envío Kilogramo (USD)]]/1000</f>
        <v>2.975</v>
      </c>
      <c r="T563" s="76">
        <f>STOCK[[#This Row],[Costo Unitario (USD)]]+STOCK[[#This Row],[Costo Envío (USD)]]+STOCK[[#This Row],[Comisión 10%]]</f>
        <v>22.475</v>
      </c>
      <c r="U563" s="76">
        <f>STOCK[[#This Row],[Costo total]]*1.5</f>
        <v>33.7125</v>
      </c>
      <c r="V563" s="76">
        <v>25</v>
      </c>
      <c r="W563" s="76">
        <f>STOCK[[#This Row],[Precio Final]]-STOCK[[#This Row],[Costo total]]</f>
        <v>2.525</v>
      </c>
      <c r="X563" s="76">
        <f>STOCK[[#This Row],[Ganancia Unitaria]]*STOCK[[#This Row],[Salidas]]</f>
        <v>0</v>
      </c>
      <c r="AA563" s="76">
        <f>STOCK[[#This Row],[Costo total]]*STOCK[[#This Row],[Entradas]]</f>
        <v>22.475</v>
      </c>
      <c r="AB563" s="76">
        <f>STOCK[[#This Row],[Stock Actual]]*STOCK[[#This Row],[Costo total]]</f>
        <v>22.475</v>
      </c>
    </row>
    <row r="564" s="77" customFormat="1" ht="50" customHeight="1" spans="1:28">
      <c r="A564" s="77" t="s">
        <v>1146</v>
      </c>
      <c r="B564" s="6"/>
      <c r="C564" s="77" t="s">
        <v>30</v>
      </c>
      <c r="D564" s="77" t="s">
        <v>747</v>
      </c>
      <c r="E564" s="77" t="s">
        <v>1147</v>
      </c>
      <c r="F564" s="77" t="s">
        <v>44</v>
      </c>
      <c r="G564" s="77" t="s">
        <v>702</v>
      </c>
      <c r="H564" s="77">
        <f>STOCK[[#This Row],[Precio Final]]</f>
        <v>35</v>
      </c>
      <c r="I564" s="77">
        <f>STOCK[[#This Row],[Precio Venta Ideal (x1.5)]]</f>
        <v>43.1536764705882</v>
      </c>
      <c r="J564" s="92">
        <v>1</v>
      </c>
      <c r="K564" s="92">
        <f>SUMIFS(VENTAS[Cantidad],VENTAS[Código del producto Vendido],STOCK[[#This Row],[Code]])</f>
        <v>0</v>
      </c>
      <c r="L564" s="92">
        <f>STOCK[[#This Row],[Entradas]]-STOCK[[#This Row],[Salidas]]</f>
        <v>1</v>
      </c>
      <c r="M564" s="77">
        <f>STOCK[[#This Row],[Precio Final]]*10%</f>
        <v>3.5</v>
      </c>
      <c r="N564" s="77">
        <v>379</v>
      </c>
      <c r="O564" s="77">
        <v>17</v>
      </c>
      <c r="P564" s="77">
        <v>22.2941176470588</v>
      </c>
      <c r="Q564" s="92">
        <v>170</v>
      </c>
      <c r="R564" s="77">
        <v>17.5</v>
      </c>
      <c r="S564" s="77">
        <f>STOCK[[#This Row],[Peso (g)]]*STOCK[[#This Row],[Precio Envío Kilogramo (USD)]]/1000</f>
        <v>2.975</v>
      </c>
      <c r="T564" s="76">
        <f>STOCK[[#This Row],[Costo Unitario (USD)]]+STOCK[[#This Row],[Costo Envío (USD)]]+STOCK[[#This Row],[Comisión 10%]]</f>
        <v>28.7691176470588</v>
      </c>
      <c r="U564" s="77">
        <f>STOCK[[#This Row],[Costo total]]*1.5</f>
        <v>43.1536764705882</v>
      </c>
      <c r="V564" s="77">
        <v>35</v>
      </c>
      <c r="W564" s="77">
        <f>STOCK[[#This Row],[Precio Final]]-STOCK[[#This Row],[Costo total]]</f>
        <v>6.2308823529412</v>
      </c>
      <c r="X564" s="77">
        <f>STOCK[[#This Row],[Ganancia Unitaria]]*STOCK[[#This Row],[Salidas]]</f>
        <v>0</v>
      </c>
      <c r="AA564" s="77">
        <f>STOCK[[#This Row],[Costo total]]*STOCK[[#This Row],[Entradas]]</f>
        <v>28.7691176470588</v>
      </c>
      <c r="AB564" s="77">
        <f>STOCK[[#This Row],[Stock Actual]]*STOCK[[#This Row],[Costo total]]</f>
        <v>28.7691176470588</v>
      </c>
    </row>
    <row r="565" s="76" customFormat="1" ht="50" customHeight="1" spans="1:28">
      <c r="A565" s="76" t="s">
        <v>1148</v>
      </c>
      <c r="B565" s="6"/>
      <c r="C565" s="76" t="s">
        <v>30</v>
      </c>
      <c r="D565" s="76" t="s">
        <v>514</v>
      </c>
      <c r="E565" s="76" t="s">
        <v>1149</v>
      </c>
      <c r="F565" s="76" t="s">
        <v>539</v>
      </c>
      <c r="G565" s="76" t="s">
        <v>34</v>
      </c>
      <c r="H565" s="76">
        <f>STOCK[[#This Row],[Precio Final]]</f>
        <v>40</v>
      </c>
      <c r="I565" s="76">
        <f>STOCK[[#This Row],[Precio Venta Ideal (x1.5)]]</f>
        <v>54.4191176470588</v>
      </c>
      <c r="J565" s="91">
        <v>1</v>
      </c>
      <c r="K565" s="91">
        <f>SUMIFS(VENTAS[Cantidad],VENTAS[Código del producto Vendido],STOCK[[#This Row],[Code]])</f>
        <v>1</v>
      </c>
      <c r="L565" s="91">
        <f>STOCK[[#This Row],[Entradas]]-STOCK[[#This Row],[Salidas]]</f>
        <v>0</v>
      </c>
      <c r="M565" s="76">
        <f>STOCK[[#This Row],[Precio Final]]*10%</f>
        <v>4</v>
      </c>
      <c r="N565" s="76">
        <v>400</v>
      </c>
      <c r="O565" s="76">
        <v>17</v>
      </c>
      <c r="P565" s="76">
        <v>23.5294117647059</v>
      </c>
      <c r="Q565" s="91">
        <v>500</v>
      </c>
      <c r="R565" s="76">
        <v>17.5</v>
      </c>
      <c r="S565" s="76">
        <f>STOCK[[#This Row],[Peso (g)]]*STOCK[[#This Row],[Precio Envío Kilogramo (USD)]]/1000</f>
        <v>8.75</v>
      </c>
      <c r="T565" s="76">
        <f>STOCK[[#This Row],[Costo Unitario (USD)]]+STOCK[[#This Row],[Costo Envío (USD)]]+STOCK[[#This Row],[Comisión 10%]]</f>
        <v>36.2794117647059</v>
      </c>
      <c r="U565" s="76">
        <f>STOCK[[#This Row],[Costo total]]*1.5</f>
        <v>54.4191176470588</v>
      </c>
      <c r="V565" s="76">
        <v>40</v>
      </c>
      <c r="W565" s="76">
        <f>STOCK[[#This Row],[Precio Final]]-STOCK[[#This Row],[Costo total]]</f>
        <v>3.7205882352941</v>
      </c>
      <c r="X565" s="76">
        <f>STOCK[[#This Row],[Ganancia Unitaria]]*STOCK[[#This Row],[Salidas]]</f>
        <v>3.7205882352941</v>
      </c>
      <c r="AA565" s="76">
        <f>STOCK[[#This Row],[Costo total]]*STOCK[[#This Row],[Entradas]]</f>
        <v>36.2794117647059</v>
      </c>
      <c r="AB565" s="76">
        <f>STOCK[[#This Row],[Stock Actual]]*STOCK[[#This Row],[Costo total]]</f>
        <v>0</v>
      </c>
    </row>
    <row r="566" s="77" customFormat="1" ht="50" customHeight="1" spans="1:28">
      <c r="A566" s="77" t="s">
        <v>1150</v>
      </c>
      <c r="B566" s="6"/>
      <c r="C566" s="77" t="s">
        <v>30</v>
      </c>
      <c r="D566" s="77" t="s">
        <v>514</v>
      </c>
      <c r="E566" s="77" t="s">
        <v>1151</v>
      </c>
      <c r="F566" s="77" t="s">
        <v>539</v>
      </c>
      <c r="G566" s="77" t="s">
        <v>702</v>
      </c>
      <c r="H566" s="77">
        <f>STOCK[[#This Row],[Precio Final]]</f>
        <v>45</v>
      </c>
      <c r="I566" s="77">
        <f>STOCK[[#This Row],[Precio Venta Ideal (x1.5)]]</f>
        <v>59.7926470588236</v>
      </c>
      <c r="J566" s="92">
        <v>1</v>
      </c>
      <c r="K566" s="92">
        <f>SUMIFS(VENTAS[Cantidad],VENTAS[Código del producto Vendido],STOCK[[#This Row],[Code]])</f>
        <v>1</v>
      </c>
      <c r="L566" s="92">
        <f>STOCK[[#This Row],[Entradas]]-STOCK[[#This Row],[Salidas]]</f>
        <v>0</v>
      </c>
      <c r="M566" s="77">
        <f>STOCK[[#This Row],[Precio Final]]*10%</f>
        <v>4.5</v>
      </c>
      <c r="N566" s="77">
        <v>500</v>
      </c>
      <c r="O566" s="77">
        <v>17</v>
      </c>
      <c r="P566" s="77">
        <v>29.4117647058824</v>
      </c>
      <c r="Q566" s="92">
        <v>350</v>
      </c>
      <c r="R566" s="77">
        <v>17</v>
      </c>
      <c r="S566" s="77">
        <f>STOCK[[#This Row],[Peso (g)]]*STOCK[[#This Row],[Precio Envío Kilogramo (USD)]]/1000</f>
        <v>5.95</v>
      </c>
      <c r="T566" s="76">
        <f>STOCK[[#This Row],[Costo Unitario (USD)]]+STOCK[[#This Row],[Costo Envío (USD)]]+STOCK[[#This Row],[Comisión 10%]]</f>
        <v>39.8617647058824</v>
      </c>
      <c r="U566" s="77">
        <f>STOCK[[#This Row],[Costo total]]*1.5</f>
        <v>59.7926470588236</v>
      </c>
      <c r="V566" s="77">
        <v>45</v>
      </c>
      <c r="W566" s="77">
        <f>STOCK[[#This Row],[Precio Final]]-STOCK[[#This Row],[Costo total]]</f>
        <v>5.1382352941176</v>
      </c>
      <c r="X566" s="77">
        <f>STOCK[[#This Row],[Ganancia Unitaria]]*STOCK[[#This Row],[Salidas]]</f>
        <v>5.1382352941176</v>
      </c>
      <c r="AA566" s="77">
        <f>STOCK[[#This Row],[Costo total]]*STOCK[[#This Row],[Entradas]]</f>
        <v>39.8617647058824</v>
      </c>
      <c r="AB566" s="77">
        <f>STOCK[[#This Row],[Stock Actual]]*STOCK[[#This Row],[Costo total]]</f>
        <v>0</v>
      </c>
    </row>
    <row r="567" s="76" customFormat="1" ht="50" customHeight="1" spans="1:28">
      <c r="A567" s="76" t="s">
        <v>1152</v>
      </c>
      <c r="B567" s="6"/>
      <c r="C567" s="76" t="s">
        <v>30</v>
      </c>
      <c r="D567" s="76" t="s">
        <v>173</v>
      </c>
      <c r="E567" s="76" t="s">
        <v>1153</v>
      </c>
      <c r="F567" s="76" t="s">
        <v>1154</v>
      </c>
      <c r="G567" s="76" t="s">
        <v>702</v>
      </c>
      <c r="H567" s="76">
        <f>STOCK[[#This Row],[Precio Final]]</f>
        <v>10</v>
      </c>
      <c r="I567" s="76">
        <f>STOCK[[#This Row],[Precio Venta Ideal (x1.5)]]</f>
        <v>12</v>
      </c>
      <c r="J567" s="91">
        <v>1</v>
      </c>
      <c r="K567" s="91">
        <f>SUMIFS(VENTAS[Cantidad],VENTAS[Código del producto Vendido],STOCK[[#This Row],[Code]])</f>
        <v>1</v>
      </c>
      <c r="L567" s="91">
        <f>STOCK[[#This Row],[Entradas]]-STOCK[[#This Row],[Salidas]]</f>
        <v>0</v>
      </c>
      <c r="M567" s="76">
        <f>STOCK[[#This Row],[Precio Final]]*10%</f>
        <v>1</v>
      </c>
      <c r="N567" s="76">
        <v>2.68</v>
      </c>
      <c r="O567" s="76">
        <v>0</v>
      </c>
      <c r="P567" s="76">
        <v>6</v>
      </c>
      <c r="Q567" s="91">
        <v>0</v>
      </c>
      <c r="R567" s="76">
        <v>0</v>
      </c>
      <c r="S567" s="76">
        <v>1</v>
      </c>
      <c r="T567" s="76">
        <f>STOCK[[#This Row],[Costo Unitario (USD)]]+STOCK[[#This Row],[Costo Envío (USD)]]+STOCK[[#This Row],[Comisión 10%]]</f>
        <v>8</v>
      </c>
      <c r="U567" s="76">
        <f>STOCK[[#This Row],[Costo total]]*1.5</f>
        <v>12</v>
      </c>
      <c r="V567" s="76">
        <v>10</v>
      </c>
      <c r="W567" s="76">
        <f>STOCK[[#This Row],[Precio Final]]-STOCK[[#This Row],[Costo total]]</f>
        <v>2</v>
      </c>
      <c r="X567" s="76">
        <f>STOCK[[#This Row],[Ganancia Unitaria]]*STOCK[[#This Row],[Salidas]]</f>
        <v>2</v>
      </c>
      <c r="AA567" s="76">
        <f>STOCK[[#This Row],[Costo total]]*STOCK[[#This Row],[Entradas]]</f>
        <v>8</v>
      </c>
      <c r="AB567" s="76">
        <f>STOCK[[#This Row],[Stock Actual]]*STOCK[[#This Row],[Costo total]]</f>
        <v>0</v>
      </c>
    </row>
    <row r="568" s="77" customFormat="1" ht="50" customHeight="1" spans="1:28">
      <c r="A568" s="77" t="s">
        <v>1155</v>
      </c>
      <c r="B568" s="6"/>
      <c r="C568" s="77" t="s">
        <v>30</v>
      </c>
      <c r="D568" s="77" t="s">
        <v>173</v>
      </c>
      <c r="E568" s="77" t="s">
        <v>1156</v>
      </c>
      <c r="F568" s="77" t="s">
        <v>47</v>
      </c>
      <c r="G568" s="77" t="s">
        <v>34</v>
      </c>
      <c r="H568" s="77">
        <f>STOCK[[#This Row],[Precio Final]]</f>
        <v>13</v>
      </c>
      <c r="I568" s="77">
        <f>STOCK[[#This Row],[Precio Venta Ideal (x1.5)]]</f>
        <v>14.745</v>
      </c>
      <c r="J568" s="92">
        <v>1</v>
      </c>
      <c r="K568" s="92">
        <f>SUMIFS(VENTAS[Cantidad],VENTAS[Código del producto Vendido],STOCK[[#This Row],[Code]])</f>
        <v>1</v>
      </c>
      <c r="L568" s="92">
        <f>STOCK[[#This Row],[Entradas]]-STOCK[[#This Row],[Salidas]]</f>
        <v>0</v>
      </c>
      <c r="M568" s="77">
        <f>STOCK[[#This Row],[Precio Final]]*10%</f>
        <v>1.3</v>
      </c>
      <c r="N568" s="77">
        <v>0</v>
      </c>
      <c r="O568" s="77">
        <v>8.25</v>
      </c>
      <c r="P568" s="77">
        <v>6.53</v>
      </c>
      <c r="Q568" s="92">
        <v>0</v>
      </c>
      <c r="R568" s="77">
        <v>0</v>
      </c>
      <c r="S568" s="77">
        <v>2</v>
      </c>
      <c r="T568" s="76">
        <f>STOCK[[#This Row],[Costo Unitario (USD)]]+STOCK[[#This Row],[Costo Envío (USD)]]+STOCK[[#This Row],[Comisión 10%]]</f>
        <v>9.83</v>
      </c>
      <c r="U568" s="77">
        <f>STOCK[[#This Row],[Costo total]]*1.5</f>
        <v>14.745</v>
      </c>
      <c r="V568" s="77">
        <v>13</v>
      </c>
      <c r="W568" s="77">
        <f>STOCK[[#This Row],[Precio Final]]-STOCK[[#This Row],[Costo total]]</f>
        <v>3.17</v>
      </c>
      <c r="X568" s="77">
        <f>STOCK[[#This Row],[Ganancia Unitaria]]*STOCK[[#This Row],[Salidas]]</f>
        <v>3.17</v>
      </c>
      <c r="Y568" s="77" t="s">
        <v>1157</v>
      </c>
      <c r="AA568" s="77">
        <f>STOCK[[#This Row],[Costo total]]*STOCK[[#This Row],[Entradas]]</f>
        <v>9.83</v>
      </c>
      <c r="AB568" s="77">
        <f>STOCK[[#This Row],[Stock Actual]]*STOCK[[#This Row],[Costo total]]</f>
        <v>0</v>
      </c>
    </row>
    <row r="569" s="76" customFormat="1" ht="50" customHeight="1" spans="1:28">
      <c r="A569" s="76" t="s">
        <v>1158</v>
      </c>
      <c r="B569" s="6"/>
      <c r="C569" s="76" t="s">
        <v>30</v>
      </c>
      <c r="D569" s="76" t="s">
        <v>173</v>
      </c>
      <c r="E569" s="76" t="s">
        <v>1156</v>
      </c>
      <c r="F569" s="76" t="s">
        <v>60</v>
      </c>
      <c r="G569" s="76" t="s">
        <v>34</v>
      </c>
      <c r="H569" s="76">
        <f>STOCK[[#This Row],[Precio Final]]</f>
        <v>13</v>
      </c>
      <c r="I569" s="76">
        <f>STOCK[[#This Row],[Precio Venta Ideal (x1.5)]]</f>
        <v>14.745</v>
      </c>
      <c r="J569" s="91">
        <v>1</v>
      </c>
      <c r="K569" s="91">
        <f>SUMIFS(VENTAS[Cantidad],VENTAS[Código del producto Vendido],STOCK[[#This Row],[Code]])</f>
        <v>1</v>
      </c>
      <c r="L569" s="91">
        <f>STOCK[[#This Row],[Entradas]]-STOCK[[#This Row],[Salidas]]</f>
        <v>0</v>
      </c>
      <c r="M569" s="76">
        <f>STOCK[[#This Row],[Precio Final]]*10%</f>
        <v>1.3</v>
      </c>
      <c r="N569" s="76">
        <v>3.75</v>
      </c>
      <c r="O569" s="76">
        <v>0</v>
      </c>
      <c r="P569" s="76">
        <v>6.53</v>
      </c>
      <c r="Q569" s="91">
        <v>0</v>
      </c>
      <c r="R569" s="76">
        <v>0</v>
      </c>
      <c r="S569" s="76">
        <v>2</v>
      </c>
      <c r="T569" s="76">
        <f>STOCK[[#This Row],[Costo Unitario (USD)]]+STOCK[[#This Row],[Costo Envío (USD)]]+STOCK[[#This Row],[Comisión 10%]]</f>
        <v>9.83</v>
      </c>
      <c r="U569" s="76">
        <f>STOCK[[#This Row],[Costo total]]*1.5</f>
        <v>14.745</v>
      </c>
      <c r="V569" s="76">
        <v>13</v>
      </c>
      <c r="W569" s="76">
        <f>STOCK[[#This Row],[Precio Final]]-STOCK[[#This Row],[Costo total]]</f>
        <v>3.17</v>
      </c>
      <c r="X569" s="76">
        <f>STOCK[[#This Row],[Ganancia Unitaria]]*STOCK[[#This Row],[Salidas]]</f>
        <v>3.17</v>
      </c>
      <c r="Y569" s="76" t="s">
        <v>1157</v>
      </c>
      <c r="AA569" s="76">
        <f>STOCK[[#This Row],[Costo total]]*STOCK[[#This Row],[Entradas]]</f>
        <v>9.83</v>
      </c>
      <c r="AB569" s="76">
        <f>STOCK[[#This Row],[Stock Actual]]*STOCK[[#This Row],[Costo total]]</f>
        <v>0</v>
      </c>
    </row>
    <row r="570" s="77" customFormat="1" ht="50" customHeight="1" spans="1:28">
      <c r="A570" s="77" t="s">
        <v>1159</v>
      </c>
      <c r="B570" s="6"/>
      <c r="C570" s="77" t="s">
        <v>30</v>
      </c>
      <c r="D570" s="77" t="s">
        <v>545</v>
      </c>
      <c r="E570" s="77" t="s">
        <v>1160</v>
      </c>
      <c r="F570" s="77" t="s">
        <v>524</v>
      </c>
      <c r="G570" s="77" t="s">
        <v>34</v>
      </c>
      <c r="H570" s="77">
        <f>STOCK[[#This Row],[Precio Final]]</f>
        <v>5</v>
      </c>
      <c r="I570" s="77">
        <f>STOCK[[#This Row],[Precio Venta Ideal (x1.5)]]</f>
        <v>3.795</v>
      </c>
      <c r="J570" s="92">
        <v>11</v>
      </c>
      <c r="K570" s="92">
        <f>SUMIFS(VENTAS[Cantidad],VENTAS[Código del producto Vendido],STOCK[[#This Row],[Code]])</f>
        <v>8</v>
      </c>
      <c r="L570" s="92">
        <f>STOCK[[#This Row],[Entradas]]-STOCK[[#This Row],[Salidas]]</f>
        <v>3</v>
      </c>
      <c r="M570" s="77">
        <f>STOCK[[#This Row],[Precio Final]]*10%</f>
        <v>0.5</v>
      </c>
      <c r="N570" s="77">
        <v>21.29</v>
      </c>
      <c r="O570" s="77">
        <v>12.26</v>
      </c>
      <c r="P570" s="77">
        <v>1.03</v>
      </c>
      <c r="Q570" s="92">
        <v>0</v>
      </c>
      <c r="R570" s="77">
        <v>0</v>
      </c>
      <c r="S570" s="77">
        <v>1</v>
      </c>
      <c r="T570" s="76">
        <f>STOCK[[#This Row],[Costo Unitario (USD)]]+STOCK[[#This Row],[Costo Envío (USD)]]+STOCK[[#This Row],[Comisión 10%]]</f>
        <v>2.53</v>
      </c>
      <c r="U570" s="77">
        <f>STOCK[[#This Row],[Costo total]]*1.5</f>
        <v>3.795</v>
      </c>
      <c r="V570" s="77">
        <v>5</v>
      </c>
      <c r="W570" s="77">
        <f>STOCK[[#This Row],[Precio Final]]-STOCK[[#This Row],[Costo total]]</f>
        <v>2.47</v>
      </c>
      <c r="X570" s="77">
        <f>STOCK[[#This Row],[Ganancia Unitaria]]*STOCK[[#This Row],[Salidas]]</f>
        <v>19.76</v>
      </c>
      <c r="Y570" s="77" t="s">
        <v>1157</v>
      </c>
      <c r="AA570" s="77">
        <f>STOCK[[#This Row],[Costo total]]*STOCK[[#This Row],[Entradas]]</f>
        <v>27.83</v>
      </c>
      <c r="AB570" s="77">
        <f>STOCK[[#This Row],[Stock Actual]]*STOCK[[#This Row],[Costo total]]</f>
        <v>7.59</v>
      </c>
    </row>
    <row r="571" s="76" customFormat="1" ht="50" customHeight="1" spans="1:28">
      <c r="A571" s="76" t="s">
        <v>1161</v>
      </c>
      <c r="B571" s="6"/>
      <c r="C571" s="76" t="s">
        <v>30</v>
      </c>
      <c r="D571" s="76" t="s">
        <v>151</v>
      </c>
      <c r="E571" s="76" t="s">
        <v>1162</v>
      </c>
      <c r="F571" s="76" t="s">
        <v>44</v>
      </c>
      <c r="G571" s="76" t="s">
        <v>34</v>
      </c>
      <c r="H571" s="76">
        <f>STOCK[[#This Row],[Precio Final]]</f>
        <v>22</v>
      </c>
      <c r="I571" s="76">
        <f>STOCK[[#This Row],[Precio Venta Ideal (x1.5)]]</f>
        <v>24.735</v>
      </c>
      <c r="J571" s="91">
        <v>2</v>
      </c>
      <c r="K571" s="91">
        <f>SUMIFS(VENTAS[Cantidad],VENTAS[Código del producto Vendido],STOCK[[#This Row],[Code]])</f>
        <v>2</v>
      </c>
      <c r="L571" s="91">
        <f>STOCK[[#This Row],[Entradas]]-STOCK[[#This Row],[Salidas]]</f>
        <v>0</v>
      </c>
      <c r="M571" s="76">
        <f>STOCK[[#This Row],[Precio Final]]*10%</f>
        <v>2.2</v>
      </c>
      <c r="N571" s="76">
        <v>9.02</v>
      </c>
      <c r="O571" s="76">
        <v>0</v>
      </c>
      <c r="P571" s="76">
        <v>12.29</v>
      </c>
      <c r="Q571" s="91">
        <v>0</v>
      </c>
      <c r="R571" s="76">
        <v>0</v>
      </c>
      <c r="S571" s="76">
        <v>2</v>
      </c>
      <c r="T571" s="76">
        <f>STOCK[[#This Row],[Costo Unitario (USD)]]+STOCK[[#This Row],[Costo Envío (USD)]]+STOCK[[#This Row],[Comisión 10%]]</f>
        <v>16.49</v>
      </c>
      <c r="U571" s="76">
        <f>STOCK[[#This Row],[Costo total]]*1.5</f>
        <v>24.735</v>
      </c>
      <c r="V571" s="76">
        <v>22</v>
      </c>
      <c r="W571" s="76">
        <f>STOCK[[#This Row],[Precio Final]]-STOCK[[#This Row],[Costo total]]</f>
        <v>5.51</v>
      </c>
      <c r="X571" s="76">
        <f>STOCK[[#This Row],[Ganancia Unitaria]]*STOCK[[#This Row],[Salidas]]</f>
        <v>11.02</v>
      </c>
      <c r="Y571" s="76" t="s">
        <v>1157</v>
      </c>
      <c r="AA571" s="76">
        <f>STOCK[[#This Row],[Costo total]]*STOCK[[#This Row],[Entradas]]</f>
        <v>32.98</v>
      </c>
      <c r="AB571" s="76">
        <f>STOCK[[#This Row],[Stock Actual]]*STOCK[[#This Row],[Costo total]]</f>
        <v>0</v>
      </c>
    </row>
    <row r="572" s="77" customFormat="1" ht="50" customHeight="1" spans="1:28">
      <c r="A572" s="77" t="s">
        <v>1163</v>
      </c>
      <c r="B572" s="6"/>
      <c r="C572" s="77" t="s">
        <v>30</v>
      </c>
      <c r="D572" s="77" t="s">
        <v>151</v>
      </c>
      <c r="E572" s="77" t="s">
        <v>1164</v>
      </c>
      <c r="F572" s="77" t="s">
        <v>47</v>
      </c>
      <c r="G572" s="77" t="s">
        <v>34</v>
      </c>
      <c r="H572" s="77">
        <f>STOCK[[#This Row],[Precio Final]]</f>
        <v>20</v>
      </c>
      <c r="I572" s="77">
        <f>STOCK[[#This Row],[Precio Venta Ideal (x1.5)]]</f>
        <v>24.435</v>
      </c>
      <c r="J572" s="92">
        <v>3</v>
      </c>
      <c r="K572" s="92">
        <f>SUMIFS(VENTAS[Cantidad],VENTAS[Código del producto Vendido],STOCK[[#This Row],[Code]])</f>
        <v>2</v>
      </c>
      <c r="L572" s="92">
        <f>STOCK[[#This Row],[Entradas]]-STOCK[[#This Row],[Salidas]]</f>
        <v>1</v>
      </c>
      <c r="M572" s="77">
        <f>STOCK[[#This Row],[Precio Final]]*10%</f>
        <v>2</v>
      </c>
      <c r="N572" s="77">
        <v>0</v>
      </c>
      <c r="O572" s="77">
        <v>17.49</v>
      </c>
      <c r="P572" s="77">
        <v>12.29</v>
      </c>
      <c r="Q572" s="92">
        <v>0</v>
      </c>
      <c r="R572" s="77">
        <v>0</v>
      </c>
      <c r="S572" s="77">
        <v>2</v>
      </c>
      <c r="T572" s="76">
        <f>STOCK[[#This Row],[Costo Unitario (USD)]]+STOCK[[#This Row],[Costo Envío (USD)]]+STOCK[[#This Row],[Comisión 10%]]</f>
        <v>16.29</v>
      </c>
      <c r="U572" s="77">
        <f>STOCK[[#This Row],[Costo total]]*1.5</f>
        <v>24.435</v>
      </c>
      <c r="V572" s="77">
        <v>20</v>
      </c>
      <c r="W572" s="77">
        <f>STOCK[[#This Row],[Precio Final]]-STOCK[[#This Row],[Costo total]]</f>
        <v>3.71</v>
      </c>
      <c r="X572" s="77">
        <f>STOCK[[#This Row],[Ganancia Unitaria]]*STOCK[[#This Row],[Salidas]]</f>
        <v>7.42</v>
      </c>
      <c r="Y572" s="77" t="s">
        <v>1157</v>
      </c>
      <c r="AA572" s="77">
        <f>STOCK[[#This Row],[Costo total]]*STOCK[[#This Row],[Entradas]]</f>
        <v>48.87</v>
      </c>
      <c r="AB572" s="77">
        <f>STOCK[[#This Row],[Stock Actual]]*STOCK[[#This Row],[Costo total]]</f>
        <v>16.29</v>
      </c>
    </row>
    <row r="573" s="76" customFormat="1" ht="50" customHeight="1" spans="1:28">
      <c r="A573" s="76" t="s">
        <v>1165</v>
      </c>
      <c r="B573" s="6"/>
      <c r="C573" s="76" t="s">
        <v>30</v>
      </c>
      <c r="D573" s="76" t="s">
        <v>151</v>
      </c>
      <c r="E573" s="76" t="s">
        <v>1166</v>
      </c>
      <c r="F573" s="76" t="s">
        <v>1167</v>
      </c>
      <c r="G573" s="76" t="s">
        <v>34</v>
      </c>
      <c r="H573" s="76">
        <f>STOCK[[#This Row],[Precio Final]]</f>
        <v>20</v>
      </c>
      <c r="I573" s="76">
        <f>STOCK[[#This Row],[Precio Venta Ideal (x1.5)]]</f>
        <v>24.435</v>
      </c>
      <c r="J573" s="91">
        <v>2</v>
      </c>
      <c r="K573" s="91">
        <f>SUMIFS(VENTAS[Cantidad],VENTAS[Código del producto Vendido],STOCK[[#This Row],[Code]])</f>
        <v>2</v>
      </c>
      <c r="L573" s="91">
        <f>STOCK[[#This Row],[Entradas]]-STOCK[[#This Row],[Salidas]]</f>
        <v>0</v>
      </c>
      <c r="M573" s="76">
        <f>STOCK[[#This Row],[Precio Final]]*10%</f>
        <v>2</v>
      </c>
      <c r="N573" s="76">
        <v>0</v>
      </c>
      <c r="O573" s="76">
        <v>17.49</v>
      </c>
      <c r="P573" s="76">
        <v>12.29</v>
      </c>
      <c r="Q573" s="91">
        <v>0</v>
      </c>
      <c r="R573" s="76">
        <v>0</v>
      </c>
      <c r="S573" s="76">
        <v>2</v>
      </c>
      <c r="T573" s="76">
        <f>STOCK[[#This Row],[Costo Unitario (USD)]]+STOCK[[#This Row],[Costo Envío (USD)]]+STOCK[[#This Row],[Comisión 10%]]</f>
        <v>16.29</v>
      </c>
      <c r="U573" s="76">
        <f>STOCK[[#This Row],[Costo total]]*1.5</f>
        <v>24.435</v>
      </c>
      <c r="V573" s="76">
        <v>20</v>
      </c>
      <c r="W573" s="76">
        <f>STOCK[[#This Row],[Precio Final]]-STOCK[[#This Row],[Costo total]]</f>
        <v>3.71</v>
      </c>
      <c r="X573" s="76">
        <f>STOCK[[#This Row],[Ganancia Unitaria]]*STOCK[[#This Row],[Salidas]]</f>
        <v>7.42</v>
      </c>
      <c r="Y573" s="76" t="s">
        <v>1157</v>
      </c>
      <c r="AA573" s="76">
        <f>STOCK[[#This Row],[Costo total]]*STOCK[[#This Row],[Entradas]]</f>
        <v>32.58</v>
      </c>
      <c r="AB573" s="76">
        <f>STOCK[[#This Row],[Stock Actual]]*STOCK[[#This Row],[Costo total]]</f>
        <v>0</v>
      </c>
    </row>
    <row r="574" s="77" customFormat="1" ht="50" customHeight="1" spans="1:28">
      <c r="A574" s="77" t="s">
        <v>1168</v>
      </c>
      <c r="B574" s="6"/>
      <c r="C574" s="77" t="s">
        <v>30</v>
      </c>
      <c r="D574" s="77" t="s">
        <v>173</v>
      </c>
      <c r="E574" s="77" t="s">
        <v>1169</v>
      </c>
      <c r="F574" s="77" t="s">
        <v>86</v>
      </c>
      <c r="G574" s="77" t="s">
        <v>34</v>
      </c>
      <c r="H574" s="77">
        <f>STOCK[[#This Row],[Precio Final]]</f>
        <v>13</v>
      </c>
      <c r="I574" s="77">
        <f>STOCK[[#This Row],[Precio Venta Ideal (x1.5)]]</f>
        <v>14.865</v>
      </c>
      <c r="J574" s="92">
        <v>3</v>
      </c>
      <c r="K574" s="92">
        <f>SUMIFS(VENTAS[Cantidad],VENTAS[Código del producto Vendido],STOCK[[#This Row],[Code]])</f>
        <v>3</v>
      </c>
      <c r="L574" s="92">
        <f>STOCK[[#This Row],[Entradas]]-STOCK[[#This Row],[Salidas]]</f>
        <v>0</v>
      </c>
      <c r="M574" s="77">
        <f>STOCK[[#This Row],[Precio Final]]*10%</f>
        <v>1.3</v>
      </c>
      <c r="N574" s="77">
        <v>0</v>
      </c>
      <c r="O574" s="77">
        <v>0</v>
      </c>
      <c r="P574" s="77">
        <v>7.61</v>
      </c>
      <c r="Q574" s="92">
        <v>0</v>
      </c>
      <c r="R574" s="77">
        <v>0</v>
      </c>
      <c r="S574" s="77">
        <v>1</v>
      </c>
      <c r="T574" s="76">
        <f>STOCK[[#This Row],[Costo Unitario (USD)]]+STOCK[[#This Row],[Costo Envío (USD)]]+STOCK[[#This Row],[Comisión 10%]]</f>
        <v>9.91</v>
      </c>
      <c r="U574" s="77">
        <f>STOCK[[#This Row],[Costo total]]*1.5</f>
        <v>14.865</v>
      </c>
      <c r="V574" s="77">
        <v>13</v>
      </c>
      <c r="W574" s="77">
        <f>STOCK[[#This Row],[Precio Final]]-STOCK[[#This Row],[Costo total]]</f>
        <v>3.09</v>
      </c>
      <c r="X574" s="77">
        <f>STOCK[[#This Row],[Ganancia Unitaria]]*STOCK[[#This Row],[Salidas]]</f>
        <v>9.27</v>
      </c>
      <c r="Y574" s="77" t="s">
        <v>1157</v>
      </c>
      <c r="AA574" s="77">
        <f>STOCK[[#This Row],[Costo total]]*STOCK[[#This Row],[Entradas]]</f>
        <v>29.73</v>
      </c>
      <c r="AB574" s="77">
        <f>STOCK[[#This Row],[Stock Actual]]*STOCK[[#This Row],[Costo total]]</f>
        <v>0</v>
      </c>
    </row>
    <row r="575" s="76" customFormat="1" ht="50" customHeight="1" spans="1:28">
      <c r="A575" s="76" t="s">
        <v>1170</v>
      </c>
      <c r="B575" s="6"/>
      <c r="C575" s="76" t="s">
        <v>30</v>
      </c>
      <c r="D575" s="76" t="s">
        <v>173</v>
      </c>
      <c r="E575" s="76" t="s">
        <v>1169</v>
      </c>
      <c r="F575" s="76" t="s">
        <v>81</v>
      </c>
      <c r="G575" s="76" t="s">
        <v>34</v>
      </c>
      <c r="H575" s="76">
        <f>STOCK[[#This Row],[Precio Final]]</f>
        <v>13</v>
      </c>
      <c r="I575" s="76">
        <f>STOCK[[#This Row],[Precio Venta Ideal (x1.5)]]</f>
        <v>14.865</v>
      </c>
      <c r="J575" s="91">
        <v>2</v>
      </c>
      <c r="K575" s="91">
        <f>SUMIFS(VENTAS[Cantidad],VENTAS[Código del producto Vendido],STOCK[[#This Row],[Code]])</f>
        <v>2</v>
      </c>
      <c r="L575" s="91">
        <f>STOCK[[#This Row],[Entradas]]-STOCK[[#This Row],[Salidas]]</f>
        <v>0</v>
      </c>
      <c r="M575" s="76">
        <f>STOCK[[#This Row],[Precio Final]]*10%</f>
        <v>1.3</v>
      </c>
      <c r="N575" s="76">
        <v>4.72</v>
      </c>
      <c r="O575" s="76">
        <v>0</v>
      </c>
      <c r="P575" s="76">
        <v>7.61</v>
      </c>
      <c r="Q575" s="91">
        <v>0</v>
      </c>
      <c r="R575" s="76">
        <v>0</v>
      </c>
      <c r="S575" s="76">
        <v>1</v>
      </c>
      <c r="T575" s="76">
        <f>STOCK[[#This Row],[Costo Unitario (USD)]]+STOCK[[#This Row],[Costo Envío (USD)]]+STOCK[[#This Row],[Comisión 10%]]</f>
        <v>9.91</v>
      </c>
      <c r="U575" s="76">
        <f>STOCK[[#This Row],[Costo total]]*1.5</f>
        <v>14.865</v>
      </c>
      <c r="V575" s="76">
        <v>13</v>
      </c>
      <c r="W575" s="76">
        <f>STOCK[[#This Row],[Precio Final]]-STOCK[[#This Row],[Costo total]]</f>
        <v>3.09</v>
      </c>
      <c r="X575" s="76">
        <f>STOCK[[#This Row],[Ganancia Unitaria]]*STOCK[[#This Row],[Salidas]]</f>
        <v>6.18</v>
      </c>
      <c r="Y575" s="76" t="s">
        <v>1157</v>
      </c>
      <c r="AA575" s="76">
        <f>STOCK[[#This Row],[Costo total]]*STOCK[[#This Row],[Entradas]]</f>
        <v>19.82</v>
      </c>
      <c r="AB575" s="76">
        <f>STOCK[[#This Row],[Stock Actual]]*STOCK[[#This Row],[Costo total]]</f>
        <v>0</v>
      </c>
    </row>
    <row r="576" s="77" customFormat="1" ht="50" customHeight="1" spans="1:28">
      <c r="A576" s="77" t="s">
        <v>1171</v>
      </c>
      <c r="B576" s="6"/>
      <c r="C576" s="77" t="s">
        <v>30</v>
      </c>
      <c r="D576" s="77" t="s">
        <v>42</v>
      </c>
      <c r="E576" s="77" t="s">
        <v>1172</v>
      </c>
      <c r="F576" s="77" t="s">
        <v>60</v>
      </c>
      <c r="G576" s="77" t="s">
        <v>34</v>
      </c>
      <c r="H576" s="77">
        <f>STOCK[[#This Row],[Precio Final]]</f>
        <v>28</v>
      </c>
      <c r="I576" s="77">
        <f>STOCK[[#This Row],[Precio Venta Ideal (x1.5)]]</f>
        <v>30.675</v>
      </c>
      <c r="J576" s="92">
        <v>1</v>
      </c>
      <c r="K576" s="92">
        <f>SUMIFS(VENTAS[Cantidad],VENTAS[Código del producto Vendido],STOCK[[#This Row],[Code]])</f>
        <v>1</v>
      </c>
      <c r="L576" s="92">
        <f>STOCK[[#This Row],[Entradas]]-STOCK[[#This Row],[Salidas]]</f>
        <v>0</v>
      </c>
      <c r="M576" s="77">
        <f>STOCK[[#This Row],[Precio Final]]*10%</f>
        <v>2.8</v>
      </c>
      <c r="N576" s="77">
        <v>0</v>
      </c>
      <c r="O576" s="77">
        <v>0</v>
      </c>
      <c r="P576" s="77">
        <v>17.65</v>
      </c>
      <c r="Q576" s="92">
        <v>0</v>
      </c>
      <c r="R576" s="77">
        <v>0</v>
      </c>
      <c r="S576" s="77">
        <v>0</v>
      </c>
      <c r="T576" s="76">
        <f>STOCK[[#This Row],[Costo Unitario (USD)]]+STOCK[[#This Row],[Costo Envío (USD)]]+STOCK[[#This Row],[Comisión 10%]]</f>
        <v>20.45</v>
      </c>
      <c r="U576" s="77">
        <f>STOCK[[#This Row],[Costo total]]*1.5</f>
        <v>30.675</v>
      </c>
      <c r="V576" s="77">
        <v>28</v>
      </c>
      <c r="W576" s="77">
        <f>STOCK[[#This Row],[Precio Final]]-STOCK[[#This Row],[Costo total]]</f>
        <v>7.55</v>
      </c>
      <c r="X576" s="77">
        <f>STOCK[[#This Row],[Ganancia Unitaria]]*STOCK[[#This Row],[Salidas]]</f>
        <v>7.55</v>
      </c>
      <c r="Y576" s="77" t="s">
        <v>1157</v>
      </c>
      <c r="AA576" s="77">
        <f>STOCK[[#This Row],[Costo total]]*STOCK[[#This Row],[Entradas]]</f>
        <v>20.45</v>
      </c>
      <c r="AB576" s="77">
        <f>STOCK[[#This Row],[Stock Actual]]*STOCK[[#This Row],[Costo total]]</f>
        <v>0</v>
      </c>
    </row>
    <row r="577" s="76" customFormat="1" ht="50" customHeight="1" spans="1:28">
      <c r="A577" s="76" t="s">
        <v>1173</v>
      </c>
      <c r="B577" s="6"/>
      <c r="C577" s="76" t="s">
        <v>30</v>
      </c>
      <c r="D577" s="76" t="s">
        <v>42</v>
      </c>
      <c r="E577" s="76" t="s">
        <v>1172</v>
      </c>
      <c r="F577" s="76" t="s">
        <v>47</v>
      </c>
      <c r="G577" s="76" t="s">
        <v>34</v>
      </c>
      <c r="H577" s="76">
        <f>STOCK[[#This Row],[Precio Final]]</f>
        <v>28</v>
      </c>
      <c r="I577" s="76">
        <f>STOCK[[#This Row],[Precio Venta Ideal (x1.5)]]</f>
        <v>30.675</v>
      </c>
      <c r="J577" s="91">
        <v>1</v>
      </c>
      <c r="K577" s="91">
        <f>SUMIFS(VENTAS[Cantidad],VENTAS[Código del producto Vendido],STOCK[[#This Row],[Code]])</f>
        <v>1</v>
      </c>
      <c r="L577" s="91">
        <f>STOCK[[#This Row],[Entradas]]-STOCK[[#This Row],[Salidas]]</f>
        <v>0</v>
      </c>
      <c r="M577" s="76">
        <f>STOCK[[#This Row],[Precio Final]]*10%</f>
        <v>2.8</v>
      </c>
      <c r="N577" s="76">
        <v>0</v>
      </c>
      <c r="O577" s="76">
        <v>0</v>
      </c>
      <c r="P577" s="76">
        <v>17.65</v>
      </c>
      <c r="Q577" s="91">
        <v>0</v>
      </c>
      <c r="R577" s="76">
        <v>0</v>
      </c>
      <c r="S577" s="76">
        <v>0</v>
      </c>
      <c r="T577" s="76">
        <f>STOCK[[#This Row],[Costo Unitario (USD)]]+STOCK[[#This Row],[Costo Envío (USD)]]+STOCK[[#This Row],[Comisión 10%]]</f>
        <v>20.45</v>
      </c>
      <c r="U577" s="76">
        <f>STOCK[[#This Row],[Costo total]]*1.5</f>
        <v>30.675</v>
      </c>
      <c r="V577" s="76">
        <v>28</v>
      </c>
      <c r="W577" s="76">
        <f>STOCK[[#This Row],[Precio Final]]-STOCK[[#This Row],[Costo total]]</f>
        <v>7.55</v>
      </c>
      <c r="X577" s="76">
        <f>STOCK[[#This Row],[Ganancia Unitaria]]*STOCK[[#This Row],[Salidas]]</f>
        <v>7.55</v>
      </c>
      <c r="Y577" s="76" t="s">
        <v>1157</v>
      </c>
      <c r="AA577" s="76">
        <f>STOCK[[#This Row],[Costo total]]*STOCK[[#This Row],[Entradas]]</f>
        <v>20.45</v>
      </c>
      <c r="AB577" s="76">
        <f>STOCK[[#This Row],[Stock Actual]]*STOCK[[#This Row],[Costo total]]</f>
        <v>0</v>
      </c>
    </row>
    <row r="578" s="77" customFormat="1" ht="50" customHeight="1" spans="1:28">
      <c r="A578" s="77" t="s">
        <v>1174</v>
      </c>
      <c r="B578" s="6"/>
      <c r="C578" s="77" t="s">
        <v>30</v>
      </c>
      <c r="D578" s="77" t="s">
        <v>42</v>
      </c>
      <c r="E578" s="77" t="s">
        <v>1172</v>
      </c>
      <c r="F578" s="77" t="s">
        <v>44</v>
      </c>
      <c r="G578" s="77" t="s">
        <v>34</v>
      </c>
      <c r="H578" s="77">
        <f>STOCK[[#This Row],[Precio Final]]</f>
        <v>28</v>
      </c>
      <c r="I578" s="77">
        <f>STOCK[[#This Row],[Precio Venta Ideal (x1.5)]]</f>
        <v>30.675</v>
      </c>
      <c r="J578" s="92">
        <v>1</v>
      </c>
      <c r="K578" s="92">
        <f>SUMIFS(VENTAS[Cantidad],VENTAS[Código del producto Vendido],STOCK[[#This Row],[Code]])</f>
        <v>1</v>
      </c>
      <c r="L578" s="92">
        <f>STOCK[[#This Row],[Entradas]]-STOCK[[#This Row],[Salidas]]</f>
        <v>0</v>
      </c>
      <c r="M578" s="77">
        <f>STOCK[[#This Row],[Precio Final]]*10%</f>
        <v>2.8</v>
      </c>
      <c r="N578" s="77">
        <v>0</v>
      </c>
      <c r="O578" s="77">
        <v>0</v>
      </c>
      <c r="P578" s="77">
        <v>17.65</v>
      </c>
      <c r="Q578" s="92">
        <v>0</v>
      </c>
      <c r="R578" s="77">
        <v>0</v>
      </c>
      <c r="S578" s="77">
        <v>0</v>
      </c>
      <c r="T578" s="76">
        <f>STOCK[[#This Row],[Costo Unitario (USD)]]+STOCK[[#This Row],[Costo Envío (USD)]]+STOCK[[#This Row],[Comisión 10%]]</f>
        <v>20.45</v>
      </c>
      <c r="U578" s="77">
        <f>STOCK[[#This Row],[Costo total]]*1.5</f>
        <v>30.675</v>
      </c>
      <c r="V578" s="77">
        <v>28</v>
      </c>
      <c r="W578" s="77">
        <f>STOCK[[#This Row],[Precio Final]]-STOCK[[#This Row],[Costo total]]</f>
        <v>7.55</v>
      </c>
      <c r="X578" s="77">
        <f>STOCK[[#This Row],[Ganancia Unitaria]]*STOCK[[#This Row],[Salidas]]</f>
        <v>7.55</v>
      </c>
      <c r="Y578" s="77" t="s">
        <v>1157</v>
      </c>
      <c r="AA578" s="77">
        <f>STOCK[[#This Row],[Costo total]]*STOCK[[#This Row],[Entradas]]</f>
        <v>20.45</v>
      </c>
      <c r="AB578" s="77">
        <f>STOCK[[#This Row],[Stock Actual]]*STOCK[[#This Row],[Costo total]]</f>
        <v>0</v>
      </c>
    </row>
    <row r="579" s="76" customFormat="1" ht="50" customHeight="1" spans="1:28">
      <c r="A579" s="76" t="s">
        <v>1175</v>
      </c>
      <c r="B579" s="6"/>
      <c r="C579" s="76" t="s">
        <v>30</v>
      </c>
      <c r="D579" s="76" t="s">
        <v>42</v>
      </c>
      <c r="E579" s="76" t="s">
        <v>1176</v>
      </c>
      <c r="G579" s="76" t="s">
        <v>34</v>
      </c>
      <c r="H579" s="76">
        <f>STOCK[[#This Row],[Precio Final]]</f>
        <v>0</v>
      </c>
      <c r="I579" s="76">
        <f>STOCK[[#This Row],[Precio Venta Ideal (x1.5)]]</f>
        <v>13.785</v>
      </c>
      <c r="J579" s="91">
        <v>0</v>
      </c>
      <c r="K579" s="91">
        <f>SUMIFS(VENTAS[Cantidad],VENTAS[Código del producto Vendido],STOCK[[#This Row],[Code]])</f>
        <v>0</v>
      </c>
      <c r="L579" s="91">
        <f>STOCK[[#This Row],[Entradas]]-STOCK[[#This Row],[Salidas]]</f>
        <v>0</v>
      </c>
      <c r="M579" s="76">
        <f>STOCK[[#This Row],[Precio Final]]*10%</f>
        <v>0</v>
      </c>
      <c r="N579" s="76">
        <v>0</v>
      </c>
      <c r="O579" s="76">
        <v>0</v>
      </c>
      <c r="P579" s="76">
        <v>9.19</v>
      </c>
      <c r="Q579" s="91">
        <v>0</v>
      </c>
      <c r="R579" s="76">
        <v>0</v>
      </c>
      <c r="S579" s="76">
        <v>0</v>
      </c>
      <c r="T579" s="76">
        <f>STOCK[[#This Row],[Costo Unitario (USD)]]+STOCK[[#This Row],[Costo Envío (USD)]]+STOCK[[#This Row],[Comisión 10%]]</f>
        <v>9.19</v>
      </c>
      <c r="U579" s="76">
        <f>STOCK[[#This Row],[Costo total]]*1.5</f>
        <v>13.785</v>
      </c>
      <c r="V579" s="76">
        <v>0</v>
      </c>
      <c r="W579" s="76">
        <f>STOCK[[#This Row],[Precio Final]]-STOCK[[#This Row],[Costo total]]</f>
        <v>-9.19</v>
      </c>
      <c r="X579" s="76">
        <f>STOCK[[#This Row],[Ganancia Unitaria]]*STOCK[[#This Row],[Salidas]]</f>
        <v>0</v>
      </c>
      <c r="Y579" s="76" t="s">
        <v>1157</v>
      </c>
      <c r="AA579" s="76">
        <f>STOCK[[#This Row],[Costo total]]*STOCK[[#This Row],[Entradas]]</f>
        <v>0</v>
      </c>
      <c r="AB579" s="76">
        <f>STOCK[[#This Row],[Stock Actual]]*STOCK[[#This Row],[Costo total]]</f>
        <v>0</v>
      </c>
    </row>
    <row r="580" s="77" customFormat="1" ht="50" customHeight="1" spans="1:28">
      <c r="A580" s="77" t="s">
        <v>1177</v>
      </c>
      <c r="B580" s="6"/>
      <c r="C580" s="77" t="s">
        <v>30</v>
      </c>
      <c r="D580" s="77" t="s">
        <v>42</v>
      </c>
      <c r="E580" s="77" t="s">
        <v>1176</v>
      </c>
      <c r="G580" s="77" t="s">
        <v>34</v>
      </c>
      <c r="H580" s="77">
        <f>STOCK[[#This Row],[Precio Final]]</f>
        <v>0</v>
      </c>
      <c r="I580" s="77">
        <f>STOCK[[#This Row],[Precio Venta Ideal (x1.5)]]</f>
        <v>11.295</v>
      </c>
      <c r="J580" s="92">
        <v>0</v>
      </c>
      <c r="K580" s="92">
        <f>SUMIFS(VENTAS[Cantidad],VENTAS[Código del producto Vendido],STOCK[[#This Row],[Code]])</f>
        <v>0</v>
      </c>
      <c r="L580" s="92">
        <f>STOCK[[#This Row],[Entradas]]-STOCK[[#This Row],[Salidas]]</f>
        <v>0</v>
      </c>
      <c r="M580" s="77">
        <f>STOCK[[#This Row],[Precio Final]]*10%</f>
        <v>0</v>
      </c>
      <c r="N580" s="77">
        <v>0</v>
      </c>
      <c r="O580" s="77">
        <v>0</v>
      </c>
      <c r="P580" s="77">
        <v>7.53</v>
      </c>
      <c r="Q580" s="92">
        <v>0</v>
      </c>
      <c r="R580" s="77">
        <v>0</v>
      </c>
      <c r="S580" s="77">
        <v>0</v>
      </c>
      <c r="T580" s="76">
        <f>STOCK[[#This Row],[Costo Unitario (USD)]]+STOCK[[#This Row],[Costo Envío (USD)]]+STOCK[[#This Row],[Comisión 10%]]</f>
        <v>7.53</v>
      </c>
      <c r="U580" s="77">
        <f>STOCK[[#This Row],[Costo total]]*1.5</f>
        <v>11.295</v>
      </c>
      <c r="W580" s="77">
        <f>STOCK[[#This Row],[Precio Final]]-STOCK[[#This Row],[Costo total]]</f>
        <v>-7.53</v>
      </c>
      <c r="X580" s="77">
        <f>STOCK[[#This Row],[Ganancia Unitaria]]*STOCK[[#This Row],[Salidas]]</f>
        <v>0</v>
      </c>
      <c r="Y580" s="77" t="s">
        <v>1157</v>
      </c>
      <c r="AA580" s="77">
        <f>STOCK[[#This Row],[Costo total]]*STOCK[[#This Row],[Entradas]]</f>
        <v>0</v>
      </c>
      <c r="AB580" s="77">
        <f>STOCK[[#This Row],[Stock Actual]]*STOCK[[#This Row],[Costo total]]</f>
        <v>0</v>
      </c>
    </row>
    <row r="581" s="76" customFormat="1" ht="50" customHeight="1" spans="1:28">
      <c r="A581" s="76" t="s">
        <v>1178</v>
      </c>
      <c r="B581" s="6"/>
      <c r="C581" s="76" t="s">
        <v>30</v>
      </c>
      <c r="D581" s="76" t="s">
        <v>42</v>
      </c>
      <c r="E581" s="76" t="s">
        <v>1179</v>
      </c>
      <c r="G581" s="76" t="s">
        <v>34</v>
      </c>
      <c r="H581" s="76">
        <f>STOCK[[#This Row],[Precio Final]]</f>
        <v>12</v>
      </c>
      <c r="I581" s="76">
        <f>STOCK[[#This Row],[Precio Venta Ideal (x1.5)]]</f>
        <v>15.885</v>
      </c>
      <c r="J581" s="91">
        <v>0</v>
      </c>
      <c r="K581" s="91">
        <f>SUMIFS(VENTAS[Cantidad],VENTAS[Código del producto Vendido],STOCK[[#This Row],[Code]])</f>
        <v>0</v>
      </c>
      <c r="L581" s="91">
        <f>STOCK[[#This Row],[Entradas]]-STOCK[[#This Row],[Salidas]]</f>
        <v>0</v>
      </c>
      <c r="M581" s="76">
        <f>STOCK[[#This Row],[Precio Final]]*10%</f>
        <v>1.2</v>
      </c>
      <c r="N581" s="76">
        <v>0</v>
      </c>
      <c r="O581" s="76">
        <v>0</v>
      </c>
      <c r="P581" s="76">
        <v>9.39</v>
      </c>
      <c r="Q581" s="91">
        <v>0</v>
      </c>
      <c r="R581" s="76">
        <v>0</v>
      </c>
      <c r="S581" s="76">
        <v>0</v>
      </c>
      <c r="T581" s="76">
        <f>STOCK[[#This Row],[Costo Unitario (USD)]]+STOCK[[#This Row],[Costo Envío (USD)]]+STOCK[[#This Row],[Comisión 10%]]</f>
        <v>10.59</v>
      </c>
      <c r="U581" s="76">
        <f>STOCK[[#This Row],[Costo total]]*1.5</f>
        <v>15.885</v>
      </c>
      <c r="V581" s="76">
        <v>12</v>
      </c>
      <c r="W581" s="76">
        <f>STOCK[[#This Row],[Precio Final]]-STOCK[[#This Row],[Costo total]]</f>
        <v>1.41</v>
      </c>
      <c r="X581" s="76">
        <f>STOCK[[#This Row],[Ganancia Unitaria]]*STOCK[[#This Row],[Salidas]]</f>
        <v>0</v>
      </c>
      <c r="Y581" s="76" t="s">
        <v>1157</v>
      </c>
      <c r="AA581" s="76">
        <f>STOCK[[#This Row],[Costo total]]*STOCK[[#This Row],[Entradas]]</f>
        <v>0</v>
      </c>
      <c r="AB581" s="76">
        <f>STOCK[[#This Row],[Stock Actual]]*STOCK[[#This Row],[Costo total]]</f>
        <v>0</v>
      </c>
    </row>
    <row r="582" s="77" customFormat="1" ht="50" customHeight="1" spans="1:28">
      <c r="A582" s="77" t="s">
        <v>1180</v>
      </c>
      <c r="B582" s="6"/>
      <c r="C582" s="77" t="s">
        <v>30</v>
      </c>
      <c r="D582" s="77" t="s">
        <v>151</v>
      </c>
      <c r="E582" s="77" t="s">
        <v>1181</v>
      </c>
      <c r="F582" s="77" t="s">
        <v>210</v>
      </c>
      <c r="G582" s="77" t="s">
        <v>34</v>
      </c>
      <c r="H582" s="77">
        <f>STOCK[[#This Row],[Precio Final]]</f>
        <v>20</v>
      </c>
      <c r="I582" s="77">
        <f>STOCK[[#This Row],[Precio Venta Ideal (x1.5)]]</f>
        <v>24.435</v>
      </c>
      <c r="J582" s="92">
        <v>1</v>
      </c>
      <c r="K582" s="92">
        <f>SUMIFS(VENTAS[Cantidad],VENTAS[Código del producto Vendido],STOCK[[#This Row],[Code]])</f>
        <v>1</v>
      </c>
      <c r="L582" s="92">
        <f>STOCK[[#This Row],[Entradas]]-STOCK[[#This Row],[Salidas]]</f>
        <v>0</v>
      </c>
      <c r="M582" s="77">
        <f>STOCK[[#This Row],[Precio Final]]*10%</f>
        <v>2</v>
      </c>
      <c r="N582" s="77">
        <v>-17.37</v>
      </c>
      <c r="O582" s="77">
        <v>0</v>
      </c>
      <c r="P582" s="77">
        <v>12.29</v>
      </c>
      <c r="Q582" s="92">
        <v>0</v>
      </c>
      <c r="R582" s="77">
        <v>0</v>
      </c>
      <c r="S582" s="77">
        <v>2</v>
      </c>
      <c r="T582" s="76">
        <f>STOCK[[#This Row],[Costo Unitario (USD)]]+STOCK[[#This Row],[Costo Envío (USD)]]+STOCK[[#This Row],[Comisión 10%]]</f>
        <v>16.29</v>
      </c>
      <c r="U582" s="77">
        <f>STOCK[[#This Row],[Costo total]]*1.5</f>
        <v>24.435</v>
      </c>
      <c r="V582" s="77">
        <v>20</v>
      </c>
      <c r="W582" s="77">
        <f>STOCK[[#This Row],[Precio Final]]-STOCK[[#This Row],[Costo total]]</f>
        <v>3.71</v>
      </c>
      <c r="X582" s="77">
        <f>STOCK[[#This Row],[Ganancia Unitaria]]*STOCK[[#This Row],[Salidas]]</f>
        <v>3.71</v>
      </c>
      <c r="Y582" s="77" t="s">
        <v>1157</v>
      </c>
      <c r="AA582" s="77">
        <f>STOCK[[#This Row],[Costo total]]*STOCK[[#This Row],[Entradas]]</f>
        <v>16.29</v>
      </c>
      <c r="AB582" s="77">
        <f>STOCK[[#This Row],[Stock Actual]]*STOCK[[#This Row],[Costo total]]</f>
        <v>0</v>
      </c>
    </row>
    <row r="583" s="76" customFormat="1" ht="50" customHeight="1" spans="1:28">
      <c r="A583" s="76" t="s">
        <v>1182</v>
      </c>
      <c r="B583" s="6"/>
      <c r="C583" s="76" t="s">
        <v>30</v>
      </c>
      <c r="D583" s="76" t="s">
        <v>151</v>
      </c>
      <c r="E583" s="76" t="s">
        <v>1181</v>
      </c>
      <c r="F583" s="76" t="s">
        <v>60</v>
      </c>
      <c r="G583" s="76" t="s">
        <v>34</v>
      </c>
      <c r="H583" s="76">
        <f>STOCK[[#This Row],[Precio Final]]</f>
        <v>0</v>
      </c>
      <c r="I583" s="76">
        <f>STOCK[[#This Row],[Precio Venta Ideal (x1.5)]]</f>
        <v>21.435</v>
      </c>
      <c r="J583" s="91">
        <v>1</v>
      </c>
      <c r="K583" s="91">
        <f>SUMIFS(VENTAS[Cantidad],VENTAS[Código del producto Vendido],STOCK[[#This Row],[Code]])</f>
        <v>1</v>
      </c>
      <c r="L583" s="91">
        <f>STOCK[[#This Row],[Entradas]]-STOCK[[#This Row],[Salidas]]</f>
        <v>0</v>
      </c>
      <c r="M583" s="76">
        <f>STOCK[[#This Row],[Precio Final]]*10%</f>
        <v>0</v>
      </c>
      <c r="N583" s="76">
        <v>-17.37</v>
      </c>
      <c r="O583" s="76">
        <v>0</v>
      </c>
      <c r="P583" s="76">
        <v>12.29</v>
      </c>
      <c r="Q583" s="91">
        <v>0</v>
      </c>
      <c r="R583" s="76">
        <v>0</v>
      </c>
      <c r="S583" s="76">
        <v>2</v>
      </c>
      <c r="T583" s="76">
        <f>STOCK[[#This Row],[Costo Unitario (USD)]]+STOCK[[#This Row],[Costo Envío (USD)]]+STOCK[[#This Row],[Comisión 10%]]</f>
        <v>14.29</v>
      </c>
      <c r="U583" s="76">
        <f>STOCK[[#This Row],[Costo total]]*1.5</f>
        <v>21.435</v>
      </c>
      <c r="V583" s="76">
        <v>0</v>
      </c>
      <c r="W583" s="76">
        <f>STOCK[[#This Row],[Precio Final]]-STOCK[[#This Row],[Costo total]]</f>
        <v>-14.29</v>
      </c>
      <c r="X583" s="76">
        <f>STOCK[[#This Row],[Ganancia Unitaria]]*STOCK[[#This Row],[Salidas]]</f>
        <v>-14.29</v>
      </c>
      <c r="Y583" s="76" t="s">
        <v>1157</v>
      </c>
      <c r="AA583" s="76">
        <f>STOCK[[#This Row],[Costo total]]*STOCK[[#This Row],[Entradas]]</f>
        <v>14.29</v>
      </c>
      <c r="AB583" s="76">
        <f>STOCK[[#This Row],[Stock Actual]]*STOCK[[#This Row],[Costo total]]</f>
        <v>0</v>
      </c>
    </row>
    <row r="584" s="77" customFormat="1" ht="50" customHeight="1" spans="1:28">
      <c r="A584" s="77" t="s">
        <v>1183</v>
      </c>
      <c r="B584" s="6"/>
      <c r="C584" s="77" t="s">
        <v>30</v>
      </c>
      <c r="D584" s="77" t="s">
        <v>1073</v>
      </c>
      <c r="E584" s="77" t="s">
        <v>1184</v>
      </c>
      <c r="G584" s="77" t="s">
        <v>34</v>
      </c>
      <c r="H584" s="77">
        <f>STOCK[[#This Row],[Precio Final]]</f>
        <v>12</v>
      </c>
      <c r="I584" s="77">
        <f>STOCK[[#This Row],[Precio Venta Ideal (x1.5)]]</f>
        <v>11.445</v>
      </c>
      <c r="J584" s="92">
        <v>0</v>
      </c>
      <c r="K584" s="92">
        <f>SUMIFS(VENTAS[Cantidad],VENTAS[Código del producto Vendido],STOCK[[#This Row],[Code]])</f>
        <v>0</v>
      </c>
      <c r="L584" s="92">
        <f>STOCK[[#This Row],[Entradas]]-STOCK[[#This Row],[Salidas]]</f>
        <v>0</v>
      </c>
      <c r="M584" s="77">
        <f>STOCK[[#This Row],[Precio Final]]*10%</f>
        <v>1.2</v>
      </c>
      <c r="N584" s="77">
        <v>0</v>
      </c>
      <c r="O584" s="77">
        <v>0</v>
      </c>
      <c r="P584" s="77">
        <v>6.43</v>
      </c>
      <c r="Q584" s="92">
        <v>0</v>
      </c>
      <c r="R584" s="77">
        <v>0</v>
      </c>
      <c r="S584" s="77">
        <v>0</v>
      </c>
      <c r="T584" s="76">
        <f>STOCK[[#This Row],[Costo Unitario (USD)]]+STOCK[[#This Row],[Costo Envío (USD)]]+STOCK[[#This Row],[Comisión 10%]]</f>
        <v>7.63</v>
      </c>
      <c r="U584" s="77">
        <f>STOCK[[#This Row],[Costo total]]*1.5</f>
        <v>11.445</v>
      </c>
      <c r="V584" s="77">
        <v>12</v>
      </c>
      <c r="W584" s="77">
        <f>STOCK[[#This Row],[Precio Final]]-STOCK[[#This Row],[Costo total]]</f>
        <v>4.37</v>
      </c>
      <c r="X584" s="77">
        <f>STOCK[[#This Row],[Ganancia Unitaria]]*STOCK[[#This Row],[Salidas]]</f>
        <v>0</v>
      </c>
      <c r="Y584" s="77" t="s">
        <v>1157</v>
      </c>
      <c r="AA584" s="77">
        <f>STOCK[[#This Row],[Costo total]]*STOCK[[#This Row],[Entradas]]</f>
        <v>0</v>
      </c>
      <c r="AB584" s="77">
        <f>STOCK[[#This Row],[Stock Actual]]*STOCK[[#This Row],[Costo total]]</f>
        <v>0</v>
      </c>
    </row>
    <row r="585" s="76" customFormat="1" ht="50" customHeight="1" spans="1:28">
      <c r="A585" s="76" t="s">
        <v>1185</v>
      </c>
      <c r="B585" s="6"/>
      <c r="C585" s="76" t="s">
        <v>30</v>
      </c>
      <c r="D585" s="76" t="s">
        <v>173</v>
      </c>
      <c r="E585" s="76" t="s">
        <v>1186</v>
      </c>
      <c r="F585" s="76" t="s">
        <v>47</v>
      </c>
      <c r="G585" s="76" t="s">
        <v>34</v>
      </c>
      <c r="H585" s="76">
        <f>STOCK[[#This Row],[Precio Final]]</f>
        <v>18</v>
      </c>
      <c r="I585" s="76">
        <f>STOCK[[#This Row],[Precio Venta Ideal (x1.5)]]</f>
        <v>21.825</v>
      </c>
      <c r="J585" s="91">
        <v>1</v>
      </c>
      <c r="K585" s="91">
        <f>SUMIFS(VENTAS[Cantidad],VENTAS[Código del producto Vendido],STOCK[[#This Row],[Code]])</f>
        <v>1</v>
      </c>
      <c r="L585" s="91">
        <f>STOCK[[#This Row],[Entradas]]-STOCK[[#This Row],[Salidas]]</f>
        <v>0</v>
      </c>
      <c r="M585" s="76">
        <f>STOCK[[#This Row],[Precio Final]]*10%</f>
        <v>1.8</v>
      </c>
      <c r="N585" s="76">
        <v>3.61</v>
      </c>
      <c r="O585" s="76">
        <v>0</v>
      </c>
      <c r="P585" s="76">
        <v>11.75</v>
      </c>
      <c r="Q585" s="91">
        <v>0</v>
      </c>
      <c r="R585" s="76">
        <v>0</v>
      </c>
      <c r="S585" s="76">
        <v>1</v>
      </c>
      <c r="T585" s="76">
        <f>STOCK[[#This Row],[Costo Unitario (USD)]]+STOCK[[#This Row],[Costo Envío (USD)]]+STOCK[[#This Row],[Comisión 10%]]</f>
        <v>14.55</v>
      </c>
      <c r="U585" s="76">
        <f>STOCK[[#This Row],[Costo total]]*1.5</f>
        <v>21.825</v>
      </c>
      <c r="V585" s="76">
        <v>18</v>
      </c>
      <c r="W585" s="76">
        <f>STOCK[[#This Row],[Precio Final]]-STOCK[[#This Row],[Costo total]]</f>
        <v>3.45</v>
      </c>
      <c r="X585" s="76">
        <f>STOCK[[#This Row],[Ganancia Unitaria]]*STOCK[[#This Row],[Salidas]]</f>
        <v>3.45</v>
      </c>
      <c r="Y585" s="76" t="s">
        <v>1157</v>
      </c>
      <c r="AA585" s="76">
        <f>STOCK[[#This Row],[Costo total]]*STOCK[[#This Row],[Entradas]]</f>
        <v>14.55</v>
      </c>
      <c r="AB585" s="76">
        <f>STOCK[[#This Row],[Stock Actual]]*STOCK[[#This Row],[Costo total]]</f>
        <v>0</v>
      </c>
    </row>
    <row r="586" s="77" customFormat="1" ht="50" customHeight="1" spans="1:28">
      <c r="A586" s="77" t="s">
        <v>1187</v>
      </c>
      <c r="B586" s="6"/>
      <c r="C586" s="77" t="s">
        <v>30</v>
      </c>
      <c r="D586" s="77" t="s">
        <v>1188</v>
      </c>
      <c r="E586" s="77" t="s">
        <v>1189</v>
      </c>
      <c r="F586" s="77" t="s">
        <v>60</v>
      </c>
      <c r="G586" s="77" t="s">
        <v>34</v>
      </c>
      <c r="H586" s="77">
        <f>STOCK[[#This Row],[Precio Final]]</f>
        <v>20</v>
      </c>
      <c r="I586" s="77">
        <f>STOCK[[#This Row],[Precio Venta Ideal (x1.5)]]</f>
        <v>22.575</v>
      </c>
      <c r="J586" s="92">
        <v>1</v>
      </c>
      <c r="K586" s="92">
        <f>SUMIFS(VENTAS[Cantidad],VENTAS[Código del producto Vendido],STOCK[[#This Row],[Code]])</f>
        <v>0</v>
      </c>
      <c r="L586" s="92">
        <f>STOCK[[#This Row],[Entradas]]-STOCK[[#This Row],[Salidas]]</f>
        <v>1</v>
      </c>
      <c r="M586" s="77">
        <f>STOCK[[#This Row],[Precio Final]]*10%</f>
        <v>2</v>
      </c>
      <c r="N586" s="77">
        <v>0</v>
      </c>
      <c r="O586" s="77">
        <v>0</v>
      </c>
      <c r="P586" s="77">
        <v>12.05</v>
      </c>
      <c r="Q586" s="92">
        <v>0</v>
      </c>
      <c r="R586" s="77">
        <v>0</v>
      </c>
      <c r="S586" s="77">
        <v>1</v>
      </c>
      <c r="T586" s="76">
        <f>STOCK[[#This Row],[Costo Unitario (USD)]]+STOCK[[#This Row],[Costo Envío (USD)]]+STOCK[[#This Row],[Comisión 10%]]</f>
        <v>15.05</v>
      </c>
      <c r="U586" s="77">
        <f>STOCK[[#This Row],[Costo total]]*1.5</f>
        <v>22.575</v>
      </c>
      <c r="V586" s="77">
        <v>20</v>
      </c>
      <c r="W586" s="77">
        <f>STOCK[[#This Row],[Precio Final]]-STOCK[[#This Row],[Costo total]]</f>
        <v>4.95</v>
      </c>
      <c r="X586" s="77">
        <f>STOCK[[#This Row],[Ganancia Unitaria]]*STOCK[[#This Row],[Salidas]]</f>
        <v>0</v>
      </c>
      <c r="Y586" s="77" t="s">
        <v>1157</v>
      </c>
      <c r="AA586" s="77">
        <f>STOCK[[#This Row],[Costo total]]*STOCK[[#This Row],[Entradas]]</f>
        <v>15.05</v>
      </c>
      <c r="AB586" s="77">
        <f>STOCK[[#This Row],[Stock Actual]]*STOCK[[#This Row],[Costo total]]</f>
        <v>15.05</v>
      </c>
    </row>
    <row r="587" s="76" customFormat="1" ht="50" customHeight="1" spans="1:28">
      <c r="A587" s="76" t="s">
        <v>1190</v>
      </c>
      <c r="B587" s="6"/>
      <c r="C587" s="76" t="s">
        <v>30</v>
      </c>
      <c r="D587" s="76" t="s">
        <v>42</v>
      </c>
      <c r="E587" s="76" t="s">
        <v>1191</v>
      </c>
      <c r="F587" s="76" t="s">
        <v>86</v>
      </c>
      <c r="G587" s="76" t="s">
        <v>34</v>
      </c>
      <c r="H587" s="76">
        <f>STOCK[[#This Row],[Precio Final]]</f>
        <v>35</v>
      </c>
      <c r="I587" s="76">
        <f>STOCK[[#This Row],[Precio Venta Ideal (x1.5)]]</f>
        <v>27.615</v>
      </c>
      <c r="J587" s="91">
        <v>1</v>
      </c>
      <c r="K587" s="91">
        <f>SUMIFS(VENTAS[Cantidad],VENTAS[Código del producto Vendido],STOCK[[#This Row],[Code]])</f>
        <v>1</v>
      </c>
      <c r="L587" s="91">
        <f>STOCK[[#This Row],[Entradas]]-STOCK[[#This Row],[Salidas]]</f>
        <v>0</v>
      </c>
      <c r="M587" s="76">
        <f>STOCK[[#This Row],[Precio Final]]*10%</f>
        <v>3.5</v>
      </c>
      <c r="N587" s="76">
        <v>0</v>
      </c>
      <c r="O587" s="76">
        <v>0</v>
      </c>
      <c r="P587" s="76">
        <v>13.91</v>
      </c>
      <c r="Q587" s="91">
        <v>0</v>
      </c>
      <c r="R587" s="76">
        <v>0</v>
      </c>
      <c r="S587" s="76">
        <v>1</v>
      </c>
      <c r="T587" s="76">
        <f>STOCK[[#This Row],[Costo Unitario (USD)]]+STOCK[[#This Row],[Costo Envío (USD)]]+STOCK[[#This Row],[Comisión 10%]]</f>
        <v>18.41</v>
      </c>
      <c r="U587" s="76">
        <f>STOCK[[#This Row],[Costo total]]*1.5</f>
        <v>27.615</v>
      </c>
      <c r="V587" s="76">
        <v>35</v>
      </c>
      <c r="W587" s="76">
        <f>STOCK[[#This Row],[Precio Final]]-STOCK[[#This Row],[Costo total]]</f>
        <v>16.59</v>
      </c>
      <c r="X587" s="76">
        <f>STOCK[[#This Row],[Ganancia Unitaria]]*STOCK[[#This Row],[Salidas]]</f>
        <v>16.59</v>
      </c>
      <c r="Y587" s="76" t="s">
        <v>1157</v>
      </c>
      <c r="AA587" s="76">
        <f>STOCK[[#This Row],[Costo total]]*STOCK[[#This Row],[Entradas]]</f>
        <v>18.41</v>
      </c>
      <c r="AB587" s="76">
        <f>STOCK[[#This Row],[Stock Actual]]*STOCK[[#This Row],[Costo total]]</f>
        <v>0</v>
      </c>
    </row>
    <row r="588" s="77" customFormat="1" ht="50" customHeight="1" spans="1:28">
      <c r="A588" s="77" t="s">
        <v>1192</v>
      </c>
      <c r="B588" s="6"/>
      <c r="C588" s="77" t="s">
        <v>30</v>
      </c>
      <c r="D588" s="77" t="s">
        <v>1073</v>
      </c>
      <c r="E588" s="77" t="s">
        <v>1176</v>
      </c>
      <c r="G588" s="77" t="s">
        <v>34</v>
      </c>
      <c r="H588" s="77">
        <f>STOCK[[#This Row],[Precio Final]]</f>
        <v>12</v>
      </c>
      <c r="I588" s="77">
        <f>STOCK[[#This Row],[Precio Venta Ideal (x1.5)]]</f>
        <v>17.385</v>
      </c>
      <c r="J588" s="92">
        <v>0</v>
      </c>
      <c r="K588" s="92">
        <f>SUMIFS(VENTAS[Cantidad],VENTAS[Código del producto Vendido],STOCK[[#This Row],[Code]])</f>
        <v>0</v>
      </c>
      <c r="L588" s="92">
        <f>STOCK[[#This Row],[Entradas]]-STOCK[[#This Row],[Salidas]]</f>
        <v>0</v>
      </c>
      <c r="M588" s="77">
        <f>STOCK[[#This Row],[Precio Final]]*10%</f>
        <v>1.2</v>
      </c>
      <c r="N588" s="77">
        <v>0</v>
      </c>
      <c r="O588" s="77">
        <v>0</v>
      </c>
      <c r="P588" s="77">
        <v>9.39</v>
      </c>
      <c r="Q588" s="92">
        <v>0</v>
      </c>
      <c r="R588" s="77">
        <v>0</v>
      </c>
      <c r="S588" s="77">
        <v>1</v>
      </c>
      <c r="T588" s="76">
        <f>STOCK[[#This Row],[Costo Unitario (USD)]]+STOCK[[#This Row],[Costo Envío (USD)]]+STOCK[[#This Row],[Comisión 10%]]</f>
        <v>11.59</v>
      </c>
      <c r="U588" s="77">
        <f>STOCK[[#This Row],[Costo total]]*1.5</f>
        <v>17.385</v>
      </c>
      <c r="V588" s="77">
        <v>12</v>
      </c>
      <c r="W588" s="77">
        <f>STOCK[[#This Row],[Precio Final]]-STOCK[[#This Row],[Costo total]]</f>
        <v>0.41</v>
      </c>
      <c r="X588" s="77">
        <f>STOCK[[#This Row],[Ganancia Unitaria]]*STOCK[[#This Row],[Salidas]]</f>
        <v>0</v>
      </c>
      <c r="Y588" s="77" t="s">
        <v>1157</v>
      </c>
      <c r="AA588" s="77">
        <f>STOCK[[#This Row],[Costo total]]*STOCK[[#This Row],[Entradas]]</f>
        <v>0</v>
      </c>
      <c r="AB588" s="77">
        <f>STOCK[[#This Row],[Stock Actual]]*STOCK[[#This Row],[Costo total]]</f>
        <v>0</v>
      </c>
    </row>
    <row r="589" s="76" customFormat="1" ht="50" customHeight="1" spans="1:28">
      <c r="A589" s="76" t="s">
        <v>1193</v>
      </c>
      <c r="B589" s="6"/>
      <c r="C589" s="76" t="s">
        <v>30</v>
      </c>
      <c r="D589" s="76" t="s">
        <v>1073</v>
      </c>
      <c r="E589" s="76" t="s">
        <v>1176</v>
      </c>
      <c r="G589" s="76" t="s">
        <v>34</v>
      </c>
      <c r="H589" s="76">
        <f>STOCK[[#This Row],[Precio Final]]</f>
        <v>12</v>
      </c>
      <c r="I589" s="76">
        <f>STOCK[[#This Row],[Precio Venta Ideal (x1.5)]]</f>
        <v>13.095</v>
      </c>
      <c r="J589" s="91">
        <v>0</v>
      </c>
      <c r="K589" s="91">
        <f>SUMIFS(VENTAS[Cantidad],VENTAS[Código del producto Vendido],STOCK[[#This Row],[Code]])</f>
        <v>0</v>
      </c>
      <c r="L589" s="91">
        <f>STOCK[[#This Row],[Entradas]]-STOCK[[#This Row],[Salidas]]</f>
        <v>0</v>
      </c>
      <c r="M589" s="76">
        <f>STOCK[[#This Row],[Precio Final]]*10%</f>
        <v>1.2</v>
      </c>
      <c r="N589" s="76">
        <v>0</v>
      </c>
      <c r="O589" s="76">
        <v>0</v>
      </c>
      <c r="P589" s="76">
        <v>6.53</v>
      </c>
      <c r="Q589" s="91">
        <v>0</v>
      </c>
      <c r="R589" s="76">
        <v>0</v>
      </c>
      <c r="S589" s="76">
        <v>1</v>
      </c>
      <c r="T589" s="76">
        <f>STOCK[[#This Row],[Costo Unitario (USD)]]+STOCK[[#This Row],[Costo Envío (USD)]]+STOCK[[#This Row],[Comisión 10%]]</f>
        <v>8.73</v>
      </c>
      <c r="U589" s="76">
        <f>STOCK[[#This Row],[Costo total]]*1.5</f>
        <v>13.095</v>
      </c>
      <c r="V589" s="76">
        <v>12</v>
      </c>
      <c r="W589" s="76">
        <f>STOCK[[#This Row],[Precio Final]]-STOCK[[#This Row],[Costo total]]</f>
        <v>3.27</v>
      </c>
      <c r="X589" s="76">
        <f>STOCK[[#This Row],[Ganancia Unitaria]]*STOCK[[#This Row],[Salidas]]</f>
        <v>0</v>
      </c>
      <c r="Y589" s="76" t="s">
        <v>1157</v>
      </c>
      <c r="AA589" s="76">
        <f>STOCK[[#This Row],[Costo total]]*STOCK[[#This Row],[Entradas]]</f>
        <v>0</v>
      </c>
      <c r="AB589" s="76">
        <f>STOCK[[#This Row],[Stock Actual]]*STOCK[[#This Row],[Costo total]]</f>
        <v>0</v>
      </c>
    </row>
    <row r="590" s="77" customFormat="1" ht="50" customHeight="1" spans="1:28">
      <c r="A590" s="77" t="s">
        <v>1194</v>
      </c>
      <c r="B590" s="6"/>
      <c r="C590" s="77" t="s">
        <v>30</v>
      </c>
      <c r="D590" s="77" t="s">
        <v>287</v>
      </c>
      <c r="E590" s="77" t="s">
        <v>1195</v>
      </c>
      <c r="F590" s="77" t="s">
        <v>60</v>
      </c>
      <c r="G590" s="77" t="s">
        <v>34</v>
      </c>
      <c r="H590" s="77">
        <f>STOCK[[#This Row],[Precio Final]]</f>
        <v>40</v>
      </c>
      <c r="I590" s="77">
        <f>STOCK[[#This Row],[Precio Venta Ideal (x1.5)]]</f>
        <v>47.73</v>
      </c>
      <c r="J590" s="92">
        <v>2</v>
      </c>
      <c r="K590" s="92">
        <f>SUMIFS(VENTAS[Cantidad],VENTAS[Código del producto Vendido],STOCK[[#This Row],[Code]])</f>
        <v>2</v>
      </c>
      <c r="L590" s="92">
        <f>STOCK[[#This Row],[Entradas]]-STOCK[[#This Row],[Salidas]]</f>
        <v>0</v>
      </c>
      <c r="M590" s="77">
        <f>STOCK[[#This Row],[Precio Final]]*10%</f>
        <v>4</v>
      </c>
      <c r="N590" s="77">
        <v>-30.07</v>
      </c>
      <c r="O590" s="77">
        <v>30.07</v>
      </c>
      <c r="P590" s="77">
        <v>22.82</v>
      </c>
      <c r="Q590" s="92">
        <v>0</v>
      </c>
      <c r="R590" s="77">
        <v>0</v>
      </c>
      <c r="S590" s="77">
        <v>5</v>
      </c>
      <c r="T590" s="76">
        <f>STOCK[[#This Row],[Costo Unitario (USD)]]+STOCK[[#This Row],[Costo Envío (USD)]]+STOCK[[#This Row],[Comisión 10%]]</f>
        <v>31.82</v>
      </c>
      <c r="U590" s="77">
        <f>STOCK[[#This Row],[Costo total]]*1.5</f>
        <v>47.73</v>
      </c>
      <c r="V590" s="77">
        <v>40</v>
      </c>
      <c r="W590" s="77">
        <f>STOCK[[#This Row],[Precio Final]]-STOCK[[#This Row],[Costo total]]</f>
        <v>8.18</v>
      </c>
      <c r="X590" s="77">
        <f>STOCK[[#This Row],[Ganancia Unitaria]]*STOCK[[#This Row],[Salidas]]</f>
        <v>16.36</v>
      </c>
      <c r="Y590" s="77" t="s">
        <v>1157</v>
      </c>
      <c r="AA590" s="77">
        <f>STOCK[[#This Row],[Costo total]]*STOCK[[#This Row],[Entradas]]</f>
        <v>63.64</v>
      </c>
      <c r="AB590" s="77">
        <f>STOCK[[#This Row],[Stock Actual]]*STOCK[[#This Row],[Costo total]]</f>
        <v>0</v>
      </c>
    </row>
    <row r="591" s="76" customFormat="1" ht="50" customHeight="1" spans="1:28">
      <c r="A591" s="76" t="s">
        <v>1196</v>
      </c>
      <c r="B591" s="6"/>
      <c r="C591" s="76" t="s">
        <v>30</v>
      </c>
      <c r="D591" s="76" t="s">
        <v>287</v>
      </c>
      <c r="E591" s="76" t="s">
        <v>1197</v>
      </c>
      <c r="F591" s="76" t="s">
        <v>47</v>
      </c>
      <c r="G591" s="76" t="s">
        <v>34</v>
      </c>
      <c r="H591" s="76">
        <f>STOCK[[#This Row],[Precio Final]]</f>
        <v>0</v>
      </c>
      <c r="I591" s="76">
        <f>STOCK[[#This Row],[Precio Venta Ideal (x1.5)]]</f>
        <v>41.73</v>
      </c>
      <c r="J591" s="91">
        <v>1</v>
      </c>
      <c r="K591" s="91">
        <f>SUMIFS(VENTAS[Cantidad],VENTAS[Código del producto Vendido],STOCK[[#This Row],[Code]])</f>
        <v>1</v>
      </c>
      <c r="L591" s="91">
        <f>STOCK[[#This Row],[Entradas]]-STOCK[[#This Row],[Salidas]]</f>
        <v>0</v>
      </c>
      <c r="M591" s="76">
        <f>STOCK[[#This Row],[Precio Final]]*10%</f>
        <v>0</v>
      </c>
      <c r="N591" s="76">
        <v>-30.07</v>
      </c>
      <c r="O591" s="76">
        <v>0</v>
      </c>
      <c r="P591" s="76">
        <v>22.82</v>
      </c>
      <c r="Q591" s="91">
        <v>0</v>
      </c>
      <c r="R591" s="76">
        <v>0</v>
      </c>
      <c r="S591" s="76">
        <v>5</v>
      </c>
      <c r="T591" s="76">
        <f>STOCK[[#This Row],[Costo Unitario (USD)]]+STOCK[[#This Row],[Costo Envío (USD)]]+STOCK[[#This Row],[Comisión 10%]]</f>
        <v>27.82</v>
      </c>
      <c r="U591" s="76">
        <f>STOCK[[#This Row],[Costo total]]*1.5</f>
        <v>41.73</v>
      </c>
      <c r="V591" s="76">
        <v>0</v>
      </c>
      <c r="W591" s="76">
        <f>STOCK[[#This Row],[Precio Final]]-STOCK[[#This Row],[Costo total]]</f>
        <v>-27.82</v>
      </c>
      <c r="X591" s="76">
        <f>STOCK[[#This Row],[Ganancia Unitaria]]*STOCK[[#This Row],[Salidas]]</f>
        <v>-27.82</v>
      </c>
      <c r="Y591" s="76" t="s">
        <v>1157</v>
      </c>
      <c r="AA591" s="76">
        <f>STOCK[[#This Row],[Costo total]]*STOCK[[#This Row],[Entradas]]</f>
        <v>27.82</v>
      </c>
      <c r="AB591" s="76">
        <f>STOCK[[#This Row],[Stock Actual]]*STOCK[[#This Row],[Costo total]]</f>
        <v>0</v>
      </c>
    </row>
    <row r="592" s="77" customFormat="1" ht="50" customHeight="1" spans="1:28">
      <c r="A592" s="77" t="s">
        <v>1198</v>
      </c>
      <c r="B592" s="6"/>
      <c r="C592" s="77" t="s">
        <v>30</v>
      </c>
      <c r="D592" s="77" t="s">
        <v>545</v>
      </c>
      <c r="E592" s="77" t="s">
        <v>1199</v>
      </c>
      <c r="F592" s="77" t="s">
        <v>60</v>
      </c>
      <c r="G592" s="77" t="s">
        <v>34</v>
      </c>
      <c r="H592" s="77">
        <f>STOCK[[#This Row],[Precio Final]]</f>
        <v>12</v>
      </c>
      <c r="I592" s="77">
        <f>STOCK[[#This Row],[Precio Venta Ideal (x1.5)]]</f>
        <v>10.605</v>
      </c>
      <c r="J592" s="92">
        <v>2</v>
      </c>
      <c r="K592" s="92">
        <f>SUMIFS(VENTAS[Cantidad],VENTAS[Código del producto Vendido],STOCK[[#This Row],[Code]])</f>
        <v>2</v>
      </c>
      <c r="L592" s="92">
        <f>STOCK[[#This Row],[Entradas]]-STOCK[[#This Row],[Salidas]]</f>
        <v>0</v>
      </c>
      <c r="M592" s="77">
        <f>STOCK[[#This Row],[Precio Final]]*10%</f>
        <v>1.2</v>
      </c>
      <c r="N592" s="77">
        <v>-6.24</v>
      </c>
      <c r="O592" s="77">
        <v>6.24</v>
      </c>
      <c r="P592" s="77">
        <v>5.37</v>
      </c>
      <c r="Q592" s="92">
        <v>0</v>
      </c>
      <c r="R592" s="77">
        <v>0</v>
      </c>
      <c r="S592" s="77">
        <v>0.5</v>
      </c>
      <c r="T592" s="76">
        <f>STOCK[[#This Row],[Costo Unitario (USD)]]+STOCK[[#This Row],[Costo Envío (USD)]]+STOCK[[#This Row],[Comisión 10%]]</f>
        <v>7.07</v>
      </c>
      <c r="U592" s="77">
        <f>STOCK[[#This Row],[Costo total]]*1.5</f>
        <v>10.605</v>
      </c>
      <c r="V592" s="77">
        <v>12</v>
      </c>
      <c r="W592" s="77">
        <f>STOCK[[#This Row],[Precio Final]]-STOCK[[#This Row],[Costo total]]</f>
        <v>4.93</v>
      </c>
      <c r="X592" s="77">
        <f>STOCK[[#This Row],[Ganancia Unitaria]]*STOCK[[#This Row],[Salidas]]</f>
        <v>9.86</v>
      </c>
      <c r="Y592" s="77" t="s">
        <v>1157</v>
      </c>
      <c r="AA592" s="77">
        <f>STOCK[[#This Row],[Costo total]]*STOCK[[#This Row],[Entradas]]</f>
        <v>14.14</v>
      </c>
      <c r="AB592" s="77">
        <f>STOCK[[#This Row],[Stock Actual]]*STOCK[[#This Row],[Costo total]]</f>
        <v>0</v>
      </c>
    </row>
    <row r="593" s="76" customFormat="1" ht="50" customHeight="1" spans="1:28">
      <c r="A593" s="76" t="s">
        <v>1200</v>
      </c>
      <c r="B593" s="6"/>
      <c r="C593" s="76" t="s">
        <v>30</v>
      </c>
      <c r="D593" s="76" t="s">
        <v>173</v>
      </c>
      <c r="E593" s="76" t="s">
        <v>1201</v>
      </c>
      <c r="F593" s="76" t="s">
        <v>47</v>
      </c>
      <c r="G593" s="76" t="s">
        <v>34</v>
      </c>
      <c r="H593" s="76">
        <f>STOCK[[#This Row],[Precio Final]]</f>
        <v>25</v>
      </c>
      <c r="I593" s="76">
        <f>STOCK[[#This Row],[Precio Venta Ideal (x1.5)]]</f>
        <v>23.1</v>
      </c>
      <c r="J593" s="91">
        <v>1</v>
      </c>
      <c r="K593" s="91">
        <f>SUMIFS(VENTAS[Cantidad],VENTAS[Código del producto Vendido],STOCK[[#This Row],[Code]])</f>
        <v>1</v>
      </c>
      <c r="L593" s="91">
        <f>STOCK[[#This Row],[Entradas]]-STOCK[[#This Row],[Salidas]]</f>
        <v>0</v>
      </c>
      <c r="M593" s="76">
        <f>STOCK[[#This Row],[Precio Final]]*10%</f>
        <v>2.5</v>
      </c>
      <c r="N593" s="76">
        <v>-14.22</v>
      </c>
      <c r="O593" s="76">
        <v>0</v>
      </c>
      <c r="P593" s="76">
        <v>10.9</v>
      </c>
      <c r="Q593" s="91">
        <v>0</v>
      </c>
      <c r="R593" s="76">
        <v>0</v>
      </c>
      <c r="S593" s="76">
        <v>2</v>
      </c>
      <c r="T593" s="76">
        <f>STOCK[[#This Row],[Costo Unitario (USD)]]+STOCK[[#This Row],[Costo Envío (USD)]]+STOCK[[#This Row],[Comisión 10%]]</f>
        <v>15.4</v>
      </c>
      <c r="U593" s="76">
        <f>STOCK[[#This Row],[Costo total]]*1.5</f>
        <v>23.1</v>
      </c>
      <c r="V593" s="76">
        <v>25</v>
      </c>
      <c r="W593" s="76">
        <f>STOCK[[#This Row],[Precio Final]]-STOCK[[#This Row],[Costo total]]</f>
        <v>9.6</v>
      </c>
      <c r="X593" s="76">
        <f>STOCK[[#This Row],[Ganancia Unitaria]]*STOCK[[#This Row],[Salidas]]</f>
        <v>9.6</v>
      </c>
      <c r="Y593" s="76" t="s">
        <v>1157</v>
      </c>
      <c r="AA593" s="76">
        <f>STOCK[[#This Row],[Costo total]]*STOCK[[#This Row],[Entradas]]</f>
        <v>15.4</v>
      </c>
      <c r="AB593" s="76">
        <f>STOCK[[#This Row],[Stock Actual]]*STOCK[[#This Row],[Costo total]]</f>
        <v>0</v>
      </c>
    </row>
    <row r="594" s="77" customFormat="1" ht="50" customHeight="1" spans="1:28">
      <c r="A594" s="77" t="s">
        <v>1202</v>
      </c>
      <c r="B594" s="6"/>
      <c r="C594" s="77" t="s">
        <v>30</v>
      </c>
      <c r="D594" s="77" t="s">
        <v>173</v>
      </c>
      <c r="E594" s="77" t="s">
        <v>1201</v>
      </c>
      <c r="F594" s="77" t="s">
        <v>204</v>
      </c>
      <c r="G594" s="77" t="s">
        <v>34</v>
      </c>
      <c r="H594" s="77">
        <f>STOCK[[#This Row],[Precio Final]]</f>
        <v>22</v>
      </c>
      <c r="I594" s="77">
        <f>STOCK[[#This Row],[Precio Venta Ideal (x1.5)]]</f>
        <v>22.65</v>
      </c>
      <c r="J594" s="92">
        <v>3</v>
      </c>
      <c r="K594" s="92">
        <f>SUMIFS(VENTAS[Cantidad],VENTAS[Código del producto Vendido],STOCK[[#This Row],[Code]])</f>
        <v>3</v>
      </c>
      <c r="L594" s="92">
        <f>STOCK[[#This Row],[Entradas]]-STOCK[[#This Row],[Salidas]]</f>
        <v>0</v>
      </c>
      <c r="M594" s="77">
        <f>STOCK[[#This Row],[Precio Final]]*10%</f>
        <v>2.2</v>
      </c>
      <c r="N594" s="77">
        <v>-28.45</v>
      </c>
      <c r="O594" s="77">
        <v>0</v>
      </c>
      <c r="P594" s="77">
        <v>10.9</v>
      </c>
      <c r="Q594" s="92">
        <v>0</v>
      </c>
      <c r="R594" s="77">
        <v>0</v>
      </c>
      <c r="S594" s="77">
        <v>2</v>
      </c>
      <c r="T594" s="76">
        <f>STOCK[[#This Row],[Costo Unitario (USD)]]+STOCK[[#This Row],[Costo Envío (USD)]]+STOCK[[#This Row],[Comisión 10%]]</f>
        <v>15.1</v>
      </c>
      <c r="U594" s="77">
        <f>STOCK[[#This Row],[Costo total]]*1.5</f>
        <v>22.65</v>
      </c>
      <c r="V594" s="77">
        <v>22</v>
      </c>
      <c r="W594" s="77">
        <f>STOCK[[#This Row],[Precio Final]]-STOCK[[#This Row],[Costo total]]</f>
        <v>6.9</v>
      </c>
      <c r="X594" s="77">
        <f>STOCK[[#This Row],[Ganancia Unitaria]]*STOCK[[#This Row],[Salidas]]</f>
        <v>20.7</v>
      </c>
      <c r="Y594" s="77" t="s">
        <v>1157</v>
      </c>
      <c r="AA594" s="77">
        <f>STOCK[[#This Row],[Costo total]]*STOCK[[#This Row],[Entradas]]</f>
        <v>45.3</v>
      </c>
      <c r="AB594" s="77">
        <f>STOCK[[#This Row],[Stock Actual]]*STOCK[[#This Row],[Costo total]]</f>
        <v>0</v>
      </c>
    </row>
    <row r="595" s="76" customFormat="1" ht="50" customHeight="1" spans="1:28">
      <c r="A595" s="76" t="s">
        <v>1203</v>
      </c>
      <c r="B595" s="6"/>
      <c r="C595" s="76" t="s">
        <v>30</v>
      </c>
      <c r="D595" s="76" t="s">
        <v>173</v>
      </c>
      <c r="E595" s="76" t="s">
        <v>1201</v>
      </c>
      <c r="F595" s="76" t="s">
        <v>86</v>
      </c>
      <c r="G595" s="76" t="s">
        <v>34</v>
      </c>
      <c r="H595" s="76">
        <f>STOCK[[#This Row],[Precio Final]]</f>
        <v>22</v>
      </c>
      <c r="I595" s="76">
        <f>STOCK[[#This Row],[Precio Venta Ideal (x1.5)]]</f>
        <v>22.65</v>
      </c>
      <c r="J595" s="91">
        <v>2</v>
      </c>
      <c r="K595" s="91">
        <f>SUMIFS(VENTAS[Cantidad],VENTAS[Código del producto Vendido],STOCK[[#This Row],[Code]])</f>
        <v>2</v>
      </c>
      <c r="L595" s="91">
        <f>STOCK[[#This Row],[Entradas]]-STOCK[[#This Row],[Salidas]]</f>
        <v>0</v>
      </c>
      <c r="M595" s="76">
        <f>STOCK[[#This Row],[Precio Final]]*10%</f>
        <v>2.2</v>
      </c>
      <c r="N595" s="76">
        <v>-14.22</v>
      </c>
      <c r="O595" s="76">
        <v>0</v>
      </c>
      <c r="P595" s="76">
        <v>10.9</v>
      </c>
      <c r="Q595" s="91">
        <v>0</v>
      </c>
      <c r="R595" s="76">
        <v>0</v>
      </c>
      <c r="S595" s="76">
        <v>2</v>
      </c>
      <c r="T595" s="76">
        <f>STOCK[[#This Row],[Costo Unitario (USD)]]+STOCK[[#This Row],[Costo Envío (USD)]]+STOCK[[#This Row],[Comisión 10%]]</f>
        <v>15.1</v>
      </c>
      <c r="U595" s="76">
        <f>STOCK[[#This Row],[Costo total]]*1.5</f>
        <v>22.65</v>
      </c>
      <c r="V595" s="76">
        <v>22</v>
      </c>
      <c r="W595" s="76">
        <f>STOCK[[#This Row],[Precio Final]]-STOCK[[#This Row],[Costo total]]</f>
        <v>6.9</v>
      </c>
      <c r="X595" s="76">
        <f>STOCK[[#This Row],[Ganancia Unitaria]]*STOCK[[#This Row],[Salidas]]</f>
        <v>13.8</v>
      </c>
      <c r="Y595" s="76" t="s">
        <v>1157</v>
      </c>
      <c r="AA595" s="76">
        <f>STOCK[[#This Row],[Costo total]]*STOCK[[#This Row],[Entradas]]</f>
        <v>30.2</v>
      </c>
      <c r="AB595" s="76">
        <f>STOCK[[#This Row],[Stock Actual]]*STOCK[[#This Row],[Costo total]]</f>
        <v>0</v>
      </c>
    </row>
    <row r="596" s="77" customFormat="1" ht="50" customHeight="1" spans="1:28">
      <c r="A596" s="77" t="s">
        <v>1204</v>
      </c>
      <c r="B596" s="6"/>
      <c r="C596" s="77" t="s">
        <v>30</v>
      </c>
      <c r="D596" s="77" t="s">
        <v>151</v>
      </c>
      <c r="E596" s="77" t="s">
        <v>1205</v>
      </c>
      <c r="F596" s="77" t="s">
        <v>186</v>
      </c>
      <c r="G596" s="77" t="s">
        <v>34</v>
      </c>
      <c r="H596" s="77">
        <f>STOCK[[#This Row],[Precio Final]]</f>
        <v>20</v>
      </c>
      <c r="I596" s="77">
        <f>STOCK[[#This Row],[Precio Venta Ideal (x1.5)]]</f>
        <v>23.04</v>
      </c>
      <c r="J596" s="92">
        <v>1</v>
      </c>
      <c r="K596" s="92">
        <f>SUMIFS(VENTAS[Cantidad],VENTAS[Código del producto Vendido],STOCK[[#This Row],[Code]])</f>
        <v>1</v>
      </c>
      <c r="L596" s="92">
        <f>STOCK[[#This Row],[Entradas]]-STOCK[[#This Row],[Salidas]]</f>
        <v>0</v>
      </c>
      <c r="M596" s="77">
        <f>STOCK[[#This Row],[Precio Final]]*10%</f>
        <v>2</v>
      </c>
      <c r="N596" s="77">
        <v>0</v>
      </c>
      <c r="O596" s="77">
        <v>12.06</v>
      </c>
      <c r="P596" s="77">
        <v>10.36</v>
      </c>
      <c r="Q596" s="92">
        <v>0</v>
      </c>
      <c r="R596" s="77">
        <v>0</v>
      </c>
      <c r="S596" s="77">
        <v>3</v>
      </c>
      <c r="T596" s="76">
        <f>STOCK[[#This Row],[Costo Unitario (USD)]]+STOCK[[#This Row],[Costo Envío (USD)]]+STOCK[[#This Row],[Comisión 10%]]</f>
        <v>15.36</v>
      </c>
      <c r="U596" s="77">
        <f>STOCK[[#This Row],[Costo total]]*1.5</f>
        <v>23.04</v>
      </c>
      <c r="V596" s="77">
        <v>20</v>
      </c>
      <c r="W596" s="77">
        <f>STOCK[[#This Row],[Precio Final]]-STOCK[[#This Row],[Costo total]]</f>
        <v>4.64</v>
      </c>
      <c r="X596" s="77">
        <f>STOCK[[#This Row],[Ganancia Unitaria]]*STOCK[[#This Row],[Salidas]]</f>
        <v>4.64</v>
      </c>
      <c r="Y596" s="77" t="s">
        <v>1157</v>
      </c>
      <c r="AA596" s="77">
        <f>STOCK[[#This Row],[Costo total]]*STOCK[[#This Row],[Entradas]]</f>
        <v>15.36</v>
      </c>
      <c r="AB596" s="77">
        <f>STOCK[[#This Row],[Stock Actual]]*STOCK[[#This Row],[Costo total]]</f>
        <v>0</v>
      </c>
    </row>
    <row r="597" s="76" customFormat="1" ht="50" customHeight="1" spans="1:28">
      <c r="A597" s="76" t="s">
        <v>1206</v>
      </c>
      <c r="B597" s="6"/>
      <c r="C597" s="76" t="s">
        <v>30</v>
      </c>
      <c r="D597" s="76" t="s">
        <v>151</v>
      </c>
      <c r="E597" s="76" t="s">
        <v>1207</v>
      </c>
      <c r="F597" s="76" t="s">
        <v>60</v>
      </c>
      <c r="G597" s="76" t="s">
        <v>34</v>
      </c>
      <c r="H597" s="76">
        <f>STOCK[[#This Row],[Precio Final]]</f>
        <v>20</v>
      </c>
      <c r="I597" s="76">
        <f>STOCK[[#This Row],[Precio Venta Ideal (x1.5)]]</f>
        <v>23.04</v>
      </c>
      <c r="J597" s="91">
        <v>1</v>
      </c>
      <c r="K597" s="91">
        <f>SUMIFS(VENTAS[Cantidad],VENTAS[Código del producto Vendido],STOCK[[#This Row],[Code]])</f>
        <v>1</v>
      </c>
      <c r="L597" s="91">
        <f>STOCK[[#This Row],[Entradas]]-STOCK[[#This Row],[Salidas]]</f>
        <v>0</v>
      </c>
      <c r="M597" s="76">
        <f>STOCK[[#This Row],[Precio Final]]*10%</f>
        <v>2</v>
      </c>
      <c r="N597" s="76">
        <v>-12.06</v>
      </c>
      <c r="O597" s="76">
        <v>0</v>
      </c>
      <c r="P597" s="76">
        <v>10.36</v>
      </c>
      <c r="Q597" s="91">
        <v>0</v>
      </c>
      <c r="R597" s="76">
        <v>0</v>
      </c>
      <c r="S597" s="76">
        <v>3</v>
      </c>
      <c r="T597" s="76">
        <f>STOCK[[#This Row],[Costo Unitario (USD)]]+STOCK[[#This Row],[Costo Envío (USD)]]+STOCK[[#This Row],[Comisión 10%]]</f>
        <v>15.36</v>
      </c>
      <c r="U597" s="76">
        <f>STOCK[[#This Row],[Costo total]]*1.5</f>
        <v>23.04</v>
      </c>
      <c r="V597" s="76">
        <v>20</v>
      </c>
      <c r="W597" s="76">
        <f>STOCK[[#This Row],[Precio Final]]-STOCK[[#This Row],[Costo total]]</f>
        <v>4.64</v>
      </c>
      <c r="X597" s="76">
        <f>STOCK[[#This Row],[Ganancia Unitaria]]*STOCK[[#This Row],[Salidas]]</f>
        <v>4.64</v>
      </c>
      <c r="Y597" s="76" t="s">
        <v>1157</v>
      </c>
      <c r="AA597" s="76">
        <f>STOCK[[#This Row],[Costo total]]*STOCK[[#This Row],[Entradas]]</f>
        <v>15.36</v>
      </c>
      <c r="AB597" s="76">
        <f>STOCK[[#This Row],[Stock Actual]]*STOCK[[#This Row],[Costo total]]</f>
        <v>0</v>
      </c>
    </row>
    <row r="598" s="77" customFormat="1" ht="50" customHeight="1" spans="1:28">
      <c r="A598" s="77" t="s">
        <v>1208</v>
      </c>
      <c r="B598" s="6"/>
      <c r="C598" s="77" t="s">
        <v>30</v>
      </c>
      <c r="D598" s="77" t="s">
        <v>151</v>
      </c>
      <c r="E598" s="77" t="s">
        <v>1207</v>
      </c>
      <c r="F598" s="77" t="s">
        <v>60</v>
      </c>
      <c r="G598" s="77" t="s">
        <v>34</v>
      </c>
      <c r="H598" s="77">
        <f>STOCK[[#This Row],[Precio Final]]</f>
        <v>20</v>
      </c>
      <c r="I598" s="77">
        <f>STOCK[[#This Row],[Precio Venta Ideal (x1.5)]]</f>
        <v>23.04</v>
      </c>
      <c r="J598" s="92">
        <v>1</v>
      </c>
      <c r="K598" s="92">
        <f>SUMIFS(VENTAS[Cantidad],VENTAS[Código del producto Vendido],STOCK[[#This Row],[Code]])</f>
        <v>1</v>
      </c>
      <c r="L598" s="92">
        <f>STOCK[[#This Row],[Entradas]]-STOCK[[#This Row],[Salidas]]</f>
        <v>0</v>
      </c>
      <c r="M598" s="77">
        <f>STOCK[[#This Row],[Precio Final]]*10%</f>
        <v>2</v>
      </c>
      <c r="N598" s="77">
        <v>-12.06</v>
      </c>
      <c r="O598" s="77">
        <v>0</v>
      </c>
      <c r="P598" s="77">
        <v>10.36</v>
      </c>
      <c r="Q598" s="92">
        <v>0</v>
      </c>
      <c r="R598" s="77">
        <v>0</v>
      </c>
      <c r="S598" s="77">
        <v>3</v>
      </c>
      <c r="T598" s="76">
        <f>STOCK[[#This Row],[Costo Unitario (USD)]]+STOCK[[#This Row],[Costo Envío (USD)]]+STOCK[[#This Row],[Comisión 10%]]</f>
        <v>15.36</v>
      </c>
      <c r="U598" s="77">
        <f>STOCK[[#This Row],[Costo total]]*1.5</f>
        <v>23.04</v>
      </c>
      <c r="V598" s="77">
        <v>20</v>
      </c>
      <c r="W598" s="77">
        <f>STOCK[[#This Row],[Precio Final]]-STOCK[[#This Row],[Costo total]]</f>
        <v>4.64</v>
      </c>
      <c r="X598" s="77">
        <f>STOCK[[#This Row],[Ganancia Unitaria]]*STOCK[[#This Row],[Salidas]]</f>
        <v>4.64</v>
      </c>
      <c r="Y598" s="77" t="s">
        <v>1157</v>
      </c>
      <c r="AA598" s="77">
        <f>STOCK[[#This Row],[Costo total]]*STOCK[[#This Row],[Entradas]]</f>
        <v>15.36</v>
      </c>
      <c r="AB598" s="77">
        <f>STOCK[[#This Row],[Stock Actual]]*STOCK[[#This Row],[Costo total]]</f>
        <v>0</v>
      </c>
    </row>
    <row r="599" s="76" customFormat="1" ht="50" customHeight="1" spans="1:28">
      <c r="A599" s="76" t="s">
        <v>1209</v>
      </c>
      <c r="B599" s="6"/>
      <c r="C599" s="76" t="s">
        <v>30</v>
      </c>
      <c r="D599" s="76" t="s">
        <v>1210</v>
      </c>
      <c r="E599" s="76" t="s">
        <v>1211</v>
      </c>
      <c r="F599" s="76" t="s">
        <v>47</v>
      </c>
      <c r="G599" s="76" t="s">
        <v>34</v>
      </c>
      <c r="H599" s="76">
        <f>STOCK[[#This Row],[Precio Final]]</f>
        <v>18</v>
      </c>
      <c r="I599" s="76">
        <f>STOCK[[#This Row],[Precio Venta Ideal (x1.5)]]</f>
        <v>18.855</v>
      </c>
      <c r="J599" s="91">
        <v>3</v>
      </c>
      <c r="K599" s="91">
        <f>SUMIFS(VENTAS[Cantidad],VENTAS[Código del producto Vendido],STOCK[[#This Row],[Code]])</f>
        <v>3</v>
      </c>
      <c r="L599" s="91">
        <f>STOCK[[#This Row],[Entradas]]-STOCK[[#This Row],[Salidas]]</f>
        <v>0</v>
      </c>
      <c r="M599" s="76">
        <f>STOCK[[#This Row],[Precio Final]]*10%</f>
        <v>1.8</v>
      </c>
      <c r="N599" s="76">
        <v>0</v>
      </c>
      <c r="O599" s="76">
        <v>0</v>
      </c>
      <c r="P599" s="76">
        <v>7.77</v>
      </c>
      <c r="Q599" s="91">
        <v>0</v>
      </c>
      <c r="R599" s="76">
        <v>0</v>
      </c>
      <c r="S599" s="76">
        <v>3</v>
      </c>
      <c r="T599" s="76">
        <f>STOCK[[#This Row],[Costo Unitario (USD)]]+STOCK[[#This Row],[Costo Envío (USD)]]+STOCK[[#This Row],[Comisión 10%]]</f>
        <v>12.57</v>
      </c>
      <c r="U599" s="76">
        <f>STOCK[[#This Row],[Costo total]]*1.5</f>
        <v>18.855</v>
      </c>
      <c r="V599" s="76">
        <v>18</v>
      </c>
      <c r="W599" s="76">
        <f>STOCK[[#This Row],[Precio Final]]-STOCK[[#This Row],[Costo total]]</f>
        <v>5.43</v>
      </c>
      <c r="X599" s="76">
        <f>STOCK[[#This Row],[Ganancia Unitaria]]*STOCK[[#This Row],[Salidas]]</f>
        <v>16.29</v>
      </c>
      <c r="Y599" s="76" t="s">
        <v>1157</v>
      </c>
      <c r="AA599" s="76">
        <f>STOCK[[#This Row],[Costo total]]*STOCK[[#This Row],[Entradas]]</f>
        <v>37.71</v>
      </c>
      <c r="AB599" s="76">
        <f>STOCK[[#This Row],[Stock Actual]]*STOCK[[#This Row],[Costo total]]</f>
        <v>0</v>
      </c>
    </row>
    <row r="600" s="77" customFormat="1" ht="50" customHeight="1" spans="1:28">
      <c r="A600" s="77" t="s">
        <v>1212</v>
      </c>
      <c r="B600" s="6"/>
      <c r="C600" s="77" t="s">
        <v>30</v>
      </c>
      <c r="D600" s="77" t="s">
        <v>1210</v>
      </c>
      <c r="E600" s="77" t="s">
        <v>1211</v>
      </c>
      <c r="F600" s="77" t="s">
        <v>60</v>
      </c>
      <c r="G600" s="77" t="s">
        <v>34</v>
      </c>
      <c r="H600" s="77">
        <f>STOCK[[#This Row],[Precio Final]]</f>
        <v>18</v>
      </c>
      <c r="I600" s="77">
        <f>STOCK[[#This Row],[Precio Venta Ideal (x1.5)]]</f>
        <v>18.855</v>
      </c>
      <c r="J600" s="92">
        <v>1</v>
      </c>
      <c r="K600" s="92">
        <f>SUMIFS(VENTAS[Cantidad],VENTAS[Código del producto Vendido],STOCK[[#This Row],[Code]])</f>
        <v>1</v>
      </c>
      <c r="L600" s="92">
        <f>STOCK[[#This Row],[Entradas]]-STOCK[[#This Row],[Salidas]]</f>
        <v>0</v>
      </c>
      <c r="M600" s="77">
        <f>STOCK[[#This Row],[Precio Final]]*10%</f>
        <v>1.8</v>
      </c>
      <c r="N600" s="77">
        <v>0</v>
      </c>
      <c r="O600" s="77">
        <v>0</v>
      </c>
      <c r="P600" s="77">
        <v>7.77</v>
      </c>
      <c r="Q600" s="92">
        <v>0</v>
      </c>
      <c r="R600" s="77">
        <v>0</v>
      </c>
      <c r="S600" s="77">
        <v>3</v>
      </c>
      <c r="T600" s="76">
        <f>STOCK[[#This Row],[Costo Unitario (USD)]]+STOCK[[#This Row],[Costo Envío (USD)]]+STOCK[[#This Row],[Comisión 10%]]</f>
        <v>12.57</v>
      </c>
      <c r="U600" s="77">
        <f>STOCK[[#This Row],[Costo total]]*1.5</f>
        <v>18.855</v>
      </c>
      <c r="V600" s="77">
        <v>18</v>
      </c>
      <c r="W600" s="77">
        <f>STOCK[[#This Row],[Precio Final]]-STOCK[[#This Row],[Costo total]]</f>
        <v>5.43</v>
      </c>
      <c r="X600" s="77">
        <f>STOCK[[#This Row],[Ganancia Unitaria]]*STOCK[[#This Row],[Salidas]]</f>
        <v>5.43</v>
      </c>
      <c r="Y600" s="77" t="s">
        <v>1157</v>
      </c>
      <c r="AA600" s="77">
        <f>STOCK[[#This Row],[Costo total]]*STOCK[[#This Row],[Entradas]]</f>
        <v>12.57</v>
      </c>
      <c r="AB600" s="77">
        <f>STOCK[[#This Row],[Stock Actual]]*STOCK[[#This Row],[Costo total]]</f>
        <v>0</v>
      </c>
    </row>
    <row r="601" s="76" customFormat="1" ht="50" customHeight="1" spans="1:28">
      <c r="A601" s="76" t="s">
        <v>1213</v>
      </c>
      <c r="B601" s="6"/>
      <c r="C601" s="76" t="s">
        <v>30</v>
      </c>
      <c r="D601" s="76" t="s">
        <v>1073</v>
      </c>
      <c r="E601" s="76" t="s">
        <v>1176</v>
      </c>
      <c r="F601" s="76" t="s">
        <v>1214</v>
      </c>
      <c r="G601" s="76" t="s">
        <v>34</v>
      </c>
      <c r="H601" s="76">
        <f>STOCK[[#This Row],[Precio Final]]</f>
        <v>12</v>
      </c>
      <c r="I601" s="76">
        <f>STOCK[[#This Row],[Precio Venta Ideal (x1.5)]]</f>
        <v>16.965</v>
      </c>
      <c r="J601" s="91">
        <v>0</v>
      </c>
      <c r="K601" s="91">
        <f>SUMIFS(VENTAS[Cantidad],VENTAS[Código del producto Vendido],STOCK[[#This Row],[Code]])</f>
        <v>0</v>
      </c>
      <c r="L601" s="91">
        <f>STOCK[[#This Row],[Entradas]]-STOCK[[#This Row],[Salidas]]</f>
        <v>0</v>
      </c>
      <c r="M601" s="76">
        <f>STOCK[[#This Row],[Precio Final]]*10%</f>
        <v>1.2</v>
      </c>
      <c r="N601" s="76">
        <v>0</v>
      </c>
      <c r="O601" s="76">
        <v>0</v>
      </c>
      <c r="P601" s="76">
        <v>7.11</v>
      </c>
      <c r="Q601" s="91">
        <v>0</v>
      </c>
      <c r="R601" s="76">
        <v>0</v>
      </c>
      <c r="S601" s="76">
        <v>3</v>
      </c>
      <c r="T601" s="76">
        <f>STOCK[[#This Row],[Costo Unitario (USD)]]+STOCK[[#This Row],[Costo Envío (USD)]]+STOCK[[#This Row],[Comisión 10%]]</f>
        <v>11.31</v>
      </c>
      <c r="U601" s="76">
        <f>STOCK[[#This Row],[Costo total]]*1.5</f>
        <v>16.965</v>
      </c>
      <c r="V601" s="76">
        <v>12</v>
      </c>
      <c r="W601" s="76">
        <f>STOCK[[#This Row],[Precio Final]]-STOCK[[#This Row],[Costo total]]</f>
        <v>0.690000000000001</v>
      </c>
      <c r="X601" s="76">
        <f>STOCK[[#This Row],[Ganancia Unitaria]]*STOCK[[#This Row],[Salidas]]</f>
        <v>0</v>
      </c>
      <c r="Y601" s="76" t="s">
        <v>1157</v>
      </c>
      <c r="AA601" s="76">
        <f>STOCK[[#This Row],[Costo total]]*STOCK[[#This Row],[Entradas]]</f>
        <v>0</v>
      </c>
      <c r="AB601" s="76">
        <f>STOCK[[#This Row],[Stock Actual]]*STOCK[[#This Row],[Costo total]]</f>
        <v>0</v>
      </c>
    </row>
    <row r="602" s="77" customFormat="1" ht="50" customHeight="1" spans="1:28">
      <c r="A602" s="77" t="s">
        <v>1215</v>
      </c>
      <c r="B602" s="6"/>
      <c r="C602" s="77" t="s">
        <v>30</v>
      </c>
      <c r="D602" s="77" t="s">
        <v>1073</v>
      </c>
      <c r="E602" s="77" t="s">
        <v>1176</v>
      </c>
      <c r="F602" s="77" t="s">
        <v>44</v>
      </c>
      <c r="G602" s="77" t="s">
        <v>34</v>
      </c>
      <c r="H602" s="77">
        <f>STOCK[[#This Row],[Precio Final]]</f>
        <v>12</v>
      </c>
      <c r="I602" s="77">
        <f>STOCK[[#This Row],[Precio Venta Ideal (x1.5)]]</f>
        <v>17.325</v>
      </c>
      <c r="J602" s="92">
        <v>0</v>
      </c>
      <c r="K602" s="92">
        <f>SUMIFS(VENTAS[Cantidad],VENTAS[Código del producto Vendido],STOCK[[#This Row],[Code]])</f>
        <v>0</v>
      </c>
      <c r="L602" s="92">
        <f>STOCK[[#This Row],[Entradas]]-STOCK[[#This Row],[Salidas]]</f>
        <v>0</v>
      </c>
      <c r="M602" s="77">
        <f>STOCK[[#This Row],[Precio Final]]*10%</f>
        <v>1.2</v>
      </c>
      <c r="N602" s="77">
        <v>0</v>
      </c>
      <c r="O602" s="77">
        <v>0</v>
      </c>
      <c r="P602" s="77">
        <v>7.35</v>
      </c>
      <c r="Q602" s="92">
        <v>0</v>
      </c>
      <c r="R602" s="77">
        <v>0</v>
      </c>
      <c r="S602" s="77">
        <v>3</v>
      </c>
      <c r="T602" s="76">
        <f>STOCK[[#This Row],[Costo Unitario (USD)]]+STOCK[[#This Row],[Costo Envío (USD)]]+STOCK[[#This Row],[Comisión 10%]]</f>
        <v>11.55</v>
      </c>
      <c r="U602" s="77">
        <f>STOCK[[#This Row],[Costo total]]*1.5</f>
        <v>17.325</v>
      </c>
      <c r="V602" s="77">
        <v>12</v>
      </c>
      <c r="W602" s="77">
        <f>STOCK[[#This Row],[Precio Final]]-STOCK[[#This Row],[Costo total]]</f>
        <v>0.449999999999999</v>
      </c>
      <c r="X602" s="77">
        <f>STOCK[[#This Row],[Ganancia Unitaria]]*STOCK[[#This Row],[Salidas]]</f>
        <v>0</v>
      </c>
      <c r="Y602" s="77" t="s">
        <v>1157</v>
      </c>
      <c r="AA602" s="77">
        <f>STOCK[[#This Row],[Costo total]]*STOCK[[#This Row],[Entradas]]</f>
        <v>0</v>
      </c>
      <c r="AB602" s="77">
        <f>STOCK[[#This Row],[Stock Actual]]*STOCK[[#This Row],[Costo total]]</f>
        <v>0</v>
      </c>
    </row>
    <row r="603" s="76" customFormat="1" ht="50" customHeight="1" spans="1:28">
      <c r="A603" s="76" t="s">
        <v>1216</v>
      </c>
      <c r="B603" s="6"/>
      <c r="C603" s="76" t="s">
        <v>30</v>
      </c>
      <c r="D603" s="76" t="s">
        <v>1188</v>
      </c>
      <c r="E603" s="76" t="s">
        <v>1156</v>
      </c>
      <c r="F603" s="76" t="s">
        <v>210</v>
      </c>
      <c r="G603" s="76" t="s">
        <v>34</v>
      </c>
      <c r="H603" s="76">
        <f>STOCK[[#This Row],[Precio Final]]</f>
        <v>13</v>
      </c>
      <c r="I603" s="76">
        <f>STOCK[[#This Row],[Precio Venta Ideal (x1.5)]]</f>
        <v>14.745</v>
      </c>
      <c r="J603" s="91">
        <v>2</v>
      </c>
      <c r="K603" s="91">
        <f>SUMIFS(VENTAS[Cantidad],VENTAS[Código del producto Vendido],STOCK[[#This Row],[Code]])</f>
        <v>2</v>
      </c>
      <c r="L603" s="91">
        <f>STOCK[[#This Row],[Entradas]]-STOCK[[#This Row],[Salidas]]</f>
        <v>0</v>
      </c>
      <c r="M603" s="76">
        <f>STOCK[[#This Row],[Precio Final]]*10%</f>
        <v>1.3</v>
      </c>
      <c r="N603" s="76">
        <v>5.75</v>
      </c>
      <c r="O603" s="76">
        <v>0</v>
      </c>
      <c r="P603" s="76">
        <v>6.53</v>
      </c>
      <c r="Q603" s="91">
        <v>0</v>
      </c>
      <c r="R603" s="76">
        <v>0</v>
      </c>
      <c r="S603" s="76">
        <v>2</v>
      </c>
      <c r="T603" s="76">
        <f>STOCK[[#This Row],[Costo Unitario (USD)]]+STOCK[[#This Row],[Costo Envío (USD)]]+STOCK[[#This Row],[Comisión 10%]]</f>
        <v>9.83</v>
      </c>
      <c r="U603" s="76">
        <f>STOCK[[#This Row],[Costo total]]*1.5</f>
        <v>14.745</v>
      </c>
      <c r="V603" s="76">
        <v>13</v>
      </c>
      <c r="W603" s="76">
        <f>STOCK[[#This Row],[Precio Final]]-STOCK[[#This Row],[Costo total]]</f>
        <v>3.17</v>
      </c>
      <c r="X603" s="76">
        <f>STOCK[[#This Row],[Ganancia Unitaria]]*STOCK[[#This Row],[Salidas]]</f>
        <v>6.34</v>
      </c>
      <c r="Y603" s="76" t="s">
        <v>1157</v>
      </c>
      <c r="AA603" s="76">
        <f>STOCK[[#This Row],[Costo total]]*STOCK[[#This Row],[Entradas]]</f>
        <v>19.66</v>
      </c>
      <c r="AB603" s="76">
        <f>STOCK[[#This Row],[Stock Actual]]*STOCK[[#This Row],[Costo total]]</f>
        <v>0</v>
      </c>
    </row>
    <row r="604" s="77" customFormat="1" ht="50" customHeight="1" spans="1:28">
      <c r="A604" s="77" t="s">
        <v>1217</v>
      </c>
      <c r="B604" s="6"/>
      <c r="C604" s="77" t="s">
        <v>30</v>
      </c>
      <c r="D604" s="77" t="s">
        <v>1073</v>
      </c>
      <c r="E604" s="77" t="s">
        <v>1218</v>
      </c>
      <c r="G604" s="77" t="s">
        <v>34</v>
      </c>
      <c r="H604" s="77">
        <f>STOCK[[#This Row],[Precio Final]]</f>
        <v>13</v>
      </c>
      <c r="I604" s="77">
        <f>STOCK[[#This Row],[Precio Venta Ideal (x1.5)]]</f>
        <v>14.745</v>
      </c>
      <c r="J604" s="92">
        <v>0</v>
      </c>
      <c r="K604" s="92">
        <f>SUMIFS(VENTAS[Cantidad],VENTAS[Código del producto Vendido],STOCK[[#This Row],[Code]])</f>
        <v>0</v>
      </c>
      <c r="L604" s="92">
        <f>STOCK[[#This Row],[Entradas]]-STOCK[[#This Row],[Salidas]]</f>
        <v>0</v>
      </c>
      <c r="M604" s="77">
        <f>STOCK[[#This Row],[Precio Final]]*10%</f>
        <v>1.3</v>
      </c>
      <c r="N604" s="77">
        <v>0</v>
      </c>
      <c r="O604" s="77">
        <v>0</v>
      </c>
      <c r="P604" s="77">
        <v>6.53</v>
      </c>
      <c r="Q604" s="92">
        <v>0</v>
      </c>
      <c r="R604" s="77">
        <v>0</v>
      </c>
      <c r="S604" s="77">
        <v>2</v>
      </c>
      <c r="T604" s="76">
        <f>STOCK[[#This Row],[Costo Unitario (USD)]]+STOCK[[#This Row],[Costo Envío (USD)]]+STOCK[[#This Row],[Comisión 10%]]</f>
        <v>9.83</v>
      </c>
      <c r="U604" s="77">
        <f>STOCK[[#This Row],[Costo total]]*1.5</f>
        <v>14.745</v>
      </c>
      <c r="V604" s="77">
        <v>13</v>
      </c>
      <c r="W604" s="77">
        <f>STOCK[[#This Row],[Precio Final]]-STOCK[[#This Row],[Costo total]]</f>
        <v>3.17</v>
      </c>
      <c r="X604" s="77">
        <f>STOCK[[#This Row],[Ganancia Unitaria]]*STOCK[[#This Row],[Salidas]]</f>
        <v>0</v>
      </c>
      <c r="Y604" s="77" t="s">
        <v>1157</v>
      </c>
      <c r="AA604" s="77">
        <f>STOCK[[#This Row],[Costo total]]*STOCK[[#This Row],[Entradas]]</f>
        <v>0</v>
      </c>
      <c r="AB604" s="77">
        <f>STOCK[[#This Row],[Stock Actual]]*STOCK[[#This Row],[Costo total]]</f>
        <v>0</v>
      </c>
    </row>
    <row r="605" s="76" customFormat="1" ht="50" customHeight="1" spans="1:28">
      <c r="A605" s="76" t="s">
        <v>1219</v>
      </c>
      <c r="B605" s="6"/>
      <c r="C605" s="76" t="s">
        <v>30</v>
      </c>
      <c r="D605" s="76" t="s">
        <v>1073</v>
      </c>
      <c r="E605" s="76" t="s">
        <v>1220</v>
      </c>
      <c r="G605" s="76" t="s">
        <v>34</v>
      </c>
      <c r="H605" s="76">
        <f>STOCK[[#This Row],[Precio Final]]</f>
        <v>0</v>
      </c>
      <c r="I605" s="76">
        <f>STOCK[[#This Row],[Precio Venta Ideal (x1.5)]]</f>
        <v>0</v>
      </c>
      <c r="J605" s="91">
        <v>0</v>
      </c>
      <c r="K605" s="91">
        <f>SUMIFS(VENTAS[Cantidad],VENTAS[Código del producto Vendido],STOCK[[#This Row],[Code]])</f>
        <v>0</v>
      </c>
      <c r="L605" s="91">
        <f>STOCK[[#This Row],[Entradas]]-STOCK[[#This Row],[Salidas]]</f>
        <v>0</v>
      </c>
      <c r="M605" s="76">
        <f>STOCK[[#This Row],[Precio Final]]*10%</f>
        <v>0</v>
      </c>
      <c r="N605" s="76">
        <v>0</v>
      </c>
      <c r="O605" s="76">
        <v>0</v>
      </c>
      <c r="P605" s="76">
        <v>0</v>
      </c>
      <c r="Q605" s="91">
        <v>0</v>
      </c>
      <c r="R605" s="76">
        <v>0</v>
      </c>
      <c r="S605" s="76">
        <v>0</v>
      </c>
      <c r="T605" s="76">
        <f>STOCK[[#This Row],[Costo Unitario (USD)]]+STOCK[[#This Row],[Costo Envío (USD)]]+STOCK[[#This Row],[Comisión 10%]]</f>
        <v>0</v>
      </c>
      <c r="U605" s="76">
        <f>STOCK[[#This Row],[Costo total]]*1.5</f>
        <v>0</v>
      </c>
      <c r="V605" s="76">
        <v>0</v>
      </c>
      <c r="W605" s="76">
        <f>STOCK[[#This Row],[Precio Final]]-STOCK[[#This Row],[Costo total]]</f>
        <v>0</v>
      </c>
      <c r="X605" s="76">
        <f>STOCK[[#This Row],[Ganancia Unitaria]]*STOCK[[#This Row],[Salidas]]</f>
        <v>0</v>
      </c>
      <c r="Y605" s="76" t="s">
        <v>1157</v>
      </c>
      <c r="AA605" s="76">
        <f>STOCK[[#This Row],[Costo total]]*STOCK[[#This Row],[Entradas]]</f>
        <v>0</v>
      </c>
      <c r="AB605" s="76">
        <f>STOCK[[#This Row],[Stock Actual]]*STOCK[[#This Row],[Costo total]]</f>
        <v>0</v>
      </c>
    </row>
    <row r="606" s="77" customFormat="1" ht="50" customHeight="1" spans="1:28">
      <c r="A606" s="77" t="s">
        <v>1221</v>
      </c>
      <c r="B606" s="6"/>
      <c r="C606" s="77" t="s">
        <v>30</v>
      </c>
      <c r="D606" s="77" t="s">
        <v>1073</v>
      </c>
      <c r="E606" s="77" t="s">
        <v>1222</v>
      </c>
      <c r="G606" s="77" t="s">
        <v>34</v>
      </c>
      <c r="H606" s="77">
        <f>STOCK[[#This Row],[Precio Final]]</f>
        <v>0</v>
      </c>
      <c r="I606" s="77">
        <f>STOCK[[#This Row],[Precio Venta Ideal (x1.5)]]</f>
        <v>0</v>
      </c>
      <c r="J606" s="92">
        <v>0</v>
      </c>
      <c r="K606" s="92">
        <f>SUMIFS(VENTAS[Cantidad],VENTAS[Código del producto Vendido],STOCK[[#This Row],[Code]])</f>
        <v>0</v>
      </c>
      <c r="L606" s="92">
        <f>STOCK[[#This Row],[Entradas]]-STOCK[[#This Row],[Salidas]]</f>
        <v>0</v>
      </c>
      <c r="M606" s="77">
        <f>STOCK[[#This Row],[Precio Final]]*10%</f>
        <v>0</v>
      </c>
      <c r="N606" s="77">
        <v>0</v>
      </c>
      <c r="O606" s="77">
        <v>0</v>
      </c>
      <c r="P606" s="77">
        <v>0</v>
      </c>
      <c r="Q606" s="92">
        <v>0</v>
      </c>
      <c r="R606" s="77">
        <v>0</v>
      </c>
      <c r="S606" s="77">
        <v>0</v>
      </c>
      <c r="T606" s="76">
        <f>STOCK[[#This Row],[Costo Unitario (USD)]]+STOCK[[#This Row],[Costo Envío (USD)]]+STOCK[[#This Row],[Comisión 10%]]</f>
        <v>0</v>
      </c>
      <c r="U606" s="77">
        <f>STOCK[[#This Row],[Costo total]]*1.5</f>
        <v>0</v>
      </c>
      <c r="V606" s="77">
        <v>0</v>
      </c>
      <c r="W606" s="77">
        <f>STOCK[[#This Row],[Precio Final]]-STOCK[[#This Row],[Costo total]]</f>
        <v>0</v>
      </c>
      <c r="X606" s="77">
        <f>STOCK[[#This Row],[Ganancia Unitaria]]*STOCK[[#This Row],[Salidas]]</f>
        <v>0</v>
      </c>
      <c r="Y606" s="77" t="s">
        <v>1157</v>
      </c>
      <c r="AA606" s="77">
        <f>STOCK[[#This Row],[Costo total]]*STOCK[[#This Row],[Entradas]]</f>
        <v>0</v>
      </c>
      <c r="AB606" s="77">
        <f>STOCK[[#This Row],[Stock Actual]]*STOCK[[#This Row],[Costo total]]</f>
        <v>0</v>
      </c>
    </row>
    <row r="607" s="76" customFormat="1" ht="50" customHeight="1" spans="1:28">
      <c r="A607" s="76" t="s">
        <v>1223</v>
      </c>
      <c r="B607" s="6"/>
      <c r="C607" s="76" t="s">
        <v>30</v>
      </c>
      <c r="D607" s="76" t="s">
        <v>1224</v>
      </c>
      <c r="E607" s="76" t="s">
        <v>1225</v>
      </c>
      <c r="F607" s="76" t="s">
        <v>1226</v>
      </c>
      <c r="G607" s="76" t="s">
        <v>34</v>
      </c>
      <c r="H607" s="76">
        <f>STOCK[[#This Row],[Precio Final]]</f>
        <v>55</v>
      </c>
      <c r="I607" s="76">
        <f>STOCK[[#This Row],[Precio Venta Ideal (x1.5)]]</f>
        <v>70.995</v>
      </c>
      <c r="J607" s="91">
        <v>1</v>
      </c>
      <c r="K607" s="91">
        <f>SUMIFS(VENTAS[Cantidad],VENTAS[Código del producto Vendido],STOCK[[#This Row],[Code]])</f>
        <v>1</v>
      </c>
      <c r="L607" s="91">
        <f>STOCK[[#This Row],[Entradas]]-STOCK[[#This Row],[Salidas]]</f>
        <v>0</v>
      </c>
      <c r="M607" s="76">
        <f>STOCK[[#This Row],[Precio Final]]*10%</f>
        <v>5.5</v>
      </c>
      <c r="N607" s="76">
        <v>0</v>
      </c>
      <c r="O607" s="76">
        <v>0</v>
      </c>
      <c r="P607" s="76">
        <v>31.83</v>
      </c>
      <c r="Q607" s="91">
        <v>0</v>
      </c>
      <c r="R607" s="76">
        <v>0</v>
      </c>
      <c r="S607" s="76">
        <v>10</v>
      </c>
      <c r="T607" s="76">
        <f>STOCK[[#This Row],[Costo Unitario (USD)]]+STOCK[[#This Row],[Costo Envío (USD)]]+STOCK[[#This Row],[Comisión 10%]]</f>
        <v>47.33</v>
      </c>
      <c r="U607" s="76">
        <f>STOCK[[#This Row],[Costo total]]*1.5</f>
        <v>70.995</v>
      </c>
      <c r="V607" s="76">
        <v>55</v>
      </c>
      <c r="W607" s="76">
        <f>STOCK[[#This Row],[Precio Final]]-STOCK[[#This Row],[Costo total]]</f>
        <v>7.67</v>
      </c>
      <c r="X607" s="76">
        <f>STOCK[[#This Row],[Ganancia Unitaria]]*STOCK[[#This Row],[Salidas]]</f>
        <v>7.67</v>
      </c>
      <c r="Y607" s="76" t="s">
        <v>1157</v>
      </c>
      <c r="AA607" s="76">
        <f>STOCK[[#This Row],[Costo total]]*STOCK[[#This Row],[Entradas]]</f>
        <v>47.33</v>
      </c>
      <c r="AB607" s="76">
        <f>STOCK[[#This Row],[Stock Actual]]*STOCK[[#This Row],[Costo total]]</f>
        <v>0</v>
      </c>
    </row>
    <row r="608" s="77" customFormat="1" ht="50" customHeight="1" spans="1:28">
      <c r="A608" s="77" t="s">
        <v>1227</v>
      </c>
      <c r="B608" s="6"/>
      <c r="C608" s="77" t="s">
        <v>30</v>
      </c>
      <c r="D608" s="77" t="s">
        <v>1073</v>
      </c>
      <c r="E608" s="77" t="s">
        <v>1228</v>
      </c>
      <c r="G608" s="77" t="s">
        <v>34</v>
      </c>
      <c r="H608" s="77">
        <f>STOCK[[#This Row],[Precio Final]]</f>
        <v>0</v>
      </c>
      <c r="I608" s="77">
        <f>STOCK[[#This Row],[Precio Venta Ideal (x1.5)]]</f>
        <v>0</v>
      </c>
      <c r="J608" s="92">
        <v>0</v>
      </c>
      <c r="K608" s="92">
        <f>SUMIFS(VENTAS[Cantidad],VENTAS[Código del producto Vendido],STOCK[[#This Row],[Code]])</f>
        <v>0</v>
      </c>
      <c r="L608" s="92">
        <f>STOCK[[#This Row],[Entradas]]-STOCK[[#This Row],[Salidas]]</f>
        <v>0</v>
      </c>
      <c r="M608" s="77">
        <f>STOCK[[#This Row],[Precio Final]]*10%</f>
        <v>0</v>
      </c>
      <c r="N608" s="77">
        <v>0</v>
      </c>
      <c r="O608" s="77">
        <v>0</v>
      </c>
      <c r="P608" s="77">
        <v>0</v>
      </c>
      <c r="Q608" s="92">
        <v>0</v>
      </c>
      <c r="R608" s="77">
        <v>0</v>
      </c>
      <c r="S608" s="77">
        <v>0</v>
      </c>
      <c r="T608" s="76">
        <f>STOCK[[#This Row],[Costo Unitario (USD)]]+STOCK[[#This Row],[Costo Envío (USD)]]+STOCK[[#This Row],[Comisión 10%]]</f>
        <v>0</v>
      </c>
      <c r="U608" s="77">
        <f>STOCK[[#This Row],[Costo total]]*1.5</f>
        <v>0</v>
      </c>
      <c r="V608" s="77">
        <v>0</v>
      </c>
      <c r="W608" s="77">
        <f>STOCK[[#This Row],[Precio Final]]-STOCK[[#This Row],[Costo total]]</f>
        <v>0</v>
      </c>
      <c r="X608" s="77">
        <f>STOCK[[#This Row],[Ganancia Unitaria]]*STOCK[[#This Row],[Salidas]]</f>
        <v>0</v>
      </c>
      <c r="Y608" s="77" t="s">
        <v>1157</v>
      </c>
      <c r="AA608" s="77">
        <f>STOCK[[#This Row],[Costo total]]*STOCK[[#This Row],[Entradas]]</f>
        <v>0</v>
      </c>
      <c r="AB608" s="77">
        <f>STOCK[[#This Row],[Stock Actual]]*STOCK[[#This Row],[Costo total]]</f>
        <v>0</v>
      </c>
    </row>
    <row r="609" s="76" customFormat="1" ht="50" customHeight="1" spans="1:28">
      <c r="A609" s="76" t="s">
        <v>1229</v>
      </c>
      <c r="B609" s="6"/>
      <c r="C609" s="76" t="s">
        <v>30</v>
      </c>
      <c r="E609" s="76" t="s">
        <v>1230</v>
      </c>
      <c r="F609" s="76" t="s">
        <v>1045</v>
      </c>
      <c r="G609" s="76" t="s">
        <v>34</v>
      </c>
      <c r="H609" s="76">
        <f>STOCK[[#This Row],[Precio Final]]</f>
        <v>0</v>
      </c>
      <c r="I609" s="76">
        <f>STOCK[[#This Row],[Precio Venta Ideal (x1.5)]]</f>
        <v>0</v>
      </c>
      <c r="J609" s="91">
        <v>0</v>
      </c>
      <c r="K609" s="91">
        <f>SUMIFS(VENTAS[Cantidad],VENTAS[Código del producto Vendido],STOCK[[#This Row],[Code]])</f>
        <v>0</v>
      </c>
      <c r="L609" s="91">
        <f>STOCK[[#This Row],[Entradas]]-STOCK[[#This Row],[Salidas]]</f>
        <v>0</v>
      </c>
      <c r="M609" s="76">
        <f>STOCK[[#This Row],[Precio Final]]*10%</f>
        <v>0</v>
      </c>
      <c r="N609" s="76">
        <v>0</v>
      </c>
      <c r="O609" s="76">
        <v>0</v>
      </c>
      <c r="P609" s="76">
        <v>0</v>
      </c>
      <c r="Q609" s="91">
        <v>0</v>
      </c>
      <c r="R609" s="76">
        <v>0</v>
      </c>
      <c r="S609" s="76">
        <v>0</v>
      </c>
      <c r="T609" s="76">
        <f>STOCK[[#This Row],[Costo Unitario (USD)]]+STOCK[[#This Row],[Costo Envío (USD)]]+STOCK[[#This Row],[Comisión 10%]]</f>
        <v>0</v>
      </c>
      <c r="U609" s="76">
        <f>STOCK[[#This Row],[Costo total]]*1.5</f>
        <v>0</v>
      </c>
      <c r="V609" s="76">
        <v>0</v>
      </c>
      <c r="W609" s="76">
        <f>STOCK[[#This Row],[Precio Final]]-STOCK[[#This Row],[Costo total]]</f>
        <v>0</v>
      </c>
      <c r="X609" s="76">
        <f>STOCK[[#This Row],[Ganancia Unitaria]]*STOCK[[#This Row],[Salidas]]</f>
        <v>0</v>
      </c>
      <c r="Y609" s="76" t="s">
        <v>1157</v>
      </c>
      <c r="AA609" s="76">
        <f>STOCK[[#This Row],[Costo total]]*STOCK[[#This Row],[Entradas]]</f>
        <v>0</v>
      </c>
      <c r="AB609" s="76">
        <f>STOCK[[#This Row],[Stock Actual]]*STOCK[[#This Row],[Costo total]]</f>
        <v>0</v>
      </c>
    </row>
    <row r="610" s="77" customFormat="1" ht="50" customHeight="1" spans="1:28">
      <c r="A610" s="77" t="s">
        <v>1231</v>
      </c>
      <c r="B610" s="6"/>
      <c r="C610" s="77" t="s">
        <v>30</v>
      </c>
      <c r="D610" s="77" t="s">
        <v>151</v>
      </c>
      <c r="E610" s="77" t="s">
        <v>1232</v>
      </c>
      <c r="F610" s="77" t="s">
        <v>210</v>
      </c>
      <c r="G610" s="77" t="s">
        <v>34</v>
      </c>
      <c r="H610" s="77">
        <f>STOCK[[#This Row],[Precio Final]]</f>
        <v>22</v>
      </c>
      <c r="I610" s="77">
        <f>STOCK[[#This Row],[Precio Venta Ideal (x1.5)]]</f>
        <v>24.855</v>
      </c>
      <c r="J610" s="92">
        <v>4</v>
      </c>
      <c r="K610" s="92">
        <f>SUMIFS(VENTAS[Cantidad],VENTAS[Código del producto Vendido],STOCK[[#This Row],[Code]])</f>
        <v>4</v>
      </c>
      <c r="L610" s="92">
        <f>STOCK[[#This Row],[Entradas]]-STOCK[[#This Row],[Salidas]]</f>
        <v>0</v>
      </c>
      <c r="M610" s="77">
        <f>STOCK[[#This Row],[Precio Final]]*10%</f>
        <v>2.2</v>
      </c>
      <c r="N610" s="77">
        <v>-27.89</v>
      </c>
      <c r="O610" s="77">
        <v>13.94</v>
      </c>
      <c r="P610" s="77">
        <v>11.37</v>
      </c>
      <c r="Q610" s="92">
        <v>0</v>
      </c>
      <c r="R610" s="77">
        <v>0</v>
      </c>
      <c r="S610" s="77">
        <v>3</v>
      </c>
      <c r="T610" s="76">
        <f>STOCK[[#This Row],[Costo Unitario (USD)]]+STOCK[[#This Row],[Costo Envío (USD)]]+STOCK[[#This Row],[Comisión 10%]]</f>
        <v>16.57</v>
      </c>
      <c r="U610" s="77">
        <f>STOCK[[#This Row],[Costo total]]*1.5</f>
        <v>24.855</v>
      </c>
      <c r="V610" s="77">
        <v>22</v>
      </c>
      <c r="W610" s="77">
        <f>STOCK[[#This Row],[Precio Final]]-STOCK[[#This Row],[Costo total]]</f>
        <v>5.43</v>
      </c>
      <c r="X610" s="77">
        <f>STOCK[[#This Row],[Ganancia Unitaria]]*STOCK[[#This Row],[Salidas]]</f>
        <v>21.72</v>
      </c>
      <c r="Y610" s="77" t="s">
        <v>1157</v>
      </c>
      <c r="AA610" s="77">
        <f>STOCK[[#This Row],[Costo total]]*STOCK[[#This Row],[Entradas]]</f>
        <v>66.28</v>
      </c>
      <c r="AB610" s="77">
        <f>STOCK[[#This Row],[Stock Actual]]*STOCK[[#This Row],[Costo total]]</f>
        <v>0</v>
      </c>
    </row>
    <row r="611" s="76" customFormat="1" ht="50" customHeight="1" spans="1:28">
      <c r="A611" s="76" t="s">
        <v>1233</v>
      </c>
      <c r="B611" s="6"/>
      <c r="C611" s="76" t="s">
        <v>30</v>
      </c>
      <c r="D611" s="76" t="s">
        <v>151</v>
      </c>
      <c r="E611" s="76" t="s">
        <v>1234</v>
      </c>
      <c r="F611" s="76" t="s">
        <v>44</v>
      </c>
      <c r="G611" s="76" t="s">
        <v>34</v>
      </c>
      <c r="H611" s="76">
        <f>STOCK[[#This Row],[Precio Final]]</f>
        <v>22</v>
      </c>
      <c r="I611" s="76">
        <f>STOCK[[#This Row],[Precio Venta Ideal (x1.5)]]</f>
        <v>24.855</v>
      </c>
      <c r="J611" s="91">
        <v>3</v>
      </c>
      <c r="K611" s="91">
        <f>SUMIFS(VENTAS[Cantidad],VENTAS[Código del producto Vendido],STOCK[[#This Row],[Code]])</f>
        <v>3</v>
      </c>
      <c r="L611" s="91">
        <f>STOCK[[#This Row],[Entradas]]-STOCK[[#This Row],[Salidas]]</f>
        <v>0</v>
      </c>
      <c r="M611" s="76">
        <f>STOCK[[#This Row],[Precio Final]]*10%</f>
        <v>2.2</v>
      </c>
      <c r="N611" s="76">
        <v>0</v>
      </c>
      <c r="O611" s="76">
        <v>41.83</v>
      </c>
      <c r="P611" s="76">
        <v>11.37</v>
      </c>
      <c r="Q611" s="91">
        <v>0</v>
      </c>
      <c r="R611" s="76">
        <v>0</v>
      </c>
      <c r="S611" s="76">
        <v>3</v>
      </c>
      <c r="T611" s="76">
        <f>STOCK[[#This Row],[Costo Unitario (USD)]]+STOCK[[#This Row],[Costo Envío (USD)]]+STOCK[[#This Row],[Comisión 10%]]</f>
        <v>16.57</v>
      </c>
      <c r="U611" s="76">
        <f>STOCK[[#This Row],[Costo total]]*1.5</f>
        <v>24.855</v>
      </c>
      <c r="V611" s="76">
        <v>22</v>
      </c>
      <c r="W611" s="76">
        <f>STOCK[[#This Row],[Precio Final]]-STOCK[[#This Row],[Costo total]]</f>
        <v>5.43</v>
      </c>
      <c r="X611" s="76">
        <f>STOCK[[#This Row],[Ganancia Unitaria]]*STOCK[[#This Row],[Salidas]]</f>
        <v>16.29</v>
      </c>
      <c r="Y611" s="76" t="s">
        <v>1157</v>
      </c>
      <c r="AA611" s="76">
        <f>STOCK[[#This Row],[Costo total]]*STOCK[[#This Row],[Entradas]]</f>
        <v>49.71</v>
      </c>
      <c r="AB611" s="76">
        <f>STOCK[[#This Row],[Stock Actual]]*STOCK[[#This Row],[Costo total]]</f>
        <v>0</v>
      </c>
    </row>
    <row r="612" s="77" customFormat="1" ht="50" customHeight="1" spans="1:28">
      <c r="A612" s="77" t="s">
        <v>1235</v>
      </c>
      <c r="B612" s="6"/>
      <c r="C612" s="77" t="s">
        <v>30</v>
      </c>
      <c r="D612" s="77" t="s">
        <v>1236</v>
      </c>
      <c r="E612" s="77" t="s">
        <v>1237</v>
      </c>
      <c r="F612" s="77" t="s">
        <v>1238</v>
      </c>
      <c r="G612" s="77" t="s">
        <v>34</v>
      </c>
      <c r="H612" s="77">
        <f>STOCK[[#This Row],[Precio Final]]</f>
        <v>10</v>
      </c>
      <c r="I612" s="77">
        <f>STOCK[[#This Row],[Precio Venta Ideal (x1.5)]]</f>
        <v>9.255</v>
      </c>
      <c r="J612" s="92">
        <v>3</v>
      </c>
      <c r="K612" s="92">
        <f>SUMIFS(VENTAS[Cantidad],VENTAS[Código del producto Vendido],STOCK[[#This Row],[Code]])</f>
        <v>3</v>
      </c>
      <c r="L612" s="92">
        <f>STOCK[[#This Row],[Entradas]]-STOCK[[#This Row],[Salidas]]</f>
        <v>0</v>
      </c>
      <c r="M612" s="77">
        <f>STOCK[[#This Row],[Precio Final]]*10%</f>
        <v>1</v>
      </c>
      <c r="N612" s="77">
        <v>-5.88</v>
      </c>
      <c r="O612" s="77">
        <v>11.76</v>
      </c>
      <c r="P612" s="77">
        <v>4.17</v>
      </c>
      <c r="Q612" s="92">
        <v>0</v>
      </c>
      <c r="R612" s="77">
        <v>0</v>
      </c>
      <c r="S612" s="77">
        <v>1</v>
      </c>
      <c r="T612" s="76">
        <f>STOCK[[#This Row],[Costo Unitario (USD)]]+STOCK[[#This Row],[Costo Envío (USD)]]+STOCK[[#This Row],[Comisión 10%]]</f>
        <v>6.17</v>
      </c>
      <c r="U612" s="77">
        <f>STOCK[[#This Row],[Costo total]]*1.5</f>
        <v>9.255</v>
      </c>
      <c r="V612" s="77">
        <v>10</v>
      </c>
      <c r="W612" s="77">
        <f>STOCK[[#This Row],[Precio Final]]-STOCK[[#This Row],[Costo total]]</f>
        <v>3.83</v>
      </c>
      <c r="X612" s="77">
        <f>STOCK[[#This Row],[Ganancia Unitaria]]*STOCK[[#This Row],[Salidas]]</f>
        <v>11.49</v>
      </c>
      <c r="Y612" s="77" t="s">
        <v>1157</v>
      </c>
      <c r="AA612" s="77">
        <f>STOCK[[#This Row],[Costo total]]*STOCK[[#This Row],[Entradas]]</f>
        <v>18.51</v>
      </c>
      <c r="AB612" s="77">
        <f>STOCK[[#This Row],[Stock Actual]]*STOCK[[#This Row],[Costo total]]</f>
        <v>0</v>
      </c>
    </row>
    <row r="613" s="76" customFormat="1" ht="50" customHeight="1" spans="1:28">
      <c r="A613" s="76" t="s">
        <v>1239</v>
      </c>
      <c r="B613" s="6"/>
      <c r="C613" s="76" t="s">
        <v>30</v>
      </c>
      <c r="D613" s="76" t="s">
        <v>350</v>
      </c>
      <c r="E613" s="76" t="s">
        <v>1240</v>
      </c>
      <c r="F613" s="76" t="s">
        <v>524</v>
      </c>
      <c r="G613" s="76" t="s">
        <v>34</v>
      </c>
      <c r="H613" s="76">
        <f>STOCK[[#This Row],[Precio Final]]</f>
        <v>12</v>
      </c>
      <c r="I613" s="76">
        <f>STOCK[[#This Row],[Precio Venta Ideal (x1.5)]]</f>
        <v>8.715</v>
      </c>
      <c r="J613" s="91">
        <v>3</v>
      </c>
      <c r="K613" s="91">
        <f>SUMIFS(VENTAS[Cantidad],VENTAS[Código del producto Vendido],STOCK[[#This Row],[Code]])</f>
        <v>3</v>
      </c>
      <c r="L613" s="91">
        <f>STOCK[[#This Row],[Entradas]]-STOCK[[#This Row],[Salidas]]</f>
        <v>0</v>
      </c>
      <c r="M613" s="76">
        <f>STOCK[[#This Row],[Precio Final]]*10%</f>
        <v>1.2</v>
      </c>
      <c r="N613" s="76">
        <v>-16.01</v>
      </c>
      <c r="O613" s="76">
        <v>0</v>
      </c>
      <c r="P613" s="76">
        <v>3.61</v>
      </c>
      <c r="Q613" s="91">
        <v>0</v>
      </c>
      <c r="R613" s="76">
        <v>0</v>
      </c>
      <c r="S613" s="76">
        <v>1</v>
      </c>
      <c r="T613" s="76">
        <f>STOCK[[#This Row],[Costo Unitario (USD)]]+STOCK[[#This Row],[Costo Envío (USD)]]+STOCK[[#This Row],[Comisión 10%]]</f>
        <v>5.81</v>
      </c>
      <c r="U613" s="76">
        <f>STOCK[[#This Row],[Costo total]]*1.5</f>
        <v>8.715</v>
      </c>
      <c r="V613" s="76">
        <v>12</v>
      </c>
      <c r="W613" s="76">
        <f>STOCK[[#This Row],[Precio Final]]-STOCK[[#This Row],[Costo total]]</f>
        <v>6.19</v>
      </c>
      <c r="X613" s="76">
        <f>STOCK[[#This Row],[Ganancia Unitaria]]*STOCK[[#This Row],[Salidas]]</f>
        <v>18.57</v>
      </c>
      <c r="Y613" s="76" t="s">
        <v>1157</v>
      </c>
      <c r="AA613" s="76">
        <f>STOCK[[#This Row],[Costo total]]*STOCK[[#This Row],[Entradas]]</f>
        <v>17.43</v>
      </c>
      <c r="AB613" s="76">
        <f>STOCK[[#This Row],[Stock Actual]]*STOCK[[#This Row],[Costo total]]</f>
        <v>0</v>
      </c>
    </row>
    <row r="614" s="77" customFormat="1" ht="50" customHeight="1" spans="1:28">
      <c r="A614" s="77" t="s">
        <v>1241</v>
      </c>
      <c r="B614" s="6"/>
      <c r="C614" s="77" t="s">
        <v>30</v>
      </c>
      <c r="D614" s="77" t="s">
        <v>350</v>
      </c>
      <c r="E614" s="77" t="s">
        <v>1237</v>
      </c>
      <c r="F614" s="77" t="s">
        <v>524</v>
      </c>
      <c r="G614" s="77" t="s">
        <v>34</v>
      </c>
      <c r="H614" s="77">
        <f>STOCK[[#This Row],[Precio Final]]</f>
        <v>10</v>
      </c>
      <c r="I614" s="77">
        <f>STOCK[[#This Row],[Precio Venta Ideal (x1.5)]]</f>
        <v>7.635</v>
      </c>
      <c r="J614" s="92">
        <v>4</v>
      </c>
      <c r="K614" s="92">
        <f>SUMIFS(VENTAS[Cantidad],VENTAS[Código del producto Vendido],STOCK[[#This Row],[Code]])</f>
        <v>2</v>
      </c>
      <c r="L614" s="92">
        <f>STOCK[[#This Row],[Entradas]]-STOCK[[#This Row],[Salidas]]</f>
        <v>2</v>
      </c>
      <c r="M614" s="77">
        <f>STOCK[[#This Row],[Precio Final]]*10%</f>
        <v>1</v>
      </c>
      <c r="N614" s="77">
        <v>-4.79</v>
      </c>
      <c r="O614" s="77">
        <v>14.37</v>
      </c>
      <c r="P614" s="77">
        <v>3.09</v>
      </c>
      <c r="Q614" s="92">
        <v>0</v>
      </c>
      <c r="R614" s="77">
        <v>0</v>
      </c>
      <c r="S614" s="77">
        <v>1</v>
      </c>
      <c r="T614" s="76">
        <f>STOCK[[#This Row],[Costo Unitario (USD)]]+STOCK[[#This Row],[Costo Envío (USD)]]+STOCK[[#This Row],[Comisión 10%]]</f>
        <v>5.09</v>
      </c>
      <c r="U614" s="77">
        <f>STOCK[[#This Row],[Costo total]]*1.5</f>
        <v>7.635</v>
      </c>
      <c r="V614" s="77">
        <v>10</v>
      </c>
      <c r="W614" s="77">
        <f>STOCK[[#This Row],[Precio Final]]-STOCK[[#This Row],[Costo total]]</f>
        <v>4.91</v>
      </c>
      <c r="X614" s="77">
        <f>STOCK[[#This Row],[Ganancia Unitaria]]*STOCK[[#This Row],[Salidas]]</f>
        <v>9.82</v>
      </c>
      <c r="Y614" s="77" t="s">
        <v>1157</v>
      </c>
      <c r="AA614" s="77">
        <f>STOCK[[#This Row],[Costo total]]*STOCK[[#This Row],[Entradas]]</f>
        <v>20.36</v>
      </c>
      <c r="AB614" s="77">
        <f>STOCK[[#This Row],[Stock Actual]]*STOCK[[#This Row],[Costo total]]</f>
        <v>10.18</v>
      </c>
    </row>
    <row r="615" s="76" customFormat="1" ht="50" customHeight="1" spans="1:28">
      <c r="A615" s="76" t="s">
        <v>1242</v>
      </c>
      <c r="B615" s="6"/>
      <c r="C615" s="76" t="s">
        <v>30</v>
      </c>
      <c r="D615" s="76" t="s">
        <v>151</v>
      </c>
      <c r="E615" s="76" t="s">
        <v>1243</v>
      </c>
      <c r="F615" s="76" t="s">
        <v>1244</v>
      </c>
      <c r="G615" s="76" t="s">
        <v>34</v>
      </c>
      <c r="H615" s="76">
        <f>STOCK[[#This Row],[Precio Final]]</f>
        <v>25</v>
      </c>
      <c r="I615" s="76">
        <f>STOCK[[#This Row],[Precio Venta Ideal (x1.5)]]</f>
        <v>34.92</v>
      </c>
      <c r="J615" s="91">
        <v>2</v>
      </c>
      <c r="K615" s="91">
        <f>SUMIFS(VENTAS[Cantidad],VENTAS[Código del producto Vendido],STOCK[[#This Row],[Code]])</f>
        <v>2</v>
      </c>
      <c r="L615" s="91">
        <f>STOCK[[#This Row],[Entradas]]-STOCK[[#This Row],[Salidas]]</f>
        <v>0</v>
      </c>
      <c r="M615" s="76">
        <f>STOCK[[#This Row],[Precio Final]]*10%</f>
        <v>2.5</v>
      </c>
      <c r="N615" s="76">
        <v>-20.15</v>
      </c>
      <c r="O615" s="76">
        <v>20.15</v>
      </c>
      <c r="P615" s="76">
        <v>15.78</v>
      </c>
      <c r="Q615" s="91">
        <v>0</v>
      </c>
      <c r="R615" s="76">
        <v>0</v>
      </c>
      <c r="S615" s="76">
        <v>5</v>
      </c>
      <c r="T615" s="76">
        <f>STOCK[[#This Row],[Costo Unitario (USD)]]+STOCK[[#This Row],[Costo Envío (USD)]]+STOCK[[#This Row],[Comisión 10%]]</f>
        <v>23.28</v>
      </c>
      <c r="U615" s="76">
        <f>STOCK[[#This Row],[Costo total]]*1.5</f>
        <v>34.92</v>
      </c>
      <c r="V615" s="76">
        <v>25</v>
      </c>
      <c r="W615" s="76">
        <f>STOCK[[#This Row],[Precio Final]]-STOCK[[#This Row],[Costo total]]</f>
        <v>1.72</v>
      </c>
      <c r="X615" s="76">
        <f>STOCK[[#This Row],[Ganancia Unitaria]]*STOCK[[#This Row],[Salidas]]</f>
        <v>3.44</v>
      </c>
      <c r="Y615" s="76" t="s">
        <v>1157</v>
      </c>
      <c r="AA615" s="76">
        <f>STOCK[[#This Row],[Costo total]]*STOCK[[#This Row],[Entradas]]</f>
        <v>46.56</v>
      </c>
      <c r="AB615" s="76">
        <f>STOCK[[#This Row],[Stock Actual]]*STOCK[[#This Row],[Costo total]]</f>
        <v>0</v>
      </c>
    </row>
    <row r="616" s="77" customFormat="1" ht="50" customHeight="1" spans="1:28">
      <c r="A616" s="77" t="s">
        <v>1245</v>
      </c>
      <c r="B616" s="6"/>
      <c r="C616" s="77" t="s">
        <v>30</v>
      </c>
      <c r="D616" s="77" t="s">
        <v>1073</v>
      </c>
      <c r="E616" s="77" t="s">
        <v>1246</v>
      </c>
      <c r="G616" s="77" t="s">
        <v>34</v>
      </c>
      <c r="H616" s="77">
        <f>STOCK[[#This Row],[Precio Final]]</f>
        <v>18</v>
      </c>
      <c r="I616" s="77">
        <f>STOCK[[#This Row],[Precio Venta Ideal (x1.5)]]</f>
        <v>27.09</v>
      </c>
      <c r="J616" s="92">
        <v>0</v>
      </c>
      <c r="K616" s="92">
        <f>SUMIFS(VENTAS[Cantidad],VENTAS[Código del producto Vendido],STOCK[[#This Row],[Code]])</f>
        <v>0</v>
      </c>
      <c r="L616" s="92">
        <f>STOCK[[#This Row],[Entradas]]-STOCK[[#This Row],[Salidas]]</f>
        <v>0</v>
      </c>
      <c r="M616" s="77">
        <f>STOCK[[#This Row],[Precio Final]]*10%</f>
        <v>1.8</v>
      </c>
      <c r="N616" s="77">
        <v>0</v>
      </c>
      <c r="O616" s="77">
        <v>0</v>
      </c>
      <c r="P616" s="77">
        <v>13.26</v>
      </c>
      <c r="Q616" s="92">
        <v>0</v>
      </c>
      <c r="R616" s="77">
        <v>0</v>
      </c>
      <c r="S616" s="77">
        <v>3</v>
      </c>
      <c r="T616" s="76">
        <f>STOCK[[#This Row],[Costo Unitario (USD)]]+STOCK[[#This Row],[Costo Envío (USD)]]+STOCK[[#This Row],[Comisión 10%]]</f>
        <v>18.06</v>
      </c>
      <c r="U616" s="77">
        <f>STOCK[[#This Row],[Costo total]]*1.5</f>
        <v>27.09</v>
      </c>
      <c r="V616" s="77">
        <v>18</v>
      </c>
      <c r="W616" s="77">
        <f>STOCK[[#This Row],[Precio Final]]-STOCK[[#This Row],[Costo total]]</f>
        <v>-0.0599999999999987</v>
      </c>
      <c r="X616" s="77">
        <f>STOCK[[#This Row],[Ganancia Unitaria]]*STOCK[[#This Row],[Salidas]]</f>
        <v>0</v>
      </c>
      <c r="Y616" s="77" t="s">
        <v>1157</v>
      </c>
      <c r="AA616" s="77">
        <f>STOCK[[#This Row],[Costo total]]*STOCK[[#This Row],[Entradas]]</f>
        <v>0</v>
      </c>
      <c r="AB616" s="77">
        <f>STOCK[[#This Row],[Stock Actual]]*STOCK[[#This Row],[Costo total]]</f>
        <v>0</v>
      </c>
    </row>
    <row r="617" s="76" customFormat="1" ht="50" customHeight="1" spans="1:28">
      <c r="A617" s="76" t="s">
        <v>1247</v>
      </c>
      <c r="B617" s="6"/>
      <c r="C617" s="76" t="s">
        <v>30</v>
      </c>
      <c r="D617" s="76" t="s">
        <v>1073</v>
      </c>
      <c r="E617" s="76" t="s">
        <v>1248</v>
      </c>
      <c r="G617" s="76" t="s">
        <v>34</v>
      </c>
      <c r="H617" s="76">
        <f>STOCK[[#This Row],[Precio Final]]</f>
        <v>18</v>
      </c>
      <c r="I617" s="76">
        <f>STOCK[[#This Row],[Precio Venta Ideal (x1.5)]]</f>
        <v>27.63</v>
      </c>
      <c r="J617" s="91">
        <v>0</v>
      </c>
      <c r="K617" s="91">
        <f>SUMIFS(VENTAS[Cantidad],VENTAS[Código del producto Vendido],STOCK[[#This Row],[Code]])</f>
        <v>0</v>
      </c>
      <c r="L617" s="91">
        <f>STOCK[[#This Row],[Entradas]]-STOCK[[#This Row],[Salidas]]</f>
        <v>0</v>
      </c>
      <c r="M617" s="76">
        <f>STOCK[[#This Row],[Precio Final]]*10%</f>
        <v>1.8</v>
      </c>
      <c r="N617" s="76">
        <v>0</v>
      </c>
      <c r="O617" s="76">
        <v>0</v>
      </c>
      <c r="P617" s="76">
        <v>13.62</v>
      </c>
      <c r="Q617" s="91">
        <v>0</v>
      </c>
      <c r="R617" s="76">
        <v>0</v>
      </c>
      <c r="S617" s="76">
        <v>3</v>
      </c>
      <c r="T617" s="76">
        <f>STOCK[[#This Row],[Costo Unitario (USD)]]+STOCK[[#This Row],[Costo Envío (USD)]]+STOCK[[#This Row],[Comisión 10%]]</f>
        <v>18.42</v>
      </c>
      <c r="U617" s="76">
        <f>STOCK[[#This Row],[Costo total]]*1.5</f>
        <v>27.63</v>
      </c>
      <c r="V617" s="76">
        <v>18</v>
      </c>
      <c r="W617" s="76">
        <f>STOCK[[#This Row],[Precio Final]]-STOCK[[#This Row],[Costo total]]</f>
        <v>-0.419999999999998</v>
      </c>
      <c r="X617" s="76">
        <f>STOCK[[#This Row],[Ganancia Unitaria]]*STOCK[[#This Row],[Salidas]]</f>
        <v>0</v>
      </c>
      <c r="Y617" s="76" t="s">
        <v>1157</v>
      </c>
      <c r="AA617" s="76">
        <f>STOCK[[#This Row],[Costo total]]*STOCK[[#This Row],[Entradas]]</f>
        <v>0</v>
      </c>
      <c r="AB617" s="76">
        <f>STOCK[[#This Row],[Stock Actual]]*STOCK[[#This Row],[Costo total]]</f>
        <v>0</v>
      </c>
    </row>
    <row r="618" s="77" customFormat="1" ht="50" customHeight="1" spans="1:28">
      <c r="A618" s="77" t="s">
        <v>1249</v>
      </c>
      <c r="B618" s="6"/>
      <c r="C618" s="77" t="s">
        <v>30</v>
      </c>
      <c r="D618" s="77" t="s">
        <v>1073</v>
      </c>
      <c r="E618" s="77" t="s">
        <v>1250</v>
      </c>
      <c r="F618" s="77" t="s">
        <v>47</v>
      </c>
      <c r="G618" s="77" t="s">
        <v>34</v>
      </c>
      <c r="H618" s="77">
        <f>STOCK[[#This Row],[Precio Final]]</f>
        <v>18</v>
      </c>
      <c r="I618" s="77">
        <f>STOCK[[#This Row],[Precio Venta Ideal (x1.5)]]</f>
        <v>24.57</v>
      </c>
      <c r="J618" s="92">
        <v>0</v>
      </c>
      <c r="K618" s="92">
        <f>SUMIFS(VENTAS[Cantidad],VENTAS[Código del producto Vendido],STOCK[[#This Row],[Code]])</f>
        <v>0</v>
      </c>
      <c r="L618" s="92">
        <f>STOCK[[#This Row],[Entradas]]-STOCK[[#This Row],[Salidas]]</f>
        <v>0</v>
      </c>
      <c r="M618" s="77">
        <f>STOCK[[#This Row],[Precio Final]]*10%</f>
        <v>1.8</v>
      </c>
      <c r="N618" s="77">
        <v>0</v>
      </c>
      <c r="O618" s="77">
        <v>0</v>
      </c>
      <c r="P618" s="77">
        <v>11.58</v>
      </c>
      <c r="Q618" s="92">
        <v>0</v>
      </c>
      <c r="R618" s="77">
        <v>0</v>
      </c>
      <c r="S618" s="77">
        <v>3</v>
      </c>
      <c r="T618" s="76">
        <f>STOCK[[#This Row],[Costo Unitario (USD)]]+STOCK[[#This Row],[Costo Envío (USD)]]+STOCK[[#This Row],[Comisión 10%]]</f>
        <v>16.38</v>
      </c>
      <c r="U618" s="77">
        <f>STOCK[[#This Row],[Costo total]]*1.5</f>
        <v>24.57</v>
      </c>
      <c r="V618" s="77">
        <v>18</v>
      </c>
      <c r="W618" s="77">
        <f>STOCK[[#This Row],[Precio Final]]-STOCK[[#This Row],[Costo total]]</f>
        <v>1.62</v>
      </c>
      <c r="X618" s="77">
        <f>STOCK[[#This Row],[Ganancia Unitaria]]*STOCK[[#This Row],[Salidas]]</f>
        <v>0</v>
      </c>
      <c r="Y618" s="77" t="s">
        <v>1157</v>
      </c>
      <c r="AA618" s="77">
        <f>STOCK[[#This Row],[Costo total]]*STOCK[[#This Row],[Entradas]]</f>
        <v>0</v>
      </c>
      <c r="AB618" s="77">
        <f>STOCK[[#This Row],[Stock Actual]]*STOCK[[#This Row],[Costo total]]</f>
        <v>0</v>
      </c>
    </row>
    <row r="619" s="76" customFormat="1" ht="50" customHeight="1" spans="1:28">
      <c r="A619" s="76" t="s">
        <v>1251</v>
      </c>
      <c r="B619" s="6"/>
      <c r="C619" s="76" t="s">
        <v>30</v>
      </c>
      <c r="D619" s="76" t="s">
        <v>151</v>
      </c>
      <c r="E619" s="76" t="s">
        <v>1252</v>
      </c>
      <c r="F619" s="76" t="s">
        <v>47</v>
      </c>
      <c r="G619" s="76" t="s">
        <v>34</v>
      </c>
      <c r="H619" s="76">
        <f>STOCK[[#This Row],[Precio Final]]</f>
        <v>25</v>
      </c>
      <c r="I619" s="76">
        <f>STOCK[[#This Row],[Precio Venta Ideal (x1.5)]]</f>
        <v>31.2</v>
      </c>
      <c r="J619" s="91">
        <v>1</v>
      </c>
      <c r="K619" s="91">
        <f>SUMIFS(VENTAS[Cantidad],VENTAS[Código del producto Vendido],STOCK[[#This Row],[Code]])</f>
        <v>1</v>
      </c>
      <c r="L619" s="91">
        <f>STOCK[[#This Row],[Entradas]]-STOCK[[#This Row],[Salidas]]</f>
        <v>0</v>
      </c>
      <c r="M619" s="76">
        <f>STOCK[[#This Row],[Precio Final]]*10%</f>
        <v>2.5</v>
      </c>
      <c r="N619" s="76">
        <v>-18.52</v>
      </c>
      <c r="O619" s="76">
        <v>0</v>
      </c>
      <c r="P619" s="76">
        <v>13.3</v>
      </c>
      <c r="Q619" s="91">
        <v>0</v>
      </c>
      <c r="R619" s="76">
        <v>0</v>
      </c>
      <c r="S619" s="76">
        <v>5</v>
      </c>
      <c r="T619" s="76">
        <f>STOCK[[#This Row],[Costo Unitario (USD)]]+STOCK[[#This Row],[Costo Envío (USD)]]+STOCK[[#This Row],[Comisión 10%]]</f>
        <v>20.8</v>
      </c>
      <c r="U619" s="76">
        <f>STOCK[[#This Row],[Costo total]]*1.5</f>
        <v>31.2</v>
      </c>
      <c r="V619" s="76">
        <v>25</v>
      </c>
      <c r="W619" s="76">
        <f>STOCK[[#This Row],[Precio Final]]-STOCK[[#This Row],[Costo total]]</f>
        <v>4.2</v>
      </c>
      <c r="X619" s="76">
        <f>STOCK[[#This Row],[Ganancia Unitaria]]*STOCK[[#This Row],[Salidas]]</f>
        <v>4.2</v>
      </c>
      <c r="Y619" s="76" t="s">
        <v>1157</v>
      </c>
      <c r="AA619" s="76">
        <f>STOCK[[#This Row],[Costo total]]*STOCK[[#This Row],[Entradas]]</f>
        <v>20.8</v>
      </c>
      <c r="AB619" s="76">
        <f>STOCK[[#This Row],[Stock Actual]]*STOCK[[#This Row],[Costo total]]</f>
        <v>0</v>
      </c>
    </row>
    <row r="620" s="77" customFormat="1" ht="50" customHeight="1" spans="1:28">
      <c r="A620" s="77" t="s">
        <v>1253</v>
      </c>
      <c r="B620" s="6"/>
      <c r="C620" s="77" t="s">
        <v>30</v>
      </c>
      <c r="D620" s="77" t="s">
        <v>151</v>
      </c>
      <c r="E620" s="77" t="s">
        <v>1252</v>
      </c>
      <c r="F620" s="77" t="s">
        <v>44</v>
      </c>
      <c r="G620" s="77" t="s">
        <v>34</v>
      </c>
      <c r="H620" s="77">
        <f>STOCK[[#This Row],[Precio Final]]</f>
        <v>25</v>
      </c>
      <c r="I620" s="77">
        <f>STOCK[[#This Row],[Precio Venta Ideal (x1.5)]]</f>
        <v>31.2</v>
      </c>
      <c r="J620" s="92">
        <v>1</v>
      </c>
      <c r="K620" s="92">
        <f>SUMIFS(VENTAS[Cantidad],VENTAS[Código del producto Vendido],STOCK[[#This Row],[Code]])</f>
        <v>1</v>
      </c>
      <c r="L620" s="92">
        <f>STOCK[[#This Row],[Entradas]]-STOCK[[#This Row],[Salidas]]</f>
        <v>0</v>
      </c>
      <c r="M620" s="77">
        <f>STOCK[[#This Row],[Precio Final]]*10%</f>
        <v>2.5</v>
      </c>
      <c r="N620" s="77">
        <v>-18.52</v>
      </c>
      <c r="O620" s="77">
        <v>0</v>
      </c>
      <c r="P620" s="77">
        <v>13.3</v>
      </c>
      <c r="Q620" s="92">
        <v>0</v>
      </c>
      <c r="R620" s="77">
        <v>0</v>
      </c>
      <c r="S620" s="77">
        <v>5</v>
      </c>
      <c r="T620" s="76">
        <f>STOCK[[#This Row],[Costo Unitario (USD)]]+STOCK[[#This Row],[Costo Envío (USD)]]+STOCK[[#This Row],[Comisión 10%]]</f>
        <v>20.8</v>
      </c>
      <c r="U620" s="77">
        <f>STOCK[[#This Row],[Costo total]]*1.5</f>
        <v>31.2</v>
      </c>
      <c r="V620" s="77">
        <v>25</v>
      </c>
      <c r="W620" s="77">
        <f>STOCK[[#This Row],[Precio Final]]-STOCK[[#This Row],[Costo total]]</f>
        <v>4.2</v>
      </c>
      <c r="X620" s="77">
        <f>STOCK[[#This Row],[Ganancia Unitaria]]*STOCK[[#This Row],[Salidas]]</f>
        <v>4.2</v>
      </c>
      <c r="Y620" s="77" t="s">
        <v>1157</v>
      </c>
      <c r="AA620" s="77">
        <f>STOCK[[#This Row],[Costo total]]*STOCK[[#This Row],[Entradas]]</f>
        <v>20.8</v>
      </c>
      <c r="AB620" s="77">
        <f>STOCK[[#This Row],[Stock Actual]]*STOCK[[#This Row],[Costo total]]</f>
        <v>0</v>
      </c>
    </row>
    <row r="621" s="76" customFormat="1" ht="50" customHeight="1" spans="1:28">
      <c r="A621" s="76" t="s">
        <v>1254</v>
      </c>
      <c r="B621" s="6"/>
      <c r="C621" s="76" t="s">
        <v>30</v>
      </c>
      <c r="D621" s="76" t="s">
        <v>151</v>
      </c>
      <c r="E621" s="76" t="s">
        <v>1252</v>
      </c>
      <c r="F621" s="76" t="s">
        <v>47</v>
      </c>
      <c r="G621" s="76" t="s">
        <v>34</v>
      </c>
      <c r="H621" s="76">
        <f>STOCK[[#This Row],[Precio Final]]</f>
        <v>25</v>
      </c>
      <c r="I621" s="76">
        <f>STOCK[[#This Row],[Precio Venta Ideal (x1.5)]]</f>
        <v>31.2</v>
      </c>
      <c r="J621" s="91">
        <v>1</v>
      </c>
      <c r="K621" s="91">
        <f>SUMIFS(VENTAS[Cantidad],VENTAS[Código del producto Vendido],STOCK[[#This Row],[Code]])</f>
        <v>1</v>
      </c>
      <c r="L621" s="91">
        <f>STOCK[[#This Row],[Entradas]]-STOCK[[#This Row],[Salidas]]</f>
        <v>0</v>
      </c>
      <c r="M621" s="76">
        <f>STOCK[[#This Row],[Precio Final]]*10%</f>
        <v>2.5</v>
      </c>
      <c r="N621" s="76">
        <v>-18.52</v>
      </c>
      <c r="O621" s="76">
        <v>0</v>
      </c>
      <c r="P621" s="76">
        <v>13.3</v>
      </c>
      <c r="Q621" s="91">
        <v>0</v>
      </c>
      <c r="R621" s="76">
        <v>0</v>
      </c>
      <c r="S621" s="76">
        <v>5</v>
      </c>
      <c r="T621" s="76">
        <f>STOCK[[#This Row],[Costo Unitario (USD)]]+STOCK[[#This Row],[Costo Envío (USD)]]+STOCK[[#This Row],[Comisión 10%]]</f>
        <v>20.8</v>
      </c>
      <c r="U621" s="76">
        <f>STOCK[[#This Row],[Costo total]]*1.5</f>
        <v>31.2</v>
      </c>
      <c r="V621" s="76">
        <v>25</v>
      </c>
      <c r="W621" s="76">
        <f>STOCK[[#This Row],[Precio Final]]-STOCK[[#This Row],[Costo total]]</f>
        <v>4.2</v>
      </c>
      <c r="X621" s="76">
        <f>STOCK[[#This Row],[Ganancia Unitaria]]*STOCK[[#This Row],[Salidas]]</f>
        <v>4.2</v>
      </c>
      <c r="Y621" s="76" t="s">
        <v>1157</v>
      </c>
      <c r="AA621" s="76">
        <f>STOCK[[#This Row],[Costo total]]*STOCK[[#This Row],[Entradas]]</f>
        <v>20.8</v>
      </c>
      <c r="AB621" s="76">
        <f>STOCK[[#This Row],[Stock Actual]]*STOCK[[#This Row],[Costo total]]</f>
        <v>0</v>
      </c>
    </row>
    <row r="622" s="77" customFormat="1" ht="50" customHeight="1" spans="1:28">
      <c r="A622" s="77" t="s">
        <v>1255</v>
      </c>
      <c r="B622" s="6"/>
      <c r="C622" s="77" t="s">
        <v>30</v>
      </c>
      <c r="D622" s="77" t="s">
        <v>42</v>
      </c>
      <c r="E622" s="77" t="s">
        <v>1256</v>
      </c>
      <c r="F622" s="77" t="s">
        <v>47</v>
      </c>
      <c r="G622" s="77" t="s">
        <v>34</v>
      </c>
      <c r="H622" s="77">
        <f>STOCK[[#This Row],[Precio Final]]</f>
        <v>35</v>
      </c>
      <c r="I622" s="77">
        <f>STOCK[[#This Row],[Precio Venta Ideal (x1.5)]]</f>
        <v>40.38</v>
      </c>
      <c r="J622" s="92">
        <v>1</v>
      </c>
      <c r="K622" s="92">
        <f>SUMIFS(VENTAS[Cantidad],VENTAS[Código del producto Vendido],STOCK[[#This Row],[Code]])</f>
        <v>1</v>
      </c>
      <c r="L622" s="92">
        <f>STOCK[[#This Row],[Entradas]]-STOCK[[#This Row],[Salidas]]</f>
        <v>0</v>
      </c>
      <c r="M622" s="77">
        <f>STOCK[[#This Row],[Precio Final]]*10%</f>
        <v>3.5</v>
      </c>
      <c r="N622" s="77">
        <v>-25.28</v>
      </c>
      <c r="O622" s="77">
        <v>0</v>
      </c>
      <c r="P622" s="77">
        <v>18.42</v>
      </c>
      <c r="Q622" s="92">
        <v>0</v>
      </c>
      <c r="R622" s="77">
        <v>0</v>
      </c>
      <c r="S622" s="77">
        <v>5</v>
      </c>
      <c r="T622" s="76">
        <f>STOCK[[#This Row],[Costo Unitario (USD)]]+STOCK[[#This Row],[Costo Envío (USD)]]+STOCK[[#This Row],[Comisión 10%]]</f>
        <v>26.92</v>
      </c>
      <c r="U622" s="77">
        <f>STOCK[[#This Row],[Costo total]]*1.5</f>
        <v>40.38</v>
      </c>
      <c r="V622" s="77">
        <v>35</v>
      </c>
      <c r="W622" s="77">
        <f>STOCK[[#This Row],[Precio Final]]-STOCK[[#This Row],[Costo total]]</f>
        <v>8.08</v>
      </c>
      <c r="X622" s="77">
        <f>STOCK[[#This Row],[Ganancia Unitaria]]*STOCK[[#This Row],[Salidas]]</f>
        <v>8.08</v>
      </c>
      <c r="Y622" s="77" t="s">
        <v>1157</v>
      </c>
      <c r="AA622" s="77">
        <f>STOCK[[#This Row],[Costo total]]*STOCK[[#This Row],[Entradas]]</f>
        <v>26.92</v>
      </c>
      <c r="AB622" s="77">
        <f>STOCK[[#This Row],[Stock Actual]]*STOCK[[#This Row],[Costo total]]</f>
        <v>0</v>
      </c>
    </row>
    <row r="623" s="76" customFormat="1" ht="50" customHeight="1" spans="1:28">
      <c r="A623" s="76" t="s">
        <v>1257</v>
      </c>
      <c r="B623" s="6"/>
      <c r="C623" s="76" t="s">
        <v>30</v>
      </c>
      <c r="D623" s="76" t="s">
        <v>1012</v>
      </c>
      <c r="E623" s="76" t="s">
        <v>1258</v>
      </c>
      <c r="F623" s="76" t="s">
        <v>1259</v>
      </c>
      <c r="G623" s="76" t="s">
        <v>34</v>
      </c>
      <c r="H623" s="76">
        <f>STOCK[[#This Row],[Precio Final]]</f>
        <v>35</v>
      </c>
      <c r="I623" s="76">
        <f>STOCK[[#This Row],[Precio Venta Ideal (x1.5)]]</f>
        <v>41.175</v>
      </c>
      <c r="J623" s="91">
        <v>2</v>
      </c>
      <c r="K623" s="91">
        <f>SUMIFS(VENTAS[Cantidad],VENTAS[Código del producto Vendido],STOCK[[#This Row],[Code]])</f>
        <v>2</v>
      </c>
      <c r="L623" s="91">
        <f>STOCK[[#This Row],[Entradas]]-STOCK[[#This Row],[Salidas]]</f>
        <v>0</v>
      </c>
      <c r="M623" s="76">
        <f>STOCK[[#This Row],[Precio Final]]*10%</f>
        <v>3.5</v>
      </c>
      <c r="N623" s="76">
        <v>0</v>
      </c>
      <c r="O623" s="76">
        <v>49.6</v>
      </c>
      <c r="P623" s="76">
        <v>17.95</v>
      </c>
      <c r="Q623" s="91">
        <v>0</v>
      </c>
      <c r="R623" s="76">
        <v>0</v>
      </c>
      <c r="S623" s="76">
        <v>6</v>
      </c>
      <c r="T623" s="76">
        <f>STOCK[[#This Row],[Costo Unitario (USD)]]+STOCK[[#This Row],[Costo Envío (USD)]]+STOCK[[#This Row],[Comisión 10%]]</f>
        <v>27.45</v>
      </c>
      <c r="U623" s="76">
        <f>STOCK[[#This Row],[Costo total]]*1.5</f>
        <v>41.175</v>
      </c>
      <c r="V623" s="76">
        <v>35</v>
      </c>
      <c r="W623" s="76">
        <f>STOCK[[#This Row],[Precio Final]]-STOCK[[#This Row],[Costo total]]</f>
        <v>7.55</v>
      </c>
      <c r="X623" s="76">
        <f>STOCK[[#This Row],[Ganancia Unitaria]]*STOCK[[#This Row],[Salidas]]</f>
        <v>15.1</v>
      </c>
      <c r="Y623" s="76" t="s">
        <v>1157</v>
      </c>
      <c r="AA623" s="76">
        <f>STOCK[[#This Row],[Costo total]]*STOCK[[#This Row],[Entradas]]</f>
        <v>54.9</v>
      </c>
      <c r="AB623" s="76">
        <f>STOCK[[#This Row],[Stock Actual]]*STOCK[[#This Row],[Costo total]]</f>
        <v>0</v>
      </c>
    </row>
    <row r="624" s="77" customFormat="1" ht="50" customHeight="1" spans="1:28">
      <c r="A624" s="77" t="s">
        <v>1260</v>
      </c>
      <c r="B624" s="6"/>
      <c r="C624" s="77" t="s">
        <v>30</v>
      </c>
      <c r="D624" s="77" t="s">
        <v>42</v>
      </c>
      <c r="E624" s="77" t="s">
        <v>1261</v>
      </c>
      <c r="F624" s="77" t="s">
        <v>44</v>
      </c>
      <c r="G624" s="77" t="s">
        <v>34</v>
      </c>
      <c r="H624" s="77">
        <f>STOCK[[#This Row],[Precio Final]]</f>
        <v>35</v>
      </c>
      <c r="I624" s="77">
        <f>STOCK[[#This Row],[Precio Venta Ideal (x1.5)]]</f>
        <v>41.175</v>
      </c>
      <c r="J624" s="92">
        <v>2</v>
      </c>
      <c r="K624" s="92">
        <f>SUMIFS(VENTAS[Cantidad],VENTAS[Código del producto Vendido],STOCK[[#This Row],[Code]])</f>
        <v>2</v>
      </c>
      <c r="L624" s="92">
        <f>STOCK[[#This Row],[Entradas]]-STOCK[[#This Row],[Salidas]]</f>
        <v>0</v>
      </c>
      <c r="M624" s="77">
        <f>STOCK[[#This Row],[Precio Final]]*10%</f>
        <v>3.5</v>
      </c>
      <c r="N624" s="77">
        <v>-49.6</v>
      </c>
      <c r="O624" s="77">
        <v>0</v>
      </c>
      <c r="P624" s="77">
        <v>17.95</v>
      </c>
      <c r="Q624" s="92">
        <v>0</v>
      </c>
      <c r="R624" s="77">
        <v>0</v>
      </c>
      <c r="S624" s="77">
        <v>6</v>
      </c>
      <c r="T624" s="76">
        <f>STOCK[[#This Row],[Costo Unitario (USD)]]+STOCK[[#This Row],[Costo Envío (USD)]]+STOCK[[#This Row],[Comisión 10%]]</f>
        <v>27.45</v>
      </c>
      <c r="U624" s="77">
        <f>STOCK[[#This Row],[Costo total]]*1.5</f>
        <v>41.175</v>
      </c>
      <c r="V624" s="77">
        <v>35</v>
      </c>
      <c r="W624" s="77">
        <f>STOCK[[#This Row],[Precio Final]]-STOCK[[#This Row],[Costo total]]</f>
        <v>7.55</v>
      </c>
      <c r="X624" s="77">
        <f>STOCK[[#This Row],[Ganancia Unitaria]]*STOCK[[#This Row],[Salidas]]</f>
        <v>15.1</v>
      </c>
      <c r="Y624" s="77" t="s">
        <v>1157</v>
      </c>
      <c r="AA624" s="77">
        <f>STOCK[[#This Row],[Costo total]]*STOCK[[#This Row],[Entradas]]</f>
        <v>54.9</v>
      </c>
      <c r="AB624" s="77">
        <f>STOCK[[#This Row],[Stock Actual]]*STOCK[[#This Row],[Costo total]]</f>
        <v>0</v>
      </c>
    </row>
    <row r="625" s="76" customFormat="1" ht="50" customHeight="1" spans="1:28">
      <c r="A625" s="76" t="s">
        <v>1262</v>
      </c>
      <c r="B625" s="6"/>
      <c r="C625" s="76" t="s">
        <v>30</v>
      </c>
      <c r="D625" s="76" t="s">
        <v>42</v>
      </c>
      <c r="E625" s="76" t="s">
        <v>1261</v>
      </c>
      <c r="F625" s="76" t="s">
        <v>60</v>
      </c>
      <c r="G625" s="76" t="s">
        <v>34</v>
      </c>
      <c r="H625" s="76">
        <f>STOCK[[#This Row],[Precio Final]]</f>
        <v>35</v>
      </c>
      <c r="I625" s="76">
        <f>STOCK[[#This Row],[Precio Venta Ideal (x1.5)]]</f>
        <v>41.175</v>
      </c>
      <c r="J625" s="91">
        <v>2</v>
      </c>
      <c r="K625" s="91">
        <f>SUMIFS(VENTAS[Cantidad],VENTAS[Código del producto Vendido],STOCK[[#This Row],[Code]])</f>
        <v>2</v>
      </c>
      <c r="L625" s="91">
        <f>STOCK[[#This Row],[Entradas]]-STOCK[[#This Row],[Salidas]]</f>
        <v>0</v>
      </c>
      <c r="M625" s="76">
        <f>STOCK[[#This Row],[Precio Final]]*10%</f>
        <v>3.5</v>
      </c>
      <c r="N625" s="76">
        <v>0</v>
      </c>
      <c r="O625" s="76">
        <v>24.8</v>
      </c>
      <c r="P625" s="76">
        <v>17.95</v>
      </c>
      <c r="Q625" s="91">
        <v>0</v>
      </c>
      <c r="R625" s="76">
        <v>0</v>
      </c>
      <c r="S625" s="76">
        <v>6</v>
      </c>
      <c r="T625" s="76">
        <f>STOCK[[#This Row],[Costo Unitario (USD)]]+STOCK[[#This Row],[Costo Envío (USD)]]+STOCK[[#This Row],[Comisión 10%]]</f>
        <v>27.45</v>
      </c>
      <c r="U625" s="76">
        <f>STOCK[[#This Row],[Costo total]]*1.5</f>
        <v>41.175</v>
      </c>
      <c r="V625" s="76">
        <v>35</v>
      </c>
      <c r="W625" s="76">
        <f>STOCK[[#This Row],[Precio Final]]-STOCK[[#This Row],[Costo total]]</f>
        <v>7.55</v>
      </c>
      <c r="X625" s="76">
        <f>STOCK[[#This Row],[Ganancia Unitaria]]*STOCK[[#This Row],[Salidas]]</f>
        <v>15.1</v>
      </c>
      <c r="Y625" s="76" t="s">
        <v>1157</v>
      </c>
      <c r="AA625" s="76">
        <f>STOCK[[#This Row],[Costo total]]*STOCK[[#This Row],[Entradas]]</f>
        <v>54.9</v>
      </c>
      <c r="AB625" s="76">
        <f>STOCK[[#This Row],[Stock Actual]]*STOCK[[#This Row],[Costo total]]</f>
        <v>0</v>
      </c>
    </row>
    <row r="626" s="77" customFormat="1" ht="50" customHeight="1" spans="1:28">
      <c r="A626" s="77" t="s">
        <v>1263</v>
      </c>
      <c r="B626" s="6"/>
      <c r="C626" s="77" t="s">
        <v>30</v>
      </c>
      <c r="D626" s="77" t="s">
        <v>151</v>
      </c>
      <c r="E626" s="77" t="s">
        <v>1264</v>
      </c>
      <c r="F626" s="77" t="s">
        <v>44</v>
      </c>
      <c r="G626" s="77" t="s">
        <v>34</v>
      </c>
      <c r="H626" s="77">
        <f>STOCK[[#This Row],[Precio Final]]</f>
        <v>23</v>
      </c>
      <c r="I626" s="77">
        <f>STOCK[[#This Row],[Precio Venta Ideal (x1.5)]]</f>
        <v>26.28</v>
      </c>
      <c r="J626" s="92">
        <v>2</v>
      </c>
      <c r="K626" s="92">
        <f>SUMIFS(VENTAS[Cantidad],VENTAS[Código del producto Vendido],STOCK[[#This Row],[Code]])</f>
        <v>2</v>
      </c>
      <c r="L626" s="92">
        <f>STOCK[[#This Row],[Entradas]]-STOCK[[#This Row],[Salidas]]</f>
        <v>0</v>
      </c>
      <c r="M626" s="77">
        <f>STOCK[[#This Row],[Precio Final]]*10%</f>
        <v>2.3</v>
      </c>
      <c r="N626" s="77">
        <v>-29.83</v>
      </c>
      <c r="O626" s="77">
        <v>0</v>
      </c>
      <c r="P626" s="77">
        <v>10.22</v>
      </c>
      <c r="Q626" s="92">
        <v>0</v>
      </c>
      <c r="R626" s="77">
        <v>0</v>
      </c>
      <c r="S626" s="77">
        <v>5</v>
      </c>
      <c r="T626" s="76">
        <f>STOCK[[#This Row],[Costo Unitario (USD)]]+STOCK[[#This Row],[Costo Envío (USD)]]+STOCK[[#This Row],[Comisión 10%]]</f>
        <v>17.52</v>
      </c>
      <c r="U626" s="77">
        <f>STOCK[[#This Row],[Costo total]]*1.5</f>
        <v>26.28</v>
      </c>
      <c r="V626" s="77">
        <v>23</v>
      </c>
      <c r="W626" s="77">
        <f>STOCK[[#This Row],[Precio Final]]-STOCK[[#This Row],[Costo total]]</f>
        <v>5.48</v>
      </c>
      <c r="X626" s="77">
        <f>STOCK[[#This Row],[Ganancia Unitaria]]*STOCK[[#This Row],[Salidas]]</f>
        <v>10.96</v>
      </c>
      <c r="Y626" s="77" t="s">
        <v>1157</v>
      </c>
      <c r="AA626" s="77">
        <f>STOCK[[#This Row],[Costo total]]*STOCK[[#This Row],[Entradas]]</f>
        <v>35.04</v>
      </c>
      <c r="AB626" s="77">
        <f>STOCK[[#This Row],[Stock Actual]]*STOCK[[#This Row],[Costo total]]</f>
        <v>0</v>
      </c>
    </row>
    <row r="627" s="76" customFormat="1" ht="50" customHeight="1" spans="1:28">
      <c r="A627" s="76" t="s">
        <v>1265</v>
      </c>
      <c r="B627" s="6"/>
      <c r="C627" s="76" t="s">
        <v>30</v>
      </c>
      <c r="D627" s="76" t="s">
        <v>173</v>
      </c>
      <c r="E627" s="76" t="s">
        <v>1266</v>
      </c>
      <c r="F627" s="76" t="s">
        <v>38</v>
      </c>
      <c r="G627" s="76" t="s">
        <v>34</v>
      </c>
      <c r="H627" s="76">
        <f>STOCK[[#This Row],[Precio Final]]</f>
        <v>10</v>
      </c>
      <c r="I627" s="76">
        <f>STOCK[[#This Row],[Precio Venta Ideal (x1.5)]]</f>
        <v>10.155</v>
      </c>
      <c r="J627" s="91">
        <v>2</v>
      </c>
      <c r="K627" s="91">
        <f>SUMIFS(VENTAS[Cantidad],VENTAS[Código del producto Vendido],STOCK[[#This Row],[Code]])</f>
        <v>2</v>
      </c>
      <c r="L627" s="91">
        <f>STOCK[[#This Row],[Entradas]]-STOCK[[#This Row],[Salidas]]</f>
        <v>0</v>
      </c>
      <c r="M627" s="76">
        <f>STOCK[[#This Row],[Precio Final]]*10%</f>
        <v>1</v>
      </c>
      <c r="N627" s="76">
        <v>-9.17</v>
      </c>
      <c r="O627" s="76">
        <v>0</v>
      </c>
      <c r="P627" s="76">
        <v>3.77</v>
      </c>
      <c r="Q627" s="91">
        <v>0</v>
      </c>
      <c r="R627" s="76">
        <v>0</v>
      </c>
      <c r="S627" s="76">
        <v>2</v>
      </c>
      <c r="T627" s="76">
        <f>STOCK[[#This Row],[Costo Unitario (USD)]]+STOCK[[#This Row],[Costo Envío (USD)]]+STOCK[[#This Row],[Comisión 10%]]</f>
        <v>6.77</v>
      </c>
      <c r="U627" s="76">
        <f>STOCK[[#This Row],[Costo total]]*1.5</f>
        <v>10.155</v>
      </c>
      <c r="V627" s="76">
        <v>10</v>
      </c>
      <c r="W627" s="76">
        <f>STOCK[[#This Row],[Precio Final]]-STOCK[[#This Row],[Costo total]]</f>
        <v>3.23</v>
      </c>
      <c r="X627" s="76">
        <f>STOCK[[#This Row],[Ganancia Unitaria]]*STOCK[[#This Row],[Salidas]]</f>
        <v>6.46</v>
      </c>
      <c r="Y627" s="76" t="s">
        <v>1157</v>
      </c>
      <c r="AA627" s="76">
        <f>STOCK[[#This Row],[Costo total]]*STOCK[[#This Row],[Entradas]]</f>
        <v>13.54</v>
      </c>
      <c r="AB627" s="76">
        <f>STOCK[[#This Row],[Stock Actual]]*STOCK[[#This Row],[Costo total]]</f>
        <v>0</v>
      </c>
    </row>
    <row r="628" s="77" customFormat="1" ht="50" customHeight="1" spans="1:28">
      <c r="A628" s="77" t="s">
        <v>1267</v>
      </c>
      <c r="B628" s="6"/>
      <c r="C628" s="77" t="s">
        <v>30</v>
      </c>
      <c r="D628" s="77" t="s">
        <v>173</v>
      </c>
      <c r="E628" s="77" t="s">
        <v>1268</v>
      </c>
      <c r="F628" s="77" t="s">
        <v>585</v>
      </c>
      <c r="G628" s="77" t="s">
        <v>34</v>
      </c>
      <c r="H628" s="77">
        <f>STOCK[[#This Row],[Precio Final]]</f>
        <v>10</v>
      </c>
      <c r="I628" s="77">
        <f>STOCK[[#This Row],[Precio Venta Ideal (x1.5)]]</f>
        <v>10.155</v>
      </c>
      <c r="J628" s="92">
        <v>2</v>
      </c>
      <c r="K628" s="92">
        <f>SUMIFS(VENTAS[Cantidad],VENTAS[Código del producto Vendido],STOCK[[#This Row],[Code]])</f>
        <v>2</v>
      </c>
      <c r="L628" s="92">
        <f>STOCK[[#This Row],[Entradas]]-STOCK[[#This Row],[Salidas]]</f>
        <v>0</v>
      </c>
      <c r="M628" s="77">
        <f>STOCK[[#This Row],[Precio Final]]*10%</f>
        <v>1</v>
      </c>
      <c r="N628" s="77">
        <v>0</v>
      </c>
      <c r="O628" s="77">
        <v>9.17</v>
      </c>
      <c r="P628" s="77">
        <v>3.77</v>
      </c>
      <c r="Q628" s="92">
        <v>0</v>
      </c>
      <c r="R628" s="77">
        <v>0</v>
      </c>
      <c r="S628" s="77">
        <v>2</v>
      </c>
      <c r="T628" s="76">
        <f>STOCK[[#This Row],[Costo Unitario (USD)]]+STOCK[[#This Row],[Costo Envío (USD)]]+STOCK[[#This Row],[Comisión 10%]]</f>
        <v>6.77</v>
      </c>
      <c r="U628" s="77">
        <f>STOCK[[#This Row],[Costo total]]*1.5</f>
        <v>10.155</v>
      </c>
      <c r="V628" s="77">
        <v>10</v>
      </c>
      <c r="W628" s="77">
        <f>STOCK[[#This Row],[Precio Final]]-STOCK[[#This Row],[Costo total]]</f>
        <v>3.23</v>
      </c>
      <c r="X628" s="77">
        <f>STOCK[[#This Row],[Ganancia Unitaria]]*STOCK[[#This Row],[Salidas]]</f>
        <v>6.46</v>
      </c>
      <c r="Y628" s="77" t="s">
        <v>1157</v>
      </c>
      <c r="AA628" s="77">
        <f>STOCK[[#This Row],[Costo total]]*STOCK[[#This Row],[Entradas]]</f>
        <v>13.54</v>
      </c>
      <c r="AB628" s="77">
        <f>STOCK[[#This Row],[Stock Actual]]*STOCK[[#This Row],[Costo total]]</f>
        <v>0</v>
      </c>
    </row>
    <row r="629" s="76" customFormat="1" ht="50" customHeight="1" spans="1:28">
      <c r="A629" s="76" t="s">
        <v>1269</v>
      </c>
      <c r="B629" s="6"/>
      <c r="C629" s="76" t="s">
        <v>30</v>
      </c>
      <c r="D629" s="76" t="s">
        <v>173</v>
      </c>
      <c r="E629" s="76" t="s">
        <v>1270</v>
      </c>
      <c r="F629" s="76" t="s">
        <v>38</v>
      </c>
      <c r="G629" s="76" t="s">
        <v>34</v>
      </c>
      <c r="H629" s="76">
        <f>STOCK[[#This Row],[Precio Final]]</f>
        <v>12</v>
      </c>
      <c r="I629" s="76">
        <f>STOCK[[#This Row],[Precio Venta Ideal (x1.5)]]</f>
        <v>13.755</v>
      </c>
      <c r="J629" s="91">
        <v>2</v>
      </c>
      <c r="K629" s="91">
        <f>SUMIFS(VENTAS[Cantidad],VENTAS[Código del producto Vendido],STOCK[[#This Row],[Code]])</f>
        <v>2</v>
      </c>
      <c r="L629" s="91">
        <f>STOCK[[#This Row],[Entradas]]-STOCK[[#This Row],[Salidas]]</f>
        <v>0</v>
      </c>
      <c r="M629" s="76">
        <f>STOCK[[#This Row],[Precio Final]]*10%</f>
        <v>1.2</v>
      </c>
      <c r="N629" s="76">
        <v>-11.76</v>
      </c>
      <c r="O629" s="76">
        <v>5.88</v>
      </c>
      <c r="P629" s="76">
        <v>4.97</v>
      </c>
      <c r="Q629" s="91">
        <v>0</v>
      </c>
      <c r="R629" s="76">
        <v>0</v>
      </c>
      <c r="S629" s="76">
        <v>3</v>
      </c>
      <c r="T629" s="76">
        <f>STOCK[[#This Row],[Costo Unitario (USD)]]+STOCK[[#This Row],[Costo Envío (USD)]]+STOCK[[#This Row],[Comisión 10%]]</f>
        <v>9.17</v>
      </c>
      <c r="U629" s="76">
        <f>STOCK[[#This Row],[Costo total]]*1.5</f>
        <v>13.755</v>
      </c>
      <c r="V629" s="76">
        <v>12</v>
      </c>
      <c r="W629" s="76">
        <f>STOCK[[#This Row],[Precio Final]]-STOCK[[#This Row],[Costo total]]</f>
        <v>2.83</v>
      </c>
      <c r="X629" s="76">
        <f>STOCK[[#This Row],[Ganancia Unitaria]]*STOCK[[#This Row],[Salidas]]</f>
        <v>5.66</v>
      </c>
      <c r="Y629" s="76" t="s">
        <v>1157</v>
      </c>
      <c r="AA629" s="76">
        <f>STOCK[[#This Row],[Costo total]]*STOCK[[#This Row],[Entradas]]</f>
        <v>18.34</v>
      </c>
      <c r="AB629" s="76">
        <f>STOCK[[#This Row],[Stock Actual]]*STOCK[[#This Row],[Costo total]]</f>
        <v>0</v>
      </c>
    </row>
    <row r="630" s="77" customFormat="1" ht="50" customHeight="1" spans="1:28">
      <c r="A630" s="77" t="s">
        <v>1271</v>
      </c>
      <c r="B630" s="6"/>
      <c r="C630" s="77" t="s">
        <v>30</v>
      </c>
      <c r="D630" s="77" t="s">
        <v>173</v>
      </c>
      <c r="E630" s="77" t="s">
        <v>1270</v>
      </c>
      <c r="F630" s="77" t="s">
        <v>44</v>
      </c>
      <c r="G630" s="77" t="s">
        <v>34</v>
      </c>
      <c r="H630" s="77">
        <f>STOCK[[#This Row],[Precio Final]]</f>
        <v>12</v>
      </c>
      <c r="I630" s="77">
        <f>STOCK[[#This Row],[Precio Venta Ideal (x1.5)]]</f>
        <v>13.755</v>
      </c>
      <c r="J630" s="92">
        <v>3</v>
      </c>
      <c r="K630" s="92">
        <f>SUMIFS(VENTAS[Cantidad],VENTAS[Código del producto Vendido],STOCK[[#This Row],[Code]])</f>
        <v>3</v>
      </c>
      <c r="L630" s="92">
        <f>STOCK[[#This Row],[Entradas]]-STOCK[[#This Row],[Salidas]]</f>
        <v>0</v>
      </c>
      <c r="M630" s="77">
        <f>STOCK[[#This Row],[Precio Final]]*10%</f>
        <v>1.2</v>
      </c>
      <c r="N630" s="77">
        <v>-21.21</v>
      </c>
      <c r="O630" s="77">
        <v>0</v>
      </c>
      <c r="P630" s="77">
        <v>4.97</v>
      </c>
      <c r="Q630" s="92">
        <v>0</v>
      </c>
      <c r="R630" s="77">
        <v>0</v>
      </c>
      <c r="S630" s="77">
        <v>3</v>
      </c>
      <c r="T630" s="76">
        <f>STOCK[[#This Row],[Costo Unitario (USD)]]+STOCK[[#This Row],[Costo Envío (USD)]]+STOCK[[#This Row],[Comisión 10%]]</f>
        <v>9.17</v>
      </c>
      <c r="U630" s="77">
        <f>STOCK[[#This Row],[Costo total]]*1.5</f>
        <v>13.755</v>
      </c>
      <c r="V630" s="77">
        <v>12</v>
      </c>
      <c r="W630" s="77">
        <f>STOCK[[#This Row],[Precio Final]]-STOCK[[#This Row],[Costo total]]</f>
        <v>2.83</v>
      </c>
      <c r="X630" s="77">
        <f>STOCK[[#This Row],[Ganancia Unitaria]]*STOCK[[#This Row],[Salidas]]</f>
        <v>8.49</v>
      </c>
      <c r="Y630" s="77" t="s">
        <v>1157</v>
      </c>
      <c r="AA630" s="77">
        <f>STOCK[[#This Row],[Costo total]]*STOCK[[#This Row],[Entradas]]</f>
        <v>27.51</v>
      </c>
      <c r="AB630" s="77">
        <f>STOCK[[#This Row],[Stock Actual]]*STOCK[[#This Row],[Costo total]]</f>
        <v>0</v>
      </c>
    </row>
    <row r="631" s="76" customFormat="1" ht="50" customHeight="1" spans="1:28">
      <c r="A631" s="76" t="s">
        <v>1272</v>
      </c>
      <c r="B631" s="6"/>
      <c r="C631" s="76" t="s">
        <v>30</v>
      </c>
      <c r="D631" s="76" t="s">
        <v>173</v>
      </c>
      <c r="E631" s="76" t="s">
        <v>1273</v>
      </c>
      <c r="F631" s="76" t="s">
        <v>1274</v>
      </c>
      <c r="G631" s="76" t="s">
        <v>34</v>
      </c>
      <c r="H631" s="76">
        <f>STOCK[[#This Row],[Precio Final]]</f>
        <v>12</v>
      </c>
      <c r="I631" s="76">
        <f>STOCK[[#This Row],[Precio Venta Ideal (x1.5)]]</f>
        <v>13.755</v>
      </c>
      <c r="J631" s="91">
        <v>3</v>
      </c>
      <c r="K631" s="91">
        <f>SUMIFS(VENTAS[Cantidad],VENTAS[Código del producto Vendido],STOCK[[#This Row],[Code]])</f>
        <v>3</v>
      </c>
      <c r="L631" s="91">
        <f>STOCK[[#This Row],[Entradas]]-STOCK[[#This Row],[Salidas]]</f>
        <v>0</v>
      </c>
      <c r="M631" s="76">
        <f>STOCK[[#This Row],[Precio Final]]*10%</f>
        <v>1.2</v>
      </c>
      <c r="N631" s="76">
        <v>-14.14</v>
      </c>
      <c r="O631" s="76">
        <v>0</v>
      </c>
      <c r="P631" s="76">
        <v>4.97</v>
      </c>
      <c r="Q631" s="91">
        <v>0</v>
      </c>
      <c r="R631" s="76">
        <v>0</v>
      </c>
      <c r="S631" s="76">
        <v>3</v>
      </c>
      <c r="T631" s="76">
        <f>STOCK[[#This Row],[Costo Unitario (USD)]]+STOCK[[#This Row],[Costo Envío (USD)]]+STOCK[[#This Row],[Comisión 10%]]</f>
        <v>9.17</v>
      </c>
      <c r="U631" s="76">
        <f>STOCK[[#This Row],[Costo total]]*1.5</f>
        <v>13.755</v>
      </c>
      <c r="V631" s="76">
        <v>12</v>
      </c>
      <c r="W631" s="76">
        <f>STOCK[[#This Row],[Precio Final]]-STOCK[[#This Row],[Costo total]]</f>
        <v>2.83</v>
      </c>
      <c r="X631" s="76">
        <f>STOCK[[#This Row],[Ganancia Unitaria]]*STOCK[[#This Row],[Salidas]]</f>
        <v>8.49</v>
      </c>
      <c r="Y631" s="76" t="s">
        <v>1157</v>
      </c>
      <c r="AA631" s="76">
        <f>STOCK[[#This Row],[Costo total]]*STOCK[[#This Row],[Entradas]]</f>
        <v>27.51</v>
      </c>
      <c r="AB631" s="76">
        <f>STOCK[[#This Row],[Stock Actual]]*STOCK[[#This Row],[Costo total]]</f>
        <v>0</v>
      </c>
    </row>
    <row r="632" s="77" customFormat="1" ht="50" customHeight="1" spans="1:28">
      <c r="A632" s="77" t="s">
        <v>1275</v>
      </c>
      <c r="B632" s="6"/>
      <c r="C632" s="77" t="s">
        <v>30</v>
      </c>
      <c r="D632" s="77" t="s">
        <v>173</v>
      </c>
      <c r="E632" s="77" t="s">
        <v>1276</v>
      </c>
      <c r="F632" s="77" t="s">
        <v>338</v>
      </c>
      <c r="G632" s="77" t="s">
        <v>34</v>
      </c>
      <c r="H632" s="77">
        <f>STOCK[[#This Row],[Precio Final]]</f>
        <v>12</v>
      </c>
      <c r="I632" s="77">
        <f>STOCK[[#This Row],[Precio Venta Ideal (x1.5)]]</f>
        <v>13.935</v>
      </c>
      <c r="J632" s="92">
        <v>2</v>
      </c>
      <c r="K632" s="92">
        <f>SUMIFS(VENTAS[Cantidad],VENTAS[Código del producto Vendido],STOCK[[#This Row],[Code]])</f>
        <v>1</v>
      </c>
      <c r="L632" s="92">
        <f>STOCK[[#This Row],[Entradas]]-STOCK[[#This Row],[Salidas]]</f>
        <v>1</v>
      </c>
      <c r="M632" s="77">
        <f>STOCK[[#This Row],[Precio Final]]*10%</f>
        <v>1.2</v>
      </c>
      <c r="N632" s="77">
        <v>0</v>
      </c>
      <c r="O632" s="77">
        <v>14.26</v>
      </c>
      <c r="P632" s="77">
        <v>5.09</v>
      </c>
      <c r="Q632" s="92">
        <v>0</v>
      </c>
      <c r="R632" s="77">
        <v>0</v>
      </c>
      <c r="S632" s="77">
        <v>3</v>
      </c>
      <c r="T632" s="76">
        <f>STOCK[[#This Row],[Costo Unitario (USD)]]+STOCK[[#This Row],[Costo Envío (USD)]]+STOCK[[#This Row],[Comisión 10%]]</f>
        <v>9.29</v>
      </c>
      <c r="U632" s="77">
        <f>STOCK[[#This Row],[Costo total]]*1.5</f>
        <v>13.935</v>
      </c>
      <c r="V632" s="77">
        <v>12</v>
      </c>
      <c r="W632" s="77">
        <f>STOCK[[#This Row],[Precio Final]]-STOCK[[#This Row],[Costo total]]</f>
        <v>2.71</v>
      </c>
      <c r="X632" s="77">
        <f>STOCK[[#This Row],[Ganancia Unitaria]]*STOCK[[#This Row],[Salidas]]</f>
        <v>2.71</v>
      </c>
      <c r="Y632" s="77" t="s">
        <v>1157</v>
      </c>
      <c r="AA632" s="77">
        <f>STOCK[[#This Row],[Costo total]]*STOCK[[#This Row],[Entradas]]</f>
        <v>18.58</v>
      </c>
      <c r="AB632" s="77">
        <f>STOCK[[#This Row],[Stock Actual]]*STOCK[[#This Row],[Costo total]]</f>
        <v>9.29</v>
      </c>
    </row>
    <row r="633" s="76" customFormat="1" ht="50" customHeight="1" spans="1:28">
      <c r="A633" s="76" t="s">
        <v>1277</v>
      </c>
      <c r="B633" s="6"/>
      <c r="C633" s="76" t="s">
        <v>30</v>
      </c>
      <c r="D633" s="76" t="s">
        <v>173</v>
      </c>
      <c r="E633" s="76" t="s">
        <v>1278</v>
      </c>
      <c r="F633" s="76" t="s">
        <v>44</v>
      </c>
      <c r="G633" s="76" t="s">
        <v>34</v>
      </c>
      <c r="H633" s="76">
        <f>STOCK[[#This Row],[Precio Final]]</f>
        <v>12</v>
      </c>
      <c r="I633" s="76">
        <f>STOCK[[#This Row],[Precio Venta Ideal (x1.5)]]</f>
        <v>13.935</v>
      </c>
      <c r="J633" s="91">
        <v>3</v>
      </c>
      <c r="K633" s="91">
        <f>SUMIFS(VENTAS[Cantidad],VENTAS[Código del producto Vendido],STOCK[[#This Row],[Code]])</f>
        <v>3</v>
      </c>
      <c r="L633" s="91">
        <f>STOCK[[#This Row],[Entradas]]-STOCK[[#This Row],[Salidas]]</f>
        <v>0</v>
      </c>
      <c r="M633" s="76">
        <f>STOCK[[#This Row],[Precio Final]]*10%</f>
        <v>1.2</v>
      </c>
      <c r="N633" s="76">
        <v>-21.39</v>
      </c>
      <c r="O633" s="76">
        <v>0</v>
      </c>
      <c r="P633" s="76">
        <v>5.09</v>
      </c>
      <c r="Q633" s="91">
        <v>0</v>
      </c>
      <c r="R633" s="76">
        <v>0</v>
      </c>
      <c r="S633" s="76">
        <v>3</v>
      </c>
      <c r="T633" s="76">
        <f>STOCK[[#This Row],[Costo Unitario (USD)]]+STOCK[[#This Row],[Costo Envío (USD)]]+STOCK[[#This Row],[Comisión 10%]]</f>
        <v>9.29</v>
      </c>
      <c r="U633" s="76">
        <f>STOCK[[#This Row],[Costo total]]*1.5</f>
        <v>13.935</v>
      </c>
      <c r="V633" s="76">
        <v>12</v>
      </c>
      <c r="W633" s="76">
        <f>STOCK[[#This Row],[Precio Final]]-STOCK[[#This Row],[Costo total]]</f>
        <v>2.71</v>
      </c>
      <c r="X633" s="76">
        <f>STOCK[[#This Row],[Ganancia Unitaria]]*STOCK[[#This Row],[Salidas]]</f>
        <v>8.13</v>
      </c>
      <c r="Y633" s="76" t="s">
        <v>1157</v>
      </c>
      <c r="AA633" s="76">
        <f>STOCK[[#This Row],[Costo total]]*STOCK[[#This Row],[Entradas]]</f>
        <v>27.87</v>
      </c>
      <c r="AB633" s="76">
        <f>STOCK[[#This Row],[Stock Actual]]*STOCK[[#This Row],[Costo total]]</f>
        <v>0</v>
      </c>
    </row>
    <row r="634" s="77" customFormat="1" ht="50" customHeight="1" spans="1:28">
      <c r="A634" s="77" t="s">
        <v>1279</v>
      </c>
      <c r="B634" s="6"/>
      <c r="C634" s="77" t="s">
        <v>30</v>
      </c>
      <c r="D634" s="77" t="s">
        <v>151</v>
      </c>
      <c r="E634" s="77" t="s">
        <v>1280</v>
      </c>
      <c r="F634" s="77" t="s">
        <v>60</v>
      </c>
      <c r="G634" s="77" t="s">
        <v>34</v>
      </c>
      <c r="H634" s="77">
        <f>STOCK[[#This Row],[Precio Final]]</f>
        <v>22</v>
      </c>
      <c r="I634" s="77">
        <f>STOCK[[#This Row],[Precio Venta Ideal (x1.5)]]</f>
        <v>24.855</v>
      </c>
      <c r="J634" s="92">
        <v>3</v>
      </c>
      <c r="K634" s="92">
        <f>SUMIFS(VENTAS[Cantidad],VENTAS[Código del producto Vendido],STOCK[[#This Row],[Code]])</f>
        <v>3</v>
      </c>
      <c r="L634" s="92">
        <f>STOCK[[#This Row],[Entradas]]-STOCK[[#This Row],[Salidas]]</f>
        <v>0</v>
      </c>
      <c r="M634" s="77">
        <f>STOCK[[#This Row],[Precio Final]]*10%</f>
        <v>2.2</v>
      </c>
      <c r="N634" s="77">
        <v>0</v>
      </c>
      <c r="O634" s="77">
        <v>13.94</v>
      </c>
      <c r="P634" s="77">
        <v>11.37</v>
      </c>
      <c r="Q634" s="92">
        <v>0</v>
      </c>
      <c r="R634" s="77">
        <v>0</v>
      </c>
      <c r="S634" s="77">
        <v>3</v>
      </c>
      <c r="T634" s="76">
        <f>STOCK[[#This Row],[Costo Unitario (USD)]]+STOCK[[#This Row],[Costo Envío (USD)]]+STOCK[[#This Row],[Comisión 10%]]</f>
        <v>16.57</v>
      </c>
      <c r="U634" s="77">
        <f>STOCK[[#This Row],[Costo total]]*1.5</f>
        <v>24.855</v>
      </c>
      <c r="V634" s="77">
        <v>22</v>
      </c>
      <c r="W634" s="77">
        <f>STOCK[[#This Row],[Precio Final]]-STOCK[[#This Row],[Costo total]]</f>
        <v>5.43</v>
      </c>
      <c r="X634" s="77">
        <f>STOCK[[#This Row],[Ganancia Unitaria]]*STOCK[[#This Row],[Salidas]]</f>
        <v>16.29</v>
      </c>
      <c r="Y634" s="77" t="s">
        <v>1157</v>
      </c>
      <c r="AA634" s="77">
        <f>STOCK[[#This Row],[Costo total]]*STOCK[[#This Row],[Entradas]]</f>
        <v>49.71</v>
      </c>
      <c r="AB634" s="77">
        <f>STOCK[[#This Row],[Stock Actual]]*STOCK[[#This Row],[Costo total]]</f>
        <v>0</v>
      </c>
    </row>
    <row r="635" s="76" customFormat="1" ht="50" customHeight="1" spans="1:28">
      <c r="A635" s="76" t="s">
        <v>1281</v>
      </c>
      <c r="B635" s="6"/>
      <c r="C635" s="76" t="s">
        <v>30</v>
      </c>
      <c r="D635" s="76" t="s">
        <v>151</v>
      </c>
      <c r="E635" s="76" t="s">
        <v>1282</v>
      </c>
      <c r="F635" s="76" t="s">
        <v>38</v>
      </c>
      <c r="G635" s="76" t="s">
        <v>34</v>
      </c>
      <c r="H635" s="76">
        <f>STOCK[[#This Row],[Precio Final]]</f>
        <v>28</v>
      </c>
      <c r="I635" s="76">
        <f>STOCK[[#This Row],[Precio Venta Ideal (x1.5)]]</f>
        <v>35.37</v>
      </c>
      <c r="J635" s="91">
        <v>2</v>
      </c>
      <c r="K635" s="91">
        <f>SUMIFS(VENTAS[Cantidad],VENTAS[Código del producto Vendido],STOCK[[#This Row],[Code]])</f>
        <v>2</v>
      </c>
      <c r="L635" s="91">
        <f>STOCK[[#This Row],[Entradas]]-STOCK[[#This Row],[Salidas]]</f>
        <v>0</v>
      </c>
      <c r="M635" s="76">
        <f>STOCK[[#This Row],[Precio Final]]*10%</f>
        <v>2.8</v>
      </c>
      <c r="N635" s="76">
        <v>-40.31</v>
      </c>
      <c r="O635" s="76">
        <v>0</v>
      </c>
      <c r="P635" s="76">
        <v>15.78</v>
      </c>
      <c r="Q635" s="91">
        <v>0</v>
      </c>
      <c r="R635" s="76">
        <v>0</v>
      </c>
      <c r="S635" s="76">
        <v>5</v>
      </c>
      <c r="T635" s="76">
        <f>STOCK[[#This Row],[Costo Unitario (USD)]]+STOCK[[#This Row],[Costo Envío (USD)]]+STOCK[[#This Row],[Comisión 10%]]</f>
        <v>23.58</v>
      </c>
      <c r="U635" s="76">
        <f>STOCK[[#This Row],[Costo total]]*1.5</f>
        <v>35.37</v>
      </c>
      <c r="V635" s="76">
        <v>28</v>
      </c>
      <c r="W635" s="76">
        <f>STOCK[[#This Row],[Precio Final]]-STOCK[[#This Row],[Costo total]]</f>
        <v>4.42</v>
      </c>
      <c r="X635" s="76">
        <f>STOCK[[#This Row],[Ganancia Unitaria]]*STOCK[[#This Row],[Salidas]]</f>
        <v>8.84</v>
      </c>
      <c r="Y635" s="76" t="s">
        <v>1157</v>
      </c>
      <c r="AA635" s="76">
        <f>STOCK[[#This Row],[Costo total]]*STOCK[[#This Row],[Entradas]]</f>
        <v>47.16</v>
      </c>
      <c r="AB635" s="76">
        <f>STOCK[[#This Row],[Stock Actual]]*STOCK[[#This Row],[Costo total]]</f>
        <v>0</v>
      </c>
    </row>
    <row r="636" s="77" customFormat="1" ht="50" customHeight="1" spans="1:28">
      <c r="A636" s="77" t="s">
        <v>1283</v>
      </c>
      <c r="B636" s="6"/>
      <c r="C636" s="77" t="s">
        <v>30</v>
      </c>
      <c r="D636" s="77" t="s">
        <v>151</v>
      </c>
      <c r="E636" s="77" t="s">
        <v>1284</v>
      </c>
      <c r="F636" s="77" t="s">
        <v>60</v>
      </c>
      <c r="G636" s="77" t="s">
        <v>34</v>
      </c>
      <c r="H636" s="77">
        <f>STOCK[[#This Row],[Precio Final]]</f>
        <v>28</v>
      </c>
      <c r="I636" s="77">
        <f>STOCK[[#This Row],[Precio Venta Ideal (x1.5)]]</f>
        <v>35.37</v>
      </c>
      <c r="J636" s="92">
        <v>2</v>
      </c>
      <c r="K636" s="92">
        <f>SUMIFS(VENTAS[Cantidad],VENTAS[Código del producto Vendido],STOCK[[#This Row],[Code]])</f>
        <v>1</v>
      </c>
      <c r="L636" s="92">
        <f>STOCK[[#This Row],[Entradas]]-STOCK[[#This Row],[Salidas]]</f>
        <v>1</v>
      </c>
      <c r="M636" s="77">
        <f>STOCK[[#This Row],[Precio Final]]*10%</f>
        <v>2.8</v>
      </c>
      <c r="N636" s="77">
        <v>10.7</v>
      </c>
      <c r="O636" s="77">
        <v>19.3</v>
      </c>
      <c r="P636" s="77">
        <v>15.78</v>
      </c>
      <c r="Q636" s="92">
        <v>0</v>
      </c>
      <c r="R636" s="77">
        <v>0</v>
      </c>
      <c r="S636" s="77">
        <v>5</v>
      </c>
      <c r="T636" s="76">
        <f>STOCK[[#This Row],[Costo Unitario (USD)]]+STOCK[[#This Row],[Costo Envío (USD)]]+STOCK[[#This Row],[Comisión 10%]]</f>
        <v>23.58</v>
      </c>
      <c r="U636" s="77">
        <f>STOCK[[#This Row],[Costo total]]*1.5</f>
        <v>35.37</v>
      </c>
      <c r="V636" s="77">
        <v>28</v>
      </c>
      <c r="W636" s="77">
        <f>STOCK[[#This Row],[Precio Final]]-STOCK[[#This Row],[Costo total]]</f>
        <v>4.42</v>
      </c>
      <c r="X636" s="77">
        <f>STOCK[[#This Row],[Ganancia Unitaria]]*STOCK[[#This Row],[Salidas]]</f>
        <v>4.42</v>
      </c>
      <c r="Y636" s="77" t="s">
        <v>1157</v>
      </c>
      <c r="AA636" s="77">
        <f>STOCK[[#This Row],[Costo total]]*STOCK[[#This Row],[Entradas]]</f>
        <v>47.16</v>
      </c>
      <c r="AB636" s="77">
        <f>STOCK[[#This Row],[Stock Actual]]*STOCK[[#This Row],[Costo total]]</f>
        <v>23.58</v>
      </c>
    </row>
    <row r="637" s="76" customFormat="1" ht="50" customHeight="1" spans="1:28">
      <c r="A637" s="76" t="s">
        <v>1285</v>
      </c>
      <c r="B637" s="6"/>
      <c r="C637" s="76" t="s">
        <v>30</v>
      </c>
      <c r="D637" s="76" t="s">
        <v>151</v>
      </c>
      <c r="E637" s="76" t="s">
        <v>1284</v>
      </c>
      <c r="F637" s="76" t="s">
        <v>47</v>
      </c>
      <c r="G637" s="76" t="s">
        <v>34</v>
      </c>
      <c r="H637" s="76">
        <f>STOCK[[#This Row],[Precio Final]]</f>
        <v>28</v>
      </c>
      <c r="I637" s="76">
        <f>STOCK[[#This Row],[Precio Venta Ideal (x1.5)]]</f>
        <v>35.37</v>
      </c>
      <c r="J637" s="91">
        <v>1</v>
      </c>
      <c r="K637" s="91">
        <f>SUMIFS(VENTAS[Cantidad],VENTAS[Código del producto Vendido],STOCK[[#This Row],[Code]])</f>
        <v>1</v>
      </c>
      <c r="L637" s="91">
        <f>STOCK[[#This Row],[Entradas]]-STOCK[[#This Row],[Salidas]]</f>
        <v>0</v>
      </c>
      <c r="M637" s="76">
        <f>STOCK[[#This Row],[Precio Final]]*10%</f>
        <v>2.8</v>
      </c>
      <c r="N637" s="76">
        <v>0</v>
      </c>
      <c r="O637" s="76">
        <v>19.3</v>
      </c>
      <c r="P637" s="76">
        <v>15.78</v>
      </c>
      <c r="Q637" s="91">
        <v>0</v>
      </c>
      <c r="R637" s="76">
        <v>0</v>
      </c>
      <c r="S637" s="76">
        <v>5</v>
      </c>
      <c r="T637" s="76">
        <f>STOCK[[#This Row],[Costo Unitario (USD)]]+STOCK[[#This Row],[Costo Envío (USD)]]+STOCK[[#This Row],[Comisión 10%]]</f>
        <v>23.58</v>
      </c>
      <c r="U637" s="76">
        <f>STOCK[[#This Row],[Costo total]]*1.5</f>
        <v>35.37</v>
      </c>
      <c r="V637" s="76">
        <v>28</v>
      </c>
      <c r="W637" s="76">
        <f>STOCK[[#This Row],[Precio Final]]-STOCK[[#This Row],[Costo total]]</f>
        <v>4.42</v>
      </c>
      <c r="X637" s="76">
        <f>STOCK[[#This Row],[Ganancia Unitaria]]*STOCK[[#This Row],[Salidas]]</f>
        <v>4.42</v>
      </c>
      <c r="Y637" s="76" t="s">
        <v>1157</v>
      </c>
      <c r="AA637" s="76">
        <f>STOCK[[#This Row],[Costo total]]*STOCK[[#This Row],[Entradas]]</f>
        <v>23.58</v>
      </c>
      <c r="AB637" s="76">
        <f>STOCK[[#This Row],[Stock Actual]]*STOCK[[#This Row],[Costo total]]</f>
        <v>0</v>
      </c>
    </row>
    <row r="638" s="77" customFormat="1" ht="50" customHeight="1" spans="1:28">
      <c r="A638" s="77" t="s">
        <v>1286</v>
      </c>
      <c r="B638" s="6"/>
      <c r="C638" s="77" t="s">
        <v>30</v>
      </c>
      <c r="D638" s="77" t="s">
        <v>151</v>
      </c>
      <c r="E638" s="77" t="s">
        <v>1287</v>
      </c>
      <c r="F638" s="77" t="s">
        <v>38</v>
      </c>
      <c r="G638" s="77" t="s">
        <v>34</v>
      </c>
      <c r="H638" s="77">
        <f>STOCK[[#This Row],[Precio Final]]</f>
        <v>0</v>
      </c>
      <c r="I638" s="77">
        <f>STOCK[[#This Row],[Precio Venta Ideal (x1.5)]]</f>
        <v>31.17</v>
      </c>
      <c r="J638" s="92">
        <v>1</v>
      </c>
      <c r="K638" s="92">
        <f>SUMIFS(VENTAS[Cantidad],VENTAS[Código del producto Vendido],STOCK[[#This Row],[Code]])</f>
        <v>1</v>
      </c>
      <c r="L638" s="92">
        <f>STOCK[[#This Row],[Entradas]]-STOCK[[#This Row],[Salidas]]</f>
        <v>0</v>
      </c>
      <c r="M638" s="77">
        <f>STOCK[[#This Row],[Precio Final]]*10%</f>
        <v>0</v>
      </c>
      <c r="N638" s="77">
        <v>10.7</v>
      </c>
      <c r="O638" s="77">
        <v>0</v>
      </c>
      <c r="P638" s="77">
        <v>15.78</v>
      </c>
      <c r="Q638" s="92">
        <v>0</v>
      </c>
      <c r="R638" s="77">
        <v>0</v>
      </c>
      <c r="S638" s="77">
        <v>5</v>
      </c>
      <c r="T638" s="76">
        <f>STOCK[[#This Row],[Costo Unitario (USD)]]+STOCK[[#This Row],[Costo Envío (USD)]]+STOCK[[#This Row],[Comisión 10%]]</f>
        <v>20.78</v>
      </c>
      <c r="U638" s="77">
        <f>STOCK[[#This Row],[Costo total]]*1.5</f>
        <v>31.17</v>
      </c>
      <c r="W638" s="77">
        <f>STOCK[[#This Row],[Precio Final]]-STOCK[[#This Row],[Costo total]]</f>
        <v>-20.78</v>
      </c>
      <c r="X638" s="77">
        <f>STOCK[[#This Row],[Ganancia Unitaria]]*STOCK[[#This Row],[Salidas]]</f>
        <v>-20.78</v>
      </c>
      <c r="Y638" s="77" t="s">
        <v>1157</v>
      </c>
      <c r="AA638" s="77">
        <f>STOCK[[#This Row],[Costo total]]*STOCK[[#This Row],[Entradas]]</f>
        <v>20.78</v>
      </c>
      <c r="AB638" s="77">
        <f>STOCK[[#This Row],[Stock Actual]]*STOCK[[#This Row],[Costo total]]</f>
        <v>0</v>
      </c>
    </row>
    <row r="639" s="76" customFormat="1" ht="50" customHeight="1" spans="1:28">
      <c r="A639" s="76" t="s">
        <v>1288</v>
      </c>
      <c r="B639" s="6"/>
      <c r="C639" s="76" t="s">
        <v>30</v>
      </c>
      <c r="D639" s="76" t="s">
        <v>173</v>
      </c>
      <c r="E639" s="76" t="s">
        <v>1268</v>
      </c>
      <c r="F639" s="76" t="s">
        <v>992</v>
      </c>
      <c r="G639" s="76" t="s">
        <v>34</v>
      </c>
      <c r="H639" s="76">
        <f>STOCK[[#This Row],[Precio Final]]</f>
        <v>10</v>
      </c>
      <c r="I639" s="76">
        <f>STOCK[[#This Row],[Precio Venta Ideal (x1.5)]]</f>
        <v>11.595</v>
      </c>
      <c r="J639" s="91">
        <v>1</v>
      </c>
      <c r="K639" s="91">
        <f>SUMIFS(VENTAS[Cantidad],VENTAS[Código del producto Vendido],STOCK[[#This Row],[Code]])</f>
        <v>1</v>
      </c>
      <c r="L639" s="91">
        <f>STOCK[[#This Row],[Entradas]]-STOCK[[#This Row],[Salidas]]</f>
        <v>0</v>
      </c>
      <c r="M639" s="76">
        <f>STOCK[[#This Row],[Precio Final]]*10%</f>
        <v>1</v>
      </c>
      <c r="N639" s="76">
        <v>0</v>
      </c>
      <c r="O639" s="76">
        <v>4.52</v>
      </c>
      <c r="P639" s="76">
        <v>3.73</v>
      </c>
      <c r="Q639" s="91">
        <v>0</v>
      </c>
      <c r="R639" s="76">
        <v>0</v>
      </c>
      <c r="S639" s="76">
        <v>3</v>
      </c>
      <c r="T639" s="76">
        <f>STOCK[[#This Row],[Costo Unitario (USD)]]+STOCK[[#This Row],[Costo Envío (USD)]]+STOCK[[#This Row],[Comisión 10%]]</f>
        <v>7.73</v>
      </c>
      <c r="U639" s="76">
        <f>STOCK[[#This Row],[Costo total]]*1.5</f>
        <v>11.595</v>
      </c>
      <c r="V639" s="76">
        <v>10</v>
      </c>
      <c r="W639" s="76">
        <f>STOCK[[#This Row],[Precio Final]]-STOCK[[#This Row],[Costo total]]</f>
        <v>2.27</v>
      </c>
      <c r="X639" s="76">
        <f>STOCK[[#This Row],[Ganancia Unitaria]]*STOCK[[#This Row],[Salidas]]</f>
        <v>2.27</v>
      </c>
      <c r="Y639" s="76" t="s">
        <v>1157</v>
      </c>
      <c r="AA639" s="76">
        <f>STOCK[[#This Row],[Costo total]]*STOCK[[#This Row],[Entradas]]</f>
        <v>7.73</v>
      </c>
      <c r="AB639" s="76">
        <f>STOCK[[#This Row],[Stock Actual]]*STOCK[[#This Row],[Costo total]]</f>
        <v>0</v>
      </c>
    </row>
    <row r="640" s="77" customFormat="1" ht="50" customHeight="1" spans="1:28">
      <c r="A640" s="77" t="s">
        <v>1289</v>
      </c>
      <c r="B640" s="6"/>
      <c r="C640" s="77" t="s">
        <v>30</v>
      </c>
      <c r="D640" s="77" t="s">
        <v>173</v>
      </c>
      <c r="E640" s="77" t="s">
        <v>1290</v>
      </c>
      <c r="F640" s="77" t="s">
        <v>38</v>
      </c>
      <c r="G640" s="77" t="s">
        <v>34</v>
      </c>
      <c r="H640" s="77">
        <f>STOCK[[#This Row],[Precio Final]]</f>
        <v>10</v>
      </c>
      <c r="I640" s="77">
        <f>STOCK[[#This Row],[Precio Venta Ideal (x1.5)]]</f>
        <v>11.595</v>
      </c>
      <c r="J640" s="92">
        <v>2</v>
      </c>
      <c r="K640" s="92">
        <f>SUMIFS(VENTAS[Cantidad],VENTAS[Código del producto Vendido],STOCK[[#This Row],[Code]])</f>
        <v>0</v>
      </c>
      <c r="L640" s="92">
        <f>STOCK[[#This Row],[Entradas]]-STOCK[[#This Row],[Salidas]]</f>
        <v>2</v>
      </c>
      <c r="M640" s="77">
        <f>STOCK[[#This Row],[Precio Final]]*10%</f>
        <v>1</v>
      </c>
      <c r="N640" s="77">
        <v>0</v>
      </c>
      <c r="O640" s="77">
        <v>4.52</v>
      </c>
      <c r="P640" s="77">
        <v>3.73</v>
      </c>
      <c r="Q640" s="92">
        <v>0</v>
      </c>
      <c r="R640" s="77">
        <v>0</v>
      </c>
      <c r="S640" s="77">
        <v>3</v>
      </c>
      <c r="T640" s="76">
        <f>STOCK[[#This Row],[Costo Unitario (USD)]]+STOCK[[#This Row],[Costo Envío (USD)]]+STOCK[[#This Row],[Comisión 10%]]</f>
        <v>7.73</v>
      </c>
      <c r="U640" s="77">
        <f>STOCK[[#This Row],[Costo total]]*1.5</f>
        <v>11.595</v>
      </c>
      <c r="V640" s="77">
        <v>10</v>
      </c>
      <c r="W640" s="77">
        <f>STOCK[[#This Row],[Precio Final]]-STOCK[[#This Row],[Costo total]]</f>
        <v>2.27</v>
      </c>
      <c r="X640" s="77">
        <f>STOCK[[#This Row],[Ganancia Unitaria]]*STOCK[[#This Row],[Salidas]]</f>
        <v>0</v>
      </c>
      <c r="Y640" s="77" t="s">
        <v>1157</v>
      </c>
      <c r="AA640" s="77">
        <f>STOCK[[#This Row],[Costo total]]*STOCK[[#This Row],[Entradas]]</f>
        <v>15.46</v>
      </c>
      <c r="AB640" s="77">
        <f>STOCK[[#This Row],[Stock Actual]]*STOCK[[#This Row],[Costo total]]</f>
        <v>15.46</v>
      </c>
    </row>
    <row r="641" s="76" customFormat="1" ht="50" customHeight="1" spans="1:29">
      <c r="A641" s="76" t="s">
        <v>1291</v>
      </c>
      <c r="B641" s="6"/>
      <c r="C641" s="76" t="s">
        <v>30</v>
      </c>
      <c r="D641" s="76" t="s">
        <v>195</v>
      </c>
      <c r="E641" s="76" t="s">
        <v>1292</v>
      </c>
      <c r="F641" s="76" t="s">
        <v>1293</v>
      </c>
      <c r="G641" s="76" t="s">
        <v>1294</v>
      </c>
      <c r="H641" s="76">
        <f>STOCK[[#This Row],[Precio Final]]</f>
        <v>35</v>
      </c>
      <c r="I641" s="76">
        <f>STOCK[[#This Row],[Precio Venta Ideal (x1.5)]]</f>
        <v>36.435</v>
      </c>
      <c r="J641" s="91">
        <v>7</v>
      </c>
      <c r="K641" s="91">
        <f>SUMIFS(VENTAS[Cantidad],VENTAS[Código del producto Vendido],STOCK[[#This Row],[Code]])</f>
        <v>6</v>
      </c>
      <c r="L641" s="91">
        <f>STOCK[[#This Row],[Entradas]]-STOCK[[#This Row],[Salidas]]</f>
        <v>1</v>
      </c>
      <c r="M641" s="76">
        <f>STOCK[[#This Row],[Precio Final]]*10%</f>
        <v>3.5</v>
      </c>
      <c r="N641" s="76">
        <v>7.21</v>
      </c>
      <c r="O641" s="76">
        <v>113.95</v>
      </c>
      <c r="P641" s="76">
        <v>15.79</v>
      </c>
      <c r="Q641" s="91">
        <v>0</v>
      </c>
      <c r="R641" s="76">
        <v>0</v>
      </c>
      <c r="S641" s="76">
        <v>5</v>
      </c>
      <c r="T641" s="76">
        <f>STOCK[[#This Row],[Costo Unitario (USD)]]+STOCK[[#This Row],[Costo Envío (USD)]]+STOCK[[#This Row],[Comisión 10%]]</f>
        <v>24.29</v>
      </c>
      <c r="U641" s="76">
        <f>STOCK[[#This Row],[Costo total]]*1.5</f>
        <v>36.435</v>
      </c>
      <c r="V641" s="76">
        <v>35</v>
      </c>
      <c r="W641" s="76">
        <f>STOCK[[#This Row],[Precio Final]]-STOCK[[#This Row],[Costo total]]</f>
        <v>10.71</v>
      </c>
      <c r="X641" s="76">
        <f>STOCK[[#This Row],[Ganancia Unitaria]]*STOCK[[#This Row],[Salidas]]</f>
        <v>64.26</v>
      </c>
      <c r="AA641" s="76">
        <f>STOCK[[#This Row],[Costo total]]*STOCK[[#This Row],[Entradas]]</f>
        <v>170.03</v>
      </c>
      <c r="AB641" s="76">
        <f>STOCK[[#This Row],[Stock Actual]]*STOCK[[#This Row],[Costo total]]</f>
        <v>24.29</v>
      </c>
      <c r="AC641" s="76">
        <v>30</v>
      </c>
    </row>
    <row r="642" s="77" customFormat="1" ht="50" customHeight="1" spans="2:28">
      <c r="B642" s="6"/>
      <c r="H642" s="77">
        <f>STOCK[[#This Row],[Precio Final]]</f>
        <v>0</v>
      </c>
      <c r="I642" s="77">
        <f>STOCK[[#This Row],[Precio Venta Ideal (x1.5)]]</f>
        <v>0</v>
      </c>
      <c r="J642" s="92"/>
      <c r="K642" s="92">
        <f>SUMIFS(VENTAS[Cantidad],VENTAS[Código del producto Vendido],STOCK[[#This Row],[Code]])</f>
        <v>0</v>
      </c>
      <c r="L642" s="92">
        <f>STOCK[[#This Row],[Entradas]]-STOCK[[#This Row],[Salidas]]</f>
        <v>0</v>
      </c>
      <c r="M642" s="77">
        <f>STOCK[[#This Row],[Precio Final]]*10%</f>
        <v>0</v>
      </c>
      <c r="Q642" s="92">
        <v>0</v>
      </c>
      <c r="R642" s="77">
        <v>0</v>
      </c>
      <c r="T642" s="76">
        <f>STOCK[[#This Row],[Costo Unitario (USD)]]+STOCK[[#This Row],[Costo Envío (USD)]]+STOCK[[#This Row],[Comisión 10%]]</f>
        <v>0</v>
      </c>
      <c r="U642" s="77">
        <f>STOCK[[#This Row],[Costo total]]*1.5</f>
        <v>0</v>
      </c>
      <c r="W642" s="77">
        <f>STOCK[[#This Row],[Precio Final]]-STOCK[[#This Row],[Costo total]]</f>
        <v>0</v>
      </c>
      <c r="X642" s="77">
        <f>STOCK[[#This Row],[Ganancia Unitaria]]*STOCK[[#This Row],[Salidas]]</f>
        <v>0</v>
      </c>
      <c r="AA642" s="77">
        <f>STOCK[[#This Row],[Costo total]]*STOCK[[#This Row],[Entradas]]</f>
        <v>0</v>
      </c>
      <c r="AB642" s="77">
        <f>STOCK[[#This Row],[Stock Actual]]*STOCK[[#This Row],[Costo total]]</f>
        <v>0</v>
      </c>
    </row>
    <row r="643" s="76" customFormat="1" ht="50" customHeight="1" spans="1:29">
      <c r="A643" s="76" t="s">
        <v>1295</v>
      </c>
      <c r="B643" s="6"/>
      <c r="C643" s="76" t="s">
        <v>30</v>
      </c>
      <c r="D643" s="76" t="s">
        <v>195</v>
      </c>
      <c r="E643" s="76" t="s">
        <v>1296</v>
      </c>
      <c r="F643" s="76" t="s">
        <v>47</v>
      </c>
      <c r="G643" s="76" t="s">
        <v>1294</v>
      </c>
      <c r="H643" s="76">
        <f>STOCK[[#This Row],[Precio Final]]</f>
        <v>30</v>
      </c>
      <c r="I643" s="76">
        <f>STOCK[[#This Row],[Precio Venta Ideal (x1.5)]]</f>
        <v>31.5</v>
      </c>
      <c r="J643" s="91">
        <v>4</v>
      </c>
      <c r="K643" s="91">
        <f>SUMIFS(VENTAS[Cantidad],VENTAS[Código del producto Vendido],STOCK[[#This Row],[Code]])</f>
        <v>1</v>
      </c>
      <c r="L643" s="91">
        <f>STOCK[[#This Row],[Entradas]]-STOCK[[#This Row],[Salidas]]</f>
        <v>3</v>
      </c>
      <c r="M643" s="76">
        <f>STOCK[[#This Row],[Precio Final]]*10%</f>
        <v>3</v>
      </c>
      <c r="N643" s="76">
        <v>10.47</v>
      </c>
      <c r="O643" s="76">
        <v>17.53</v>
      </c>
      <c r="P643" s="76">
        <v>13</v>
      </c>
      <c r="Q643" s="91">
        <v>0</v>
      </c>
      <c r="R643" s="76">
        <v>0</v>
      </c>
      <c r="S643" s="76">
        <v>5</v>
      </c>
      <c r="T643" s="76">
        <f>STOCK[[#This Row],[Costo Unitario (USD)]]+STOCK[[#This Row],[Costo Envío (USD)]]+STOCK[[#This Row],[Comisión 10%]]</f>
        <v>21</v>
      </c>
      <c r="U643" s="76">
        <f>STOCK[[#This Row],[Costo total]]*1.5</f>
        <v>31.5</v>
      </c>
      <c r="V643" s="76">
        <v>30</v>
      </c>
      <c r="W643" s="76">
        <f>STOCK[[#This Row],[Precio Final]]-STOCK[[#This Row],[Costo total]]</f>
        <v>9</v>
      </c>
      <c r="X643" s="76">
        <f>STOCK[[#This Row],[Ganancia Unitaria]]*STOCK[[#This Row],[Salidas]]</f>
        <v>9</v>
      </c>
      <c r="AA643" s="76">
        <f>STOCK[[#This Row],[Costo total]]*STOCK[[#This Row],[Entradas]]</f>
        <v>84</v>
      </c>
      <c r="AB643" s="76">
        <f>STOCK[[#This Row],[Stock Actual]]*STOCK[[#This Row],[Costo total]]</f>
        <v>63</v>
      </c>
      <c r="AC643" s="76">
        <v>28</v>
      </c>
    </row>
    <row r="644" s="77" customFormat="1" ht="50" customHeight="1" spans="1:28">
      <c r="A644" s="77" t="s">
        <v>1297</v>
      </c>
      <c r="B644" s="6"/>
      <c r="C644" s="77" t="s">
        <v>30</v>
      </c>
      <c r="D644" s="77" t="s">
        <v>514</v>
      </c>
      <c r="E644" s="77" t="s">
        <v>1298</v>
      </c>
      <c r="F644" s="77" t="s">
        <v>762</v>
      </c>
      <c r="G644" s="77" t="s">
        <v>1294</v>
      </c>
      <c r="H644" s="77">
        <f>STOCK[[#This Row],[Precio Final]]</f>
        <v>30</v>
      </c>
      <c r="I644" s="77">
        <f>STOCK[[#This Row],[Precio Venta Ideal (x1.5)]]</f>
        <v>33.735</v>
      </c>
      <c r="J644" s="92">
        <v>2</v>
      </c>
      <c r="K644" s="92">
        <f>SUMIFS(VENTAS[Cantidad],VENTAS[Código del producto Vendido],STOCK[[#This Row],[Code]])</f>
        <v>2</v>
      </c>
      <c r="L644" s="92">
        <f>STOCK[[#This Row],[Entradas]]-STOCK[[#This Row],[Salidas]]</f>
        <v>0</v>
      </c>
      <c r="M644" s="77">
        <f>STOCK[[#This Row],[Precio Final]]*10%</f>
        <v>3</v>
      </c>
      <c r="N644" s="77">
        <v>7.88</v>
      </c>
      <c r="O644" s="77">
        <v>0</v>
      </c>
      <c r="P644" s="77">
        <v>11.49</v>
      </c>
      <c r="Q644" s="92">
        <v>0</v>
      </c>
      <c r="R644" s="77">
        <v>0</v>
      </c>
      <c r="S644" s="77">
        <v>8</v>
      </c>
      <c r="T644" s="76">
        <f>STOCK[[#This Row],[Costo Unitario (USD)]]+STOCK[[#This Row],[Costo Envío (USD)]]+STOCK[[#This Row],[Comisión 10%]]</f>
        <v>22.49</v>
      </c>
      <c r="U644" s="77">
        <f>STOCK[[#This Row],[Costo total]]*1.5</f>
        <v>33.735</v>
      </c>
      <c r="V644" s="77">
        <v>30</v>
      </c>
      <c r="W644" s="77">
        <f>STOCK[[#This Row],[Precio Final]]-STOCK[[#This Row],[Costo total]]</f>
        <v>7.51</v>
      </c>
      <c r="X644" s="77">
        <f>STOCK[[#This Row],[Ganancia Unitaria]]*STOCK[[#This Row],[Salidas]]</f>
        <v>15.02</v>
      </c>
      <c r="AA644" s="77">
        <f>STOCK[[#This Row],[Costo total]]*STOCK[[#This Row],[Entradas]]</f>
        <v>44.98</v>
      </c>
      <c r="AB644" s="77">
        <f>STOCK[[#This Row],[Stock Actual]]*STOCK[[#This Row],[Costo total]]</f>
        <v>0</v>
      </c>
    </row>
    <row r="645" s="76" customFormat="1" ht="50" customHeight="1" spans="1:28">
      <c r="A645" s="76" t="s">
        <v>1299</v>
      </c>
      <c r="B645" s="6"/>
      <c r="C645" s="76" t="s">
        <v>30</v>
      </c>
      <c r="D645" s="76" t="s">
        <v>514</v>
      </c>
      <c r="E645" s="76" t="s">
        <v>1300</v>
      </c>
      <c r="F645" s="76" t="s">
        <v>47</v>
      </c>
      <c r="G645" s="76" t="s">
        <v>1294</v>
      </c>
      <c r="H645" s="76">
        <f>STOCK[[#This Row],[Precio Final]]</f>
        <v>18</v>
      </c>
      <c r="I645" s="76">
        <f>STOCK[[#This Row],[Precio Venta Ideal (x1.5)]]</f>
        <v>20.7</v>
      </c>
      <c r="J645" s="91">
        <v>1</v>
      </c>
      <c r="K645" s="91">
        <f>SUMIFS(VENTAS[Cantidad],VENTAS[Código del producto Vendido],STOCK[[#This Row],[Code]])</f>
        <v>1</v>
      </c>
      <c r="L645" s="91">
        <f>STOCK[[#This Row],[Entradas]]-STOCK[[#This Row],[Salidas]]</f>
        <v>0</v>
      </c>
      <c r="M645" s="76">
        <f>STOCK[[#This Row],[Precio Final]]*10%</f>
        <v>1.8</v>
      </c>
      <c r="N645" s="76">
        <v>7.88</v>
      </c>
      <c r="O645" s="76">
        <v>0</v>
      </c>
      <c r="P645" s="76">
        <v>7</v>
      </c>
      <c r="Q645" s="91">
        <v>0</v>
      </c>
      <c r="R645" s="76">
        <v>0</v>
      </c>
      <c r="S645" s="76">
        <v>5</v>
      </c>
      <c r="T645" s="76">
        <f>STOCK[[#This Row],[Costo Unitario (USD)]]+STOCK[[#This Row],[Costo Envío (USD)]]+STOCK[[#This Row],[Comisión 10%]]</f>
        <v>13.8</v>
      </c>
      <c r="U645" s="76">
        <f>STOCK[[#This Row],[Costo total]]*1.5</f>
        <v>20.7</v>
      </c>
      <c r="V645" s="76">
        <v>18</v>
      </c>
      <c r="W645" s="76">
        <f>STOCK[[#This Row],[Precio Final]]-STOCK[[#This Row],[Costo total]]</f>
        <v>4.2</v>
      </c>
      <c r="X645" s="76">
        <f>STOCK[[#This Row],[Ganancia Unitaria]]*STOCK[[#This Row],[Salidas]]</f>
        <v>4.2</v>
      </c>
      <c r="AA645" s="76">
        <f>STOCK[[#This Row],[Costo total]]*STOCK[[#This Row],[Entradas]]</f>
        <v>13.8</v>
      </c>
      <c r="AB645" s="76">
        <f>STOCK[[#This Row],[Stock Actual]]*STOCK[[#This Row],[Costo total]]</f>
        <v>0</v>
      </c>
    </row>
    <row r="646" s="77" customFormat="1" ht="50" customHeight="1" spans="1:28">
      <c r="A646" s="77" t="s">
        <v>1301</v>
      </c>
      <c r="B646" s="6"/>
      <c r="C646" s="77" t="s">
        <v>30</v>
      </c>
      <c r="D646" s="77" t="s">
        <v>151</v>
      </c>
      <c r="E646" s="77" t="s">
        <v>1302</v>
      </c>
      <c r="F646" s="77" t="s">
        <v>1303</v>
      </c>
      <c r="G646" s="77" t="s">
        <v>1294</v>
      </c>
      <c r="H646" s="77">
        <f>STOCK[[#This Row],[Precio Final]]</f>
        <v>32</v>
      </c>
      <c r="I646" s="77">
        <f>STOCK[[#This Row],[Precio Venta Ideal (x1.5)]]</f>
        <v>40.485</v>
      </c>
      <c r="J646" s="92">
        <v>8</v>
      </c>
      <c r="K646" s="92">
        <f>SUMIFS(VENTAS[Cantidad],VENTAS[Código del producto Vendido],STOCK[[#This Row],[Code]])</f>
        <v>8</v>
      </c>
      <c r="L646" s="92">
        <f>STOCK[[#This Row],[Entradas]]-STOCK[[#This Row],[Salidas]]</f>
        <v>0</v>
      </c>
      <c r="M646" s="77">
        <f>STOCK[[#This Row],[Precio Final]]*10%</f>
        <v>3.2</v>
      </c>
      <c r="N646" s="77">
        <v>0</v>
      </c>
      <c r="O646" s="77">
        <v>25.79</v>
      </c>
      <c r="P646" s="77">
        <v>15.79</v>
      </c>
      <c r="Q646" s="92">
        <v>0</v>
      </c>
      <c r="R646" s="77">
        <v>0</v>
      </c>
      <c r="S646" s="77">
        <v>8</v>
      </c>
      <c r="T646" s="76">
        <f>STOCK[[#This Row],[Costo Unitario (USD)]]+STOCK[[#This Row],[Costo Envío (USD)]]+STOCK[[#This Row],[Comisión 10%]]</f>
        <v>26.99</v>
      </c>
      <c r="U646" s="77">
        <f>STOCK[[#This Row],[Costo total]]*1.5</f>
        <v>40.485</v>
      </c>
      <c r="V646" s="77">
        <v>32</v>
      </c>
      <c r="W646" s="77">
        <f>STOCK[[#This Row],[Precio Final]]-STOCK[[#This Row],[Costo total]]</f>
        <v>5.01</v>
      </c>
      <c r="X646" s="77">
        <f>STOCK[[#This Row],[Ganancia Unitaria]]*STOCK[[#This Row],[Salidas]]</f>
        <v>40.08</v>
      </c>
      <c r="AA646" s="77">
        <f>STOCK[[#This Row],[Costo total]]*STOCK[[#This Row],[Entradas]]</f>
        <v>215.92</v>
      </c>
      <c r="AB646" s="77">
        <f>STOCK[[#This Row],[Stock Actual]]*STOCK[[#This Row],[Costo total]]</f>
        <v>0</v>
      </c>
    </row>
    <row r="647" s="76" customFormat="1" ht="50" customHeight="1" spans="1:28">
      <c r="A647" s="76" t="s">
        <v>1304</v>
      </c>
      <c r="B647" s="6"/>
      <c r="C647" s="76" t="s">
        <v>30</v>
      </c>
      <c r="D647" s="76" t="s">
        <v>151</v>
      </c>
      <c r="E647" s="76" t="s">
        <v>1305</v>
      </c>
      <c r="F647" s="76" t="s">
        <v>47</v>
      </c>
      <c r="G647" s="76" t="s">
        <v>1294</v>
      </c>
      <c r="H647" s="76">
        <f>STOCK[[#This Row],[Precio Final]]</f>
        <v>32</v>
      </c>
      <c r="I647" s="76">
        <f>STOCK[[#This Row],[Precio Venta Ideal (x1.5)]]</f>
        <v>40.485</v>
      </c>
      <c r="J647" s="91">
        <v>2</v>
      </c>
      <c r="K647" s="91">
        <f>SUMIFS(VENTAS[Cantidad],VENTAS[Código del producto Vendido],STOCK[[#This Row],[Code]])</f>
        <v>2</v>
      </c>
      <c r="L647" s="91">
        <f>STOCK[[#This Row],[Entradas]]-STOCK[[#This Row],[Salidas]]</f>
        <v>0</v>
      </c>
      <c r="M647" s="76">
        <f>STOCK[[#This Row],[Precio Final]]*10%</f>
        <v>3.2</v>
      </c>
      <c r="N647" s="76">
        <v>-21.21</v>
      </c>
      <c r="O647" s="76">
        <v>0</v>
      </c>
      <c r="P647" s="76">
        <v>15.79</v>
      </c>
      <c r="Q647" s="91">
        <v>0</v>
      </c>
      <c r="R647" s="76">
        <v>0</v>
      </c>
      <c r="S647" s="76">
        <v>8</v>
      </c>
      <c r="T647" s="76">
        <f>STOCK[[#This Row],[Costo Unitario (USD)]]+STOCK[[#This Row],[Costo Envío (USD)]]+STOCK[[#This Row],[Comisión 10%]]</f>
        <v>26.99</v>
      </c>
      <c r="U647" s="76">
        <f>STOCK[[#This Row],[Costo total]]*1.5</f>
        <v>40.485</v>
      </c>
      <c r="V647" s="76">
        <v>32</v>
      </c>
      <c r="W647" s="76">
        <f>STOCK[[#This Row],[Precio Final]]-STOCK[[#This Row],[Costo total]]</f>
        <v>5.01</v>
      </c>
      <c r="X647" s="76">
        <f>STOCK[[#This Row],[Ganancia Unitaria]]*STOCK[[#This Row],[Salidas]]</f>
        <v>10.02</v>
      </c>
      <c r="AA647" s="76">
        <f>STOCK[[#This Row],[Costo total]]*STOCK[[#This Row],[Entradas]]</f>
        <v>53.98</v>
      </c>
      <c r="AB647" s="76">
        <f>STOCK[[#This Row],[Stock Actual]]*STOCK[[#This Row],[Costo total]]</f>
        <v>0</v>
      </c>
    </row>
    <row r="648" s="77" customFormat="1" ht="50" customHeight="1" spans="1:28">
      <c r="A648" s="77" t="s">
        <v>1306</v>
      </c>
      <c r="B648" s="6"/>
      <c r="C648" s="77" t="s">
        <v>30</v>
      </c>
      <c r="D648" s="77" t="s">
        <v>514</v>
      </c>
      <c r="E648" s="77" t="s">
        <v>1298</v>
      </c>
      <c r="F648" s="77" t="s">
        <v>764</v>
      </c>
      <c r="G648" s="77" t="s">
        <v>1294</v>
      </c>
      <c r="H648" s="77">
        <f>STOCK[[#This Row],[Precio Final]]</f>
        <v>35</v>
      </c>
      <c r="I648" s="77">
        <f>STOCK[[#This Row],[Precio Venta Ideal (x1.5)]]</f>
        <v>34.485</v>
      </c>
      <c r="J648" s="92">
        <v>1</v>
      </c>
      <c r="K648" s="92">
        <f>SUMIFS(VENTAS[Cantidad],VENTAS[Código del producto Vendido],STOCK[[#This Row],[Code]])</f>
        <v>1</v>
      </c>
      <c r="L648" s="92">
        <f>STOCK[[#This Row],[Entradas]]-STOCK[[#This Row],[Salidas]]</f>
        <v>0</v>
      </c>
      <c r="M648" s="77">
        <f>STOCK[[#This Row],[Precio Final]]*10%</f>
        <v>3.5</v>
      </c>
      <c r="N648" s="77">
        <v>-6.67</v>
      </c>
      <c r="O648" s="77">
        <v>0</v>
      </c>
      <c r="P648" s="77">
        <v>11.49</v>
      </c>
      <c r="Q648" s="92">
        <v>0</v>
      </c>
      <c r="R648" s="77">
        <v>0</v>
      </c>
      <c r="S648" s="77">
        <v>8</v>
      </c>
      <c r="T648" s="76">
        <f>STOCK[[#This Row],[Costo Unitario (USD)]]+STOCK[[#This Row],[Costo Envío (USD)]]+STOCK[[#This Row],[Comisión 10%]]</f>
        <v>22.99</v>
      </c>
      <c r="U648" s="77">
        <f>STOCK[[#This Row],[Costo total]]*1.5</f>
        <v>34.485</v>
      </c>
      <c r="V648" s="77">
        <v>35</v>
      </c>
      <c r="W648" s="77">
        <f>STOCK[[#This Row],[Precio Final]]-STOCK[[#This Row],[Costo total]]</f>
        <v>12.01</v>
      </c>
      <c r="X648" s="77">
        <f>STOCK[[#This Row],[Ganancia Unitaria]]*STOCK[[#This Row],[Salidas]]</f>
        <v>12.01</v>
      </c>
      <c r="AA648" s="77">
        <f>STOCK[[#This Row],[Costo total]]*STOCK[[#This Row],[Entradas]]</f>
        <v>22.99</v>
      </c>
      <c r="AB648" s="77">
        <f>STOCK[[#This Row],[Stock Actual]]*STOCK[[#This Row],[Costo total]]</f>
        <v>0</v>
      </c>
    </row>
    <row r="649" s="76" customFormat="1" ht="50" customHeight="1" spans="1:28">
      <c r="A649" s="76" t="s">
        <v>1307</v>
      </c>
      <c r="B649" s="6"/>
      <c r="C649" s="76" t="s">
        <v>30</v>
      </c>
      <c r="D649" s="76" t="s">
        <v>514</v>
      </c>
      <c r="E649" s="76" t="s">
        <v>1308</v>
      </c>
      <c r="F649" s="76" t="s">
        <v>47</v>
      </c>
      <c r="G649" s="76" t="s">
        <v>1294</v>
      </c>
      <c r="H649" s="76">
        <f>STOCK[[#This Row],[Precio Final]]</f>
        <v>18</v>
      </c>
      <c r="I649" s="76">
        <f>STOCK[[#This Row],[Precio Venta Ideal (x1.5)]]</f>
        <v>21.435</v>
      </c>
      <c r="J649" s="91">
        <v>1</v>
      </c>
      <c r="K649" s="91">
        <f>SUMIFS(VENTAS[Cantidad],VENTAS[Código del producto Vendido],STOCK[[#This Row],[Code]])</f>
        <v>1</v>
      </c>
      <c r="L649" s="91">
        <f>STOCK[[#This Row],[Entradas]]-STOCK[[#This Row],[Salidas]]</f>
        <v>0</v>
      </c>
      <c r="M649" s="76">
        <f>STOCK[[#This Row],[Precio Final]]*10%</f>
        <v>1.8</v>
      </c>
      <c r="N649" s="76">
        <v>7.12</v>
      </c>
      <c r="O649" s="76">
        <v>0</v>
      </c>
      <c r="P649" s="76">
        <v>7.49</v>
      </c>
      <c r="Q649" s="91">
        <v>0</v>
      </c>
      <c r="R649" s="76">
        <v>0</v>
      </c>
      <c r="S649" s="76">
        <v>5</v>
      </c>
      <c r="T649" s="76">
        <f>STOCK[[#This Row],[Costo Unitario (USD)]]+STOCK[[#This Row],[Costo Envío (USD)]]+STOCK[[#This Row],[Comisión 10%]]</f>
        <v>14.29</v>
      </c>
      <c r="U649" s="76">
        <f>STOCK[[#This Row],[Costo total]]*1.5</f>
        <v>21.435</v>
      </c>
      <c r="V649" s="76">
        <v>18</v>
      </c>
      <c r="W649" s="76">
        <f>STOCK[[#This Row],[Precio Final]]-STOCK[[#This Row],[Costo total]]</f>
        <v>3.71</v>
      </c>
      <c r="X649" s="76">
        <f>STOCK[[#This Row],[Ganancia Unitaria]]*STOCK[[#This Row],[Salidas]]</f>
        <v>3.71</v>
      </c>
      <c r="AA649" s="76">
        <f>STOCK[[#This Row],[Costo total]]*STOCK[[#This Row],[Entradas]]</f>
        <v>14.29</v>
      </c>
      <c r="AB649" s="76">
        <f>STOCK[[#This Row],[Stock Actual]]*STOCK[[#This Row],[Costo total]]</f>
        <v>0</v>
      </c>
    </row>
    <row r="650" s="77" customFormat="1" ht="50" customHeight="1" spans="1:28">
      <c r="A650" s="77" t="s">
        <v>1309</v>
      </c>
      <c r="B650" s="6"/>
      <c r="C650" s="77" t="s">
        <v>30</v>
      </c>
      <c r="D650" s="77" t="s">
        <v>151</v>
      </c>
      <c r="E650" s="77" t="s">
        <v>1310</v>
      </c>
      <c r="F650" s="77" t="s">
        <v>60</v>
      </c>
      <c r="G650" s="77" t="s">
        <v>1294</v>
      </c>
      <c r="H650" s="77">
        <f>STOCK[[#This Row],[Precio Final]]</f>
        <v>20</v>
      </c>
      <c r="I650" s="77">
        <f>STOCK[[#This Row],[Precio Venta Ideal (x1.5)]]</f>
        <v>19.5</v>
      </c>
      <c r="J650" s="92">
        <v>2</v>
      </c>
      <c r="K650" s="92">
        <f>SUMIFS(VENTAS[Cantidad],VENTAS[Código del producto Vendido],STOCK[[#This Row],[Code]])</f>
        <v>2</v>
      </c>
      <c r="L650" s="92">
        <f>STOCK[[#This Row],[Entradas]]-STOCK[[#This Row],[Salidas]]</f>
        <v>0</v>
      </c>
      <c r="M650" s="77">
        <f>STOCK[[#This Row],[Precio Final]]*10%</f>
        <v>2</v>
      </c>
      <c r="N650" s="77">
        <v>10</v>
      </c>
      <c r="O650" s="77">
        <v>0</v>
      </c>
      <c r="P650" s="77">
        <v>7</v>
      </c>
      <c r="Q650" s="92">
        <v>0</v>
      </c>
      <c r="R650" s="77">
        <v>0</v>
      </c>
      <c r="S650" s="77">
        <v>4</v>
      </c>
      <c r="T650" s="76">
        <f>STOCK[[#This Row],[Costo Unitario (USD)]]+STOCK[[#This Row],[Costo Envío (USD)]]+STOCK[[#This Row],[Comisión 10%]]</f>
        <v>13</v>
      </c>
      <c r="U650" s="77">
        <f>STOCK[[#This Row],[Costo total]]*1.5</f>
        <v>19.5</v>
      </c>
      <c r="V650" s="77">
        <v>20</v>
      </c>
      <c r="W650" s="77">
        <f>STOCK[[#This Row],[Precio Final]]-STOCK[[#This Row],[Costo total]]</f>
        <v>7</v>
      </c>
      <c r="X650" s="77">
        <f>STOCK[[#This Row],[Ganancia Unitaria]]*STOCK[[#This Row],[Salidas]]</f>
        <v>14</v>
      </c>
      <c r="AA650" s="77">
        <f>STOCK[[#This Row],[Costo total]]*STOCK[[#This Row],[Entradas]]</f>
        <v>26</v>
      </c>
      <c r="AB650" s="77">
        <f>STOCK[[#This Row],[Stock Actual]]*STOCK[[#This Row],[Costo total]]</f>
        <v>0</v>
      </c>
    </row>
    <row r="651" s="76" customFormat="1" ht="50" customHeight="1" spans="2:28">
      <c r="B651" s="6"/>
      <c r="H651" s="76">
        <f>STOCK[[#This Row],[Precio Final]]</f>
        <v>0</v>
      </c>
      <c r="I651" s="76">
        <f>STOCK[[#This Row],[Precio Venta Ideal (x1.5)]]</f>
        <v>0</v>
      </c>
      <c r="J651" s="91"/>
      <c r="K651" s="91">
        <f>SUMIFS(VENTAS[Cantidad],VENTAS[Código del producto Vendido],STOCK[[#This Row],[Code]])</f>
        <v>0</v>
      </c>
      <c r="L651" s="91">
        <f>STOCK[[#This Row],[Entradas]]-STOCK[[#This Row],[Salidas]]</f>
        <v>0</v>
      </c>
      <c r="M651" s="76">
        <f>STOCK[[#This Row],[Precio Final]]*10%</f>
        <v>0</v>
      </c>
      <c r="Q651" s="91">
        <v>0</v>
      </c>
      <c r="R651" s="76">
        <v>0</v>
      </c>
      <c r="T651" s="76">
        <f>STOCK[[#This Row],[Costo Unitario (USD)]]+STOCK[[#This Row],[Costo Envío (USD)]]+STOCK[[#This Row],[Comisión 10%]]</f>
        <v>0</v>
      </c>
      <c r="U651" s="76">
        <f>STOCK[[#This Row],[Costo total]]*1.5</f>
        <v>0</v>
      </c>
      <c r="W651" s="76">
        <f>STOCK[[#This Row],[Precio Final]]-STOCK[[#This Row],[Costo total]]</f>
        <v>0</v>
      </c>
      <c r="X651" s="76">
        <f>STOCK[[#This Row],[Ganancia Unitaria]]*STOCK[[#This Row],[Salidas]]</f>
        <v>0</v>
      </c>
      <c r="AA651" s="76">
        <f>STOCK[[#This Row],[Costo total]]*STOCK[[#This Row],[Entradas]]</f>
        <v>0</v>
      </c>
      <c r="AB651" s="76">
        <f>STOCK[[#This Row],[Stock Actual]]*STOCK[[#This Row],[Costo total]]</f>
        <v>0</v>
      </c>
    </row>
    <row r="652" s="77" customFormat="1" ht="50" customHeight="1" spans="1:28">
      <c r="A652" s="77" t="s">
        <v>1311</v>
      </c>
      <c r="B652" s="6"/>
      <c r="C652" s="77" t="s">
        <v>30</v>
      </c>
      <c r="D652" s="77" t="s">
        <v>778</v>
      </c>
      <c r="E652" s="77" t="s">
        <v>1312</v>
      </c>
      <c r="F652" s="77" t="s">
        <v>60</v>
      </c>
      <c r="G652" s="77" t="s">
        <v>702</v>
      </c>
      <c r="H652" s="77">
        <f>STOCK[[#This Row],[Precio Final]]</f>
        <v>20</v>
      </c>
      <c r="I652" s="77">
        <f>STOCK[[#This Row],[Precio Venta Ideal (x1.5)]]</f>
        <v>15</v>
      </c>
      <c r="J652" s="92">
        <v>1</v>
      </c>
      <c r="K652" s="92">
        <f>SUMIFS(VENTAS[Cantidad],VENTAS[Código del producto Vendido],STOCK[[#This Row],[Code]])</f>
        <v>0</v>
      </c>
      <c r="L652" s="92">
        <f>STOCK[[#This Row],[Entradas]]-STOCK[[#This Row],[Salidas]]</f>
        <v>1</v>
      </c>
      <c r="M652" s="77">
        <f>STOCK[[#This Row],[Precio Final]]*10%</f>
        <v>2</v>
      </c>
      <c r="N652" s="77">
        <v>0</v>
      </c>
      <c r="O652" s="77">
        <v>13.94</v>
      </c>
      <c r="P652" s="77">
        <v>6</v>
      </c>
      <c r="Q652" s="92">
        <v>0</v>
      </c>
      <c r="R652" s="77">
        <v>0</v>
      </c>
      <c r="S652" s="77">
        <v>2</v>
      </c>
      <c r="T652" s="76">
        <f>STOCK[[#This Row],[Costo Unitario (USD)]]+STOCK[[#This Row],[Costo Envío (USD)]]+STOCK[[#This Row],[Comisión 10%]]</f>
        <v>10</v>
      </c>
      <c r="U652" s="77">
        <f>STOCK[[#This Row],[Costo total]]*1.5</f>
        <v>15</v>
      </c>
      <c r="V652" s="77">
        <v>20</v>
      </c>
      <c r="W652" s="77">
        <f>STOCK[[#This Row],[Precio Final]]-STOCK[[#This Row],[Costo total]]</f>
        <v>10</v>
      </c>
      <c r="X652" s="77">
        <f>STOCK[[#This Row],[Ganancia Unitaria]]*STOCK[[#This Row],[Salidas]]</f>
        <v>0</v>
      </c>
      <c r="AA652" s="77">
        <f>STOCK[[#This Row],[Costo total]]*STOCK[[#This Row],[Entradas]]</f>
        <v>10</v>
      </c>
      <c r="AB652" s="77">
        <f>STOCK[[#This Row],[Stock Actual]]*STOCK[[#This Row],[Costo total]]</f>
        <v>10</v>
      </c>
    </row>
    <row r="653" s="76" customFormat="1" ht="50" customHeight="1" spans="1:28">
      <c r="A653" s="76" t="s">
        <v>1313</v>
      </c>
      <c r="B653" s="6"/>
      <c r="C653" s="76" t="s">
        <v>30</v>
      </c>
      <c r="D653" s="76" t="s">
        <v>173</v>
      </c>
      <c r="E653" s="76" t="s">
        <v>1314</v>
      </c>
      <c r="F653" s="76" t="s">
        <v>60</v>
      </c>
      <c r="G653" s="76" t="s">
        <v>702</v>
      </c>
      <c r="H653" s="76">
        <f>STOCK[[#This Row],[Precio Final]]</f>
        <v>40</v>
      </c>
      <c r="I653" s="76">
        <f>STOCK[[#This Row],[Precio Venta Ideal (x1.5)]]</f>
        <v>51</v>
      </c>
      <c r="J653" s="91">
        <v>2</v>
      </c>
      <c r="K653" s="91">
        <f>SUMIFS(VENTAS[Cantidad],VENTAS[Código del producto Vendido],STOCK[[#This Row],[Code]])</f>
        <v>2</v>
      </c>
      <c r="L653" s="91">
        <f>STOCK[[#This Row],[Entradas]]-STOCK[[#This Row],[Salidas]]</f>
        <v>0</v>
      </c>
      <c r="M653" s="76">
        <f>STOCK[[#This Row],[Precio Final]]*10%</f>
        <v>4</v>
      </c>
      <c r="N653" s="76">
        <v>0</v>
      </c>
      <c r="O653" s="76">
        <v>58.06</v>
      </c>
      <c r="P653" s="76">
        <v>24</v>
      </c>
      <c r="Q653" s="91">
        <v>0</v>
      </c>
      <c r="R653" s="76">
        <v>0</v>
      </c>
      <c r="S653" s="76">
        <v>6</v>
      </c>
      <c r="T653" s="76">
        <f>STOCK[[#This Row],[Costo Unitario (USD)]]+STOCK[[#This Row],[Costo Envío (USD)]]+STOCK[[#This Row],[Comisión 10%]]</f>
        <v>34</v>
      </c>
      <c r="U653" s="76">
        <f>STOCK[[#This Row],[Costo total]]*1.5</f>
        <v>51</v>
      </c>
      <c r="V653" s="76">
        <v>40</v>
      </c>
      <c r="W653" s="76">
        <f>STOCK[[#This Row],[Precio Final]]-STOCK[[#This Row],[Costo total]]</f>
        <v>6</v>
      </c>
      <c r="X653" s="76">
        <f>STOCK[[#This Row],[Ganancia Unitaria]]*STOCK[[#This Row],[Salidas]]</f>
        <v>12</v>
      </c>
      <c r="AA653" s="76">
        <f>STOCK[[#This Row],[Costo total]]*STOCK[[#This Row],[Entradas]]</f>
        <v>68</v>
      </c>
      <c r="AB653" s="76">
        <f>STOCK[[#This Row],[Stock Actual]]*STOCK[[#This Row],[Costo total]]</f>
        <v>0</v>
      </c>
    </row>
    <row r="654" s="77" customFormat="1" ht="50" customHeight="1" spans="1:28">
      <c r="A654" s="77" t="s">
        <v>1315</v>
      </c>
      <c r="B654" s="6"/>
      <c r="C654" s="77" t="s">
        <v>30</v>
      </c>
      <c r="D654" s="77" t="s">
        <v>173</v>
      </c>
      <c r="E654" s="77" t="s">
        <v>1316</v>
      </c>
      <c r="F654" s="77" t="s">
        <v>1317</v>
      </c>
      <c r="G654" s="77" t="s">
        <v>702</v>
      </c>
      <c r="H654" s="77">
        <f>STOCK[[#This Row],[Precio Final]]</f>
        <v>40</v>
      </c>
      <c r="I654" s="77">
        <f>STOCK[[#This Row],[Precio Venta Ideal (x1.5)]]</f>
        <v>51</v>
      </c>
      <c r="J654" s="92">
        <v>0</v>
      </c>
      <c r="K654" s="92">
        <f>SUMIFS(VENTAS[Cantidad],VENTAS[Código del producto Vendido],STOCK[[#This Row],[Code]])</f>
        <v>0</v>
      </c>
      <c r="L654" s="92">
        <f>STOCK[[#This Row],[Entradas]]-STOCK[[#This Row],[Salidas]]</f>
        <v>0</v>
      </c>
      <c r="M654" s="77">
        <f>STOCK[[#This Row],[Precio Final]]*10%</f>
        <v>4</v>
      </c>
      <c r="N654" s="77">
        <v>0</v>
      </c>
      <c r="O654" s="77">
        <v>23.03</v>
      </c>
      <c r="P654" s="77">
        <v>24</v>
      </c>
      <c r="Q654" s="92">
        <v>0</v>
      </c>
      <c r="R654" s="77">
        <v>0</v>
      </c>
      <c r="S654" s="77">
        <v>6</v>
      </c>
      <c r="T654" s="76">
        <f>STOCK[[#This Row],[Costo Unitario (USD)]]+STOCK[[#This Row],[Costo Envío (USD)]]+STOCK[[#This Row],[Comisión 10%]]</f>
        <v>34</v>
      </c>
      <c r="U654" s="77">
        <f>STOCK[[#This Row],[Costo total]]*1.5</f>
        <v>51</v>
      </c>
      <c r="V654" s="77">
        <v>40</v>
      </c>
      <c r="W654" s="77">
        <f>STOCK[[#This Row],[Precio Final]]-STOCK[[#This Row],[Costo total]]</f>
        <v>6</v>
      </c>
      <c r="X654" s="77">
        <f>STOCK[[#This Row],[Ganancia Unitaria]]*STOCK[[#This Row],[Salidas]]</f>
        <v>0</v>
      </c>
      <c r="AA654" s="77">
        <f>STOCK[[#This Row],[Costo total]]*STOCK[[#This Row],[Entradas]]</f>
        <v>0</v>
      </c>
      <c r="AB654" s="77">
        <f>STOCK[[#This Row],[Stock Actual]]*STOCK[[#This Row],[Costo total]]</f>
        <v>0</v>
      </c>
    </row>
    <row r="655" s="76" customFormat="1" ht="50" customHeight="1" spans="1:28">
      <c r="A655" s="76" t="s">
        <v>1318</v>
      </c>
      <c r="B655" s="6"/>
      <c r="C655" s="76" t="s">
        <v>30</v>
      </c>
      <c r="D655" s="76" t="s">
        <v>173</v>
      </c>
      <c r="E655" s="76" t="s">
        <v>1319</v>
      </c>
      <c r="F655" s="76" t="s">
        <v>776</v>
      </c>
      <c r="G655" s="76" t="s">
        <v>702</v>
      </c>
      <c r="H655" s="76">
        <f>STOCK[[#This Row],[Precio Final]]</f>
        <v>40</v>
      </c>
      <c r="I655" s="76">
        <f>STOCK[[#This Row],[Precio Venta Ideal (x1.5)]]</f>
        <v>43.125</v>
      </c>
      <c r="J655" s="91">
        <v>1</v>
      </c>
      <c r="K655" s="91">
        <f>SUMIFS(VENTAS[Cantidad],VENTAS[Código del producto Vendido],STOCK[[#This Row],[Code]])</f>
        <v>1</v>
      </c>
      <c r="L655" s="91">
        <f>STOCK[[#This Row],[Entradas]]-STOCK[[#This Row],[Salidas]]</f>
        <v>0</v>
      </c>
      <c r="M655" s="76">
        <f>STOCK[[#This Row],[Precio Final]]*10%</f>
        <v>4</v>
      </c>
      <c r="N655" s="76">
        <v>0</v>
      </c>
      <c r="O655" s="76">
        <v>23.03</v>
      </c>
      <c r="P655" s="76">
        <v>18.75</v>
      </c>
      <c r="Q655" s="91">
        <v>0</v>
      </c>
      <c r="R655" s="76">
        <v>0</v>
      </c>
      <c r="S655" s="76">
        <v>6</v>
      </c>
      <c r="T655" s="76">
        <f>STOCK[[#This Row],[Costo Unitario (USD)]]+STOCK[[#This Row],[Costo Envío (USD)]]+STOCK[[#This Row],[Comisión 10%]]</f>
        <v>28.75</v>
      </c>
      <c r="U655" s="76">
        <f>STOCK[[#This Row],[Costo total]]*1.5</f>
        <v>43.125</v>
      </c>
      <c r="V655" s="76">
        <v>40</v>
      </c>
      <c r="W655" s="76">
        <f>STOCK[[#This Row],[Precio Final]]-STOCK[[#This Row],[Costo total]]</f>
        <v>11.25</v>
      </c>
      <c r="X655" s="76">
        <f>STOCK[[#This Row],[Ganancia Unitaria]]*STOCK[[#This Row],[Salidas]]</f>
        <v>11.25</v>
      </c>
      <c r="AA655" s="76">
        <f>STOCK[[#This Row],[Costo total]]*STOCK[[#This Row],[Entradas]]</f>
        <v>28.75</v>
      </c>
      <c r="AB655" s="76">
        <f>STOCK[[#This Row],[Stock Actual]]*STOCK[[#This Row],[Costo total]]</f>
        <v>0</v>
      </c>
    </row>
    <row r="656" s="77" customFormat="1" ht="50" customHeight="1" spans="1:28">
      <c r="A656" s="77" t="s">
        <v>1320</v>
      </c>
      <c r="B656" s="6"/>
      <c r="C656" s="77" t="s">
        <v>30</v>
      </c>
      <c r="D656" s="77" t="s">
        <v>778</v>
      </c>
      <c r="E656" s="77" t="s">
        <v>1321</v>
      </c>
      <c r="F656" s="77" t="s">
        <v>40</v>
      </c>
      <c r="G656" s="77" t="s">
        <v>702</v>
      </c>
      <c r="H656" s="77">
        <f>STOCK[[#This Row],[Precio Final]]</f>
        <v>25</v>
      </c>
      <c r="I656" s="77">
        <f>STOCK[[#This Row],[Precio Venta Ideal (x1.5)]]</f>
        <v>32.25</v>
      </c>
      <c r="J656" s="92">
        <v>1</v>
      </c>
      <c r="K656" s="92">
        <f>SUMIFS(VENTAS[Cantidad],VENTAS[Código del producto Vendido],STOCK[[#This Row],[Code]])</f>
        <v>0</v>
      </c>
      <c r="L656" s="92">
        <f>STOCK[[#This Row],[Entradas]]-STOCK[[#This Row],[Salidas]]</f>
        <v>1</v>
      </c>
      <c r="M656" s="77">
        <f>STOCK[[#This Row],[Precio Final]]*10%</f>
        <v>2.5</v>
      </c>
      <c r="N656" s="77">
        <v>0</v>
      </c>
      <c r="O656" s="77">
        <v>15.15</v>
      </c>
      <c r="P656" s="77">
        <v>16</v>
      </c>
      <c r="Q656" s="92">
        <v>0</v>
      </c>
      <c r="R656" s="77">
        <v>0</v>
      </c>
      <c r="S656" s="77">
        <v>3</v>
      </c>
      <c r="T656" s="76">
        <f>STOCK[[#This Row],[Costo Unitario (USD)]]+STOCK[[#This Row],[Costo Envío (USD)]]+STOCK[[#This Row],[Comisión 10%]]</f>
        <v>21.5</v>
      </c>
      <c r="U656" s="77">
        <f>STOCK[[#This Row],[Costo total]]*1.5</f>
        <v>32.25</v>
      </c>
      <c r="V656" s="77">
        <v>25</v>
      </c>
      <c r="W656" s="77">
        <f>STOCK[[#This Row],[Precio Final]]-STOCK[[#This Row],[Costo total]]</f>
        <v>3.5</v>
      </c>
      <c r="X656" s="77">
        <f>STOCK[[#This Row],[Ganancia Unitaria]]*STOCK[[#This Row],[Salidas]]</f>
        <v>0</v>
      </c>
      <c r="AA656" s="77">
        <f>STOCK[[#This Row],[Costo total]]*STOCK[[#This Row],[Entradas]]</f>
        <v>21.5</v>
      </c>
      <c r="AB656" s="77">
        <f>STOCK[[#This Row],[Stock Actual]]*STOCK[[#This Row],[Costo total]]</f>
        <v>21.5</v>
      </c>
    </row>
    <row r="657" s="76" customFormat="1" ht="50" customHeight="1" spans="1:28">
      <c r="A657" s="76" t="s">
        <v>1322</v>
      </c>
      <c r="B657" s="6"/>
      <c r="C657" s="76" t="s">
        <v>30</v>
      </c>
      <c r="D657" s="77" t="s">
        <v>778</v>
      </c>
      <c r="E657" s="76" t="s">
        <v>1323</v>
      </c>
      <c r="F657" s="76" t="s">
        <v>40</v>
      </c>
      <c r="G657" s="76" t="s">
        <v>702</v>
      </c>
      <c r="H657" s="76">
        <f>STOCK[[#This Row],[Precio Final]]</f>
        <v>25</v>
      </c>
      <c r="I657" s="76">
        <f>STOCK[[#This Row],[Precio Venta Ideal (x1.5)]]</f>
        <v>21</v>
      </c>
      <c r="J657" s="91">
        <v>1</v>
      </c>
      <c r="K657" s="91">
        <f>SUMIFS(VENTAS[Cantidad],VENTAS[Código del producto Vendido],STOCK[[#This Row],[Code]])</f>
        <v>0</v>
      </c>
      <c r="L657" s="91">
        <f>STOCK[[#This Row],[Entradas]]-STOCK[[#This Row],[Salidas]]</f>
        <v>1</v>
      </c>
      <c r="M657" s="76">
        <f>STOCK[[#This Row],[Precio Final]]*10%</f>
        <v>2.5</v>
      </c>
      <c r="N657" s="76">
        <v>0</v>
      </c>
      <c r="O657" s="76">
        <v>15.15</v>
      </c>
      <c r="P657" s="76">
        <v>8.5</v>
      </c>
      <c r="Q657" s="91">
        <v>0</v>
      </c>
      <c r="R657" s="76">
        <v>0</v>
      </c>
      <c r="S657" s="76">
        <v>3</v>
      </c>
      <c r="T657" s="76">
        <f>STOCK[[#This Row],[Costo Unitario (USD)]]+STOCK[[#This Row],[Costo Envío (USD)]]+STOCK[[#This Row],[Comisión 10%]]</f>
        <v>14</v>
      </c>
      <c r="U657" s="76">
        <f>STOCK[[#This Row],[Costo total]]*1.5</f>
        <v>21</v>
      </c>
      <c r="V657" s="76">
        <v>25</v>
      </c>
      <c r="W657" s="76">
        <f>STOCK[[#This Row],[Precio Final]]-STOCK[[#This Row],[Costo total]]</f>
        <v>11</v>
      </c>
      <c r="X657" s="76">
        <f>STOCK[[#This Row],[Ganancia Unitaria]]*STOCK[[#This Row],[Salidas]]</f>
        <v>0</v>
      </c>
      <c r="AA657" s="76">
        <f>STOCK[[#This Row],[Costo total]]*STOCK[[#This Row],[Entradas]]</f>
        <v>14</v>
      </c>
      <c r="AB657" s="76">
        <f>STOCK[[#This Row],[Stock Actual]]*STOCK[[#This Row],[Costo total]]</f>
        <v>14</v>
      </c>
    </row>
    <row r="658" s="77" customFormat="1" ht="50" customHeight="1" spans="1:28">
      <c r="A658" s="77" t="s">
        <v>1324</v>
      </c>
      <c r="B658" s="6"/>
      <c r="C658" s="77" t="s">
        <v>30</v>
      </c>
      <c r="D658" s="77" t="s">
        <v>778</v>
      </c>
      <c r="E658" s="77" t="s">
        <v>1325</v>
      </c>
      <c r="F658" s="77" t="s">
        <v>60</v>
      </c>
      <c r="G658" s="77" t="s">
        <v>702</v>
      </c>
      <c r="H658" s="77">
        <f>STOCK[[#This Row],[Precio Final]]</f>
        <v>25</v>
      </c>
      <c r="I658" s="77">
        <f>STOCK[[#This Row],[Precio Venta Ideal (x1.5)]]</f>
        <v>32.25</v>
      </c>
      <c r="J658" s="92">
        <v>2</v>
      </c>
      <c r="K658" s="92">
        <f>SUMIFS(VENTAS[Cantidad],VENTAS[Código del producto Vendido],STOCK[[#This Row],[Code]])</f>
        <v>2</v>
      </c>
      <c r="L658" s="92">
        <f>STOCK[[#This Row],[Entradas]]-STOCK[[#This Row],[Salidas]]</f>
        <v>0</v>
      </c>
      <c r="M658" s="77">
        <f>STOCK[[#This Row],[Precio Final]]*10%</f>
        <v>2.5</v>
      </c>
      <c r="N658" s="77">
        <v>0</v>
      </c>
      <c r="O658" s="77">
        <v>30.3</v>
      </c>
      <c r="P658" s="77">
        <v>16</v>
      </c>
      <c r="Q658" s="92">
        <v>0</v>
      </c>
      <c r="R658" s="77">
        <v>0</v>
      </c>
      <c r="S658" s="77">
        <v>3</v>
      </c>
      <c r="T658" s="76">
        <f>STOCK[[#This Row],[Costo Unitario (USD)]]+STOCK[[#This Row],[Costo Envío (USD)]]+STOCK[[#This Row],[Comisión 10%]]</f>
        <v>21.5</v>
      </c>
      <c r="U658" s="77">
        <f>STOCK[[#This Row],[Costo total]]*1.5</f>
        <v>32.25</v>
      </c>
      <c r="V658" s="77">
        <v>25</v>
      </c>
      <c r="W658" s="77">
        <f>STOCK[[#This Row],[Precio Final]]-STOCK[[#This Row],[Costo total]]</f>
        <v>3.5</v>
      </c>
      <c r="X658" s="77">
        <f>STOCK[[#This Row],[Ganancia Unitaria]]*STOCK[[#This Row],[Salidas]]</f>
        <v>7</v>
      </c>
      <c r="AA658" s="77">
        <f>STOCK[[#This Row],[Costo total]]*STOCK[[#This Row],[Entradas]]</f>
        <v>43</v>
      </c>
      <c r="AB658" s="77">
        <f>STOCK[[#This Row],[Stock Actual]]*STOCK[[#This Row],[Costo total]]</f>
        <v>0</v>
      </c>
    </row>
    <row r="659" s="76" customFormat="1" ht="50" customHeight="1" spans="1:28">
      <c r="A659" s="76" t="s">
        <v>1326</v>
      </c>
      <c r="B659" s="6"/>
      <c r="C659" s="76" t="s">
        <v>30</v>
      </c>
      <c r="D659" s="76" t="s">
        <v>173</v>
      </c>
      <c r="E659" s="76" t="s">
        <v>1327</v>
      </c>
      <c r="F659" s="76" t="s">
        <v>1328</v>
      </c>
      <c r="G659" s="76" t="s">
        <v>34</v>
      </c>
      <c r="H659" s="76">
        <f>STOCK[[#This Row],[Precio Final]]</f>
        <v>20</v>
      </c>
      <c r="I659" s="76">
        <f>STOCK[[#This Row],[Precio Venta Ideal (x1.5)]]</f>
        <v>22.86</v>
      </c>
      <c r="J659" s="91">
        <v>1</v>
      </c>
      <c r="K659" s="91">
        <f>SUMIFS(VENTAS[Cantidad],VENTAS[Código del producto Vendido],STOCK[[#This Row],[Code]])</f>
        <v>1</v>
      </c>
      <c r="L659" s="91">
        <f>STOCK[[#This Row],[Entradas]]-STOCK[[#This Row],[Salidas]]</f>
        <v>0</v>
      </c>
      <c r="M659" s="76">
        <f>STOCK[[#This Row],[Precio Final]]*10%</f>
        <v>2</v>
      </c>
      <c r="N659" s="76">
        <v>0</v>
      </c>
      <c r="O659" s="76">
        <v>14.25</v>
      </c>
      <c r="P659" s="76">
        <v>11.53</v>
      </c>
      <c r="Q659" s="91">
        <v>0</v>
      </c>
      <c r="R659" s="76">
        <v>0</v>
      </c>
      <c r="S659" s="76">
        <v>1.71</v>
      </c>
      <c r="T659" s="76">
        <f>STOCK[[#This Row],[Costo Unitario (USD)]]+STOCK[[#This Row],[Costo Envío (USD)]]+STOCK[[#This Row],[Comisión 10%]]</f>
        <v>15.24</v>
      </c>
      <c r="U659" s="76">
        <f>STOCK[[#This Row],[Costo total]]*1.5</f>
        <v>22.86</v>
      </c>
      <c r="V659" s="76">
        <v>20</v>
      </c>
      <c r="W659" s="76">
        <f>STOCK[[#This Row],[Precio Final]]-STOCK[[#This Row],[Costo total]]</f>
        <v>4.76</v>
      </c>
      <c r="X659" s="76">
        <f>STOCK[[#This Row],[Ganancia Unitaria]]*STOCK[[#This Row],[Salidas]]</f>
        <v>4.76</v>
      </c>
      <c r="AA659" s="76">
        <f>STOCK[[#This Row],[Costo total]]*STOCK[[#This Row],[Entradas]]</f>
        <v>15.24</v>
      </c>
      <c r="AB659" s="76">
        <f>STOCK[[#This Row],[Stock Actual]]*STOCK[[#This Row],[Costo total]]</f>
        <v>0</v>
      </c>
    </row>
    <row r="660" s="77" customFormat="1" ht="50" customHeight="1" spans="1:28">
      <c r="A660" s="77" t="s">
        <v>1329</v>
      </c>
      <c r="B660" s="6"/>
      <c r="C660" s="77" t="s">
        <v>30</v>
      </c>
      <c r="D660" s="77" t="s">
        <v>173</v>
      </c>
      <c r="E660" s="77" t="s">
        <v>1330</v>
      </c>
      <c r="F660" s="77" t="s">
        <v>38</v>
      </c>
      <c r="G660" s="77" t="s">
        <v>34</v>
      </c>
      <c r="H660" s="77">
        <f>STOCK[[#This Row],[Precio Final]]</f>
        <v>20</v>
      </c>
      <c r="I660" s="77">
        <f>STOCK[[#This Row],[Precio Venta Ideal (x1.5)]]</f>
        <v>22.86</v>
      </c>
      <c r="J660" s="92">
        <v>1</v>
      </c>
      <c r="K660" s="92">
        <f>SUMIFS(VENTAS[Cantidad],VENTAS[Código del producto Vendido],STOCK[[#This Row],[Code]])</f>
        <v>1</v>
      </c>
      <c r="L660" s="92">
        <f>STOCK[[#This Row],[Entradas]]-STOCK[[#This Row],[Salidas]]</f>
        <v>0</v>
      </c>
      <c r="M660" s="77">
        <f>STOCK[[#This Row],[Precio Final]]*10%</f>
        <v>2</v>
      </c>
      <c r="N660" s="77">
        <v>0</v>
      </c>
      <c r="O660" s="77">
        <v>14.25</v>
      </c>
      <c r="P660" s="77">
        <v>11.53</v>
      </c>
      <c r="Q660" s="92">
        <v>0</v>
      </c>
      <c r="R660" s="77">
        <v>0</v>
      </c>
      <c r="S660" s="77">
        <v>1.71</v>
      </c>
      <c r="T660" s="76">
        <f>STOCK[[#This Row],[Costo Unitario (USD)]]+STOCK[[#This Row],[Costo Envío (USD)]]+STOCK[[#This Row],[Comisión 10%]]</f>
        <v>15.24</v>
      </c>
      <c r="U660" s="77">
        <f>STOCK[[#This Row],[Costo total]]*1.5</f>
        <v>22.86</v>
      </c>
      <c r="V660" s="77">
        <v>20</v>
      </c>
      <c r="W660" s="77">
        <f>STOCK[[#This Row],[Precio Final]]-STOCK[[#This Row],[Costo total]]</f>
        <v>4.76</v>
      </c>
      <c r="X660" s="77">
        <f>STOCK[[#This Row],[Ganancia Unitaria]]*STOCK[[#This Row],[Salidas]]</f>
        <v>4.76</v>
      </c>
      <c r="AA660" s="77">
        <f>STOCK[[#This Row],[Costo total]]*STOCK[[#This Row],[Entradas]]</f>
        <v>15.24</v>
      </c>
      <c r="AB660" s="77">
        <f>STOCK[[#This Row],[Stock Actual]]*STOCK[[#This Row],[Costo total]]</f>
        <v>0</v>
      </c>
    </row>
    <row r="661" s="76" customFormat="1" ht="50" customHeight="1" spans="1:28">
      <c r="A661" s="76" t="s">
        <v>1331</v>
      </c>
      <c r="B661" s="6"/>
      <c r="C661" s="76" t="s">
        <v>30</v>
      </c>
      <c r="D661" s="76" t="s">
        <v>173</v>
      </c>
      <c r="E661" s="76" t="s">
        <v>1332</v>
      </c>
      <c r="F661" s="76" t="s">
        <v>47</v>
      </c>
      <c r="G661" s="76" t="s">
        <v>34</v>
      </c>
      <c r="H661" s="76">
        <f>STOCK[[#This Row],[Precio Final]]</f>
        <v>20</v>
      </c>
      <c r="I661" s="76">
        <f>STOCK[[#This Row],[Precio Venta Ideal (x1.5)]]</f>
        <v>24.36</v>
      </c>
      <c r="J661" s="91">
        <v>1</v>
      </c>
      <c r="K661" s="91">
        <f>SUMIFS(VENTAS[Cantidad],VENTAS[Código del producto Vendido],STOCK[[#This Row],[Code]])</f>
        <v>1</v>
      </c>
      <c r="L661" s="91">
        <f>STOCK[[#This Row],[Entradas]]-STOCK[[#This Row],[Salidas]]</f>
        <v>0</v>
      </c>
      <c r="M661" s="76">
        <f>STOCK[[#This Row],[Precio Final]]*10%</f>
        <v>2</v>
      </c>
      <c r="N661" s="76">
        <v>0</v>
      </c>
      <c r="O661" s="76">
        <v>14.25</v>
      </c>
      <c r="P661" s="76">
        <v>12.53</v>
      </c>
      <c r="Q661" s="91">
        <v>0</v>
      </c>
      <c r="R661" s="76">
        <v>0</v>
      </c>
      <c r="S661" s="76">
        <v>1.71</v>
      </c>
      <c r="T661" s="76">
        <f>STOCK[[#This Row],[Costo Unitario (USD)]]+STOCK[[#This Row],[Costo Envío (USD)]]+STOCK[[#This Row],[Comisión 10%]]</f>
        <v>16.24</v>
      </c>
      <c r="U661" s="76">
        <f>STOCK[[#This Row],[Costo total]]*1.5</f>
        <v>24.36</v>
      </c>
      <c r="V661" s="76">
        <v>20</v>
      </c>
      <c r="W661" s="76">
        <f>STOCK[[#This Row],[Precio Final]]-STOCK[[#This Row],[Costo total]]</f>
        <v>3.76</v>
      </c>
      <c r="X661" s="76">
        <f>STOCK[[#This Row],[Ganancia Unitaria]]*STOCK[[#This Row],[Salidas]]</f>
        <v>3.76</v>
      </c>
      <c r="AA661" s="76">
        <f>STOCK[[#This Row],[Costo total]]*STOCK[[#This Row],[Entradas]]</f>
        <v>16.24</v>
      </c>
      <c r="AB661" s="76">
        <f>STOCK[[#This Row],[Stock Actual]]*STOCK[[#This Row],[Costo total]]</f>
        <v>0</v>
      </c>
    </row>
    <row r="662" s="77" customFormat="1" ht="50" customHeight="1" spans="1:28">
      <c r="A662" s="77" t="s">
        <v>1333</v>
      </c>
      <c r="B662" s="6"/>
      <c r="C662" s="77" t="s">
        <v>30</v>
      </c>
      <c r="D662" s="77" t="s">
        <v>173</v>
      </c>
      <c r="E662" s="77" t="s">
        <v>1334</v>
      </c>
      <c r="F662" s="77" t="s">
        <v>60</v>
      </c>
      <c r="G662" s="77" t="s">
        <v>34</v>
      </c>
      <c r="H662" s="77">
        <f>STOCK[[#This Row],[Precio Final]]</f>
        <v>20</v>
      </c>
      <c r="I662" s="77">
        <f>STOCK[[#This Row],[Precio Venta Ideal (x1.5)]]</f>
        <v>24.36</v>
      </c>
      <c r="J662" s="92">
        <v>1</v>
      </c>
      <c r="K662" s="92">
        <f>SUMIFS(VENTAS[Cantidad],VENTAS[Código del producto Vendido],STOCK[[#This Row],[Code]])</f>
        <v>1</v>
      </c>
      <c r="L662" s="92">
        <f>STOCK[[#This Row],[Entradas]]-STOCK[[#This Row],[Salidas]]</f>
        <v>0</v>
      </c>
      <c r="M662" s="77">
        <f>STOCK[[#This Row],[Precio Final]]*10%</f>
        <v>2</v>
      </c>
      <c r="N662" s="77">
        <v>0</v>
      </c>
      <c r="O662" s="77">
        <v>14.25</v>
      </c>
      <c r="P662" s="77">
        <v>12.53</v>
      </c>
      <c r="Q662" s="92">
        <v>0</v>
      </c>
      <c r="R662" s="77">
        <v>0</v>
      </c>
      <c r="S662" s="77">
        <v>1.71</v>
      </c>
      <c r="T662" s="76">
        <f>STOCK[[#This Row],[Costo Unitario (USD)]]+STOCK[[#This Row],[Costo Envío (USD)]]+STOCK[[#This Row],[Comisión 10%]]</f>
        <v>16.24</v>
      </c>
      <c r="U662" s="77">
        <f>STOCK[[#This Row],[Costo total]]*1.5</f>
        <v>24.36</v>
      </c>
      <c r="V662" s="77">
        <v>20</v>
      </c>
      <c r="W662" s="77">
        <f>STOCK[[#This Row],[Precio Final]]-STOCK[[#This Row],[Costo total]]</f>
        <v>3.76</v>
      </c>
      <c r="X662" s="77">
        <f>STOCK[[#This Row],[Ganancia Unitaria]]*STOCK[[#This Row],[Salidas]]</f>
        <v>3.76</v>
      </c>
      <c r="AA662" s="77">
        <f>STOCK[[#This Row],[Costo total]]*STOCK[[#This Row],[Entradas]]</f>
        <v>16.24</v>
      </c>
      <c r="AB662" s="77">
        <f>STOCK[[#This Row],[Stock Actual]]*STOCK[[#This Row],[Costo total]]</f>
        <v>0</v>
      </c>
    </row>
    <row r="663" s="76" customFormat="1" ht="50" customHeight="1" spans="1:28">
      <c r="A663" s="76" t="s">
        <v>1335</v>
      </c>
      <c r="B663" s="6"/>
      <c r="C663" s="76" t="s">
        <v>30</v>
      </c>
      <c r="D663" s="76" t="s">
        <v>173</v>
      </c>
      <c r="E663" s="76" t="s">
        <v>1336</v>
      </c>
      <c r="F663" s="76" t="s">
        <v>44</v>
      </c>
      <c r="G663" s="76" t="s">
        <v>34</v>
      </c>
      <c r="H663" s="76">
        <f>STOCK[[#This Row],[Precio Final]]</f>
        <v>25</v>
      </c>
      <c r="I663" s="76">
        <f>STOCK[[#This Row],[Precio Venta Ideal (x1.5)]]</f>
        <v>28.305</v>
      </c>
      <c r="J663" s="91">
        <v>2</v>
      </c>
      <c r="K663" s="91">
        <f>SUMIFS(VENTAS[Cantidad],VENTAS[Código del producto Vendido],STOCK[[#This Row],[Code]])</f>
        <v>2</v>
      </c>
      <c r="L663" s="91">
        <f>STOCK[[#This Row],[Entradas]]-STOCK[[#This Row],[Salidas]]</f>
        <v>0</v>
      </c>
      <c r="M663" s="76">
        <f>STOCK[[#This Row],[Precio Final]]*10%</f>
        <v>2.5</v>
      </c>
      <c r="N663" s="76">
        <v>0</v>
      </c>
      <c r="O663" s="76">
        <v>3.78</v>
      </c>
      <c r="P663" s="76">
        <v>14.66</v>
      </c>
      <c r="Q663" s="91">
        <v>0</v>
      </c>
      <c r="R663" s="76">
        <v>0</v>
      </c>
      <c r="S663" s="76">
        <v>1.71</v>
      </c>
      <c r="T663" s="76">
        <f>STOCK[[#This Row],[Costo Unitario (USD)]]+STOCK[[#This Row],[Costo Envío (USD)]]+STOCK[[#This Row],[Comisión 10%]]</f>
        <v>18.87</v>
      </c>
      <c r="U663" s="76">
        <f>STOCK[[#This Row],[Costo total]]*1.5</f>
        <v>28.305</v>
      </c>
      <c r="V663" s="76">
        <v>25</v>
      </c>
      <c r="W663" s="76">
        <f>STOCK[[#This Row],[Precio Final]]-STOCK[[#This Row],[Costo total]]</f>
        <v>6.13</v>
      </c>
      <c r="X663" s="76">
        <f>STOCK[[#This Row],[Ganancia Unitaria]]*STOCK[[#This Row],[Salidas]]</f>
        <v>12.26</v>
      </c>
      <c r="AA663" s="76">
        <f>STOCK[[#This Row],[Costo total]]*STOCK[[#This Row],[Entradas]]</f>
        <v>37.74</v>
      </c>
      <c r="AB663" s="76">
        <f>STOCK[[#This Row],[Stock Actual]]*STOCK[[#This Row],[Costo total]]</f>
        <v>0</v>
      </c>
    </row>
    <row r="664" s="77" customFormat="1" ht="50" customHeight="1" spans="1:28">
      <c r="A664" s="77" t="s">
        <v>1337</v>
      </c>
      <c r="B664" s="6"/>
      <c r="C664" s="77" t="s">
        <v>30</v>
      </c>
      <c r="D664" s="77" t="s">
        <v>173</v>
      </c>
      <c r="E664" s="77" t="s">
        <v>1338</v>
      </c>
      <c r="F664" s="77" t="s">
        <v>44</v>
      </c>
      <c r="G664" s="77" t="s">
        <v>34</v>
      </c>
      <c r="H664" s="77">
        <f>STOCK[[#This Row],[Precio Final]]</f>
        <v>25</v>
      </c>
      <c r="I664" s="77">
        <f>STOCK[[#This Row],[Precio Venta Ideal (x1.5)]]</f>
        <v>28.305</v>
      </c>
      <c r="J664" s="92">
        <v>2</v>
      </c>
      <c r="K664" s="92">
        <f>SUMIFS(VENTAS[Cantidad],VENTAS[Código del producto Vendido],STOCK[[#This Row],[Code]])</f>
        <v>1</v>
      </c>
      <c r="L664" s="92">
        <f>STOCK[[#This Row],[Entradas]]-STOCK[[#This Row],[Salidas]]</f>
        <v>1</v>
      </c>
      <c r="M664" s="77">
        <f>STOCK[[#This Row],[Precio Final]]*10%</f>
        <v>2.5</v>
      </c>
      <c r="N664" s="77">
        <v>0</v>
      </c>
      <c r="O664" s="77">
        <v>0</v>
      </c>
      <c r="P664" s="77">
        <v>14.66</v>
      </c>
      <c r="Q664" s="92">
        <v>0</v>
      </c>
      <c r="R664" s="77">
        <v>0</v>
      </c>
      <c r="S664" s="77">
        <v>1.71</v>
      </c>
      <c r="T664" s="76">
        <f>STOCK[[#This Row],[Costo Unitario (USD)]]+STOCK[[#This Row],[Costo Envío (USD)]]+STOCK[[#This Row],[Comisión 10%]]</f>
        <v>18.87</v>
      </c>
      <c r="U664" s="77">
        <f>STOCK[[#This Row],[Costo total]]*1.5</f>
        <v>28.305</v>
      </c>
      <c r="V664" s="77">
        <v>25</v>
      </c>
      <c r="W664" s="77">
        <f>STOCK[[#This Row],[Precio Final]]-STOCK[[#This Row],[Costo total]]</f>
        <v>6.13</v>
      </c>
      <c r="X664" s="77">
        <f>STOCK[[#This Row],[Ganancia Unitaria]]*STOCK[[#This Row],[Salidas]]</f>
        <v>6.13</v>
      </c>
      <c r="AA664" s="77">
        <f>STOCK[[#This Row],[Costo total]]*STOCK[[#This Row],[Entradas]]</f>
        <v>37.74</v>
      </c>
      <c r="AB664" s="77">
        <f>STOCK[[#This Row],[Stock Actual]]*STOCK[[#This Row],[Costo total]]</f>
        <v>18.87</v>
      </c>
    </row>
    <row r="665" s="76" customFormat="1" ht="50" customHeight="1" spans="1:28">
      <c r="A665" s="76" t="s">
        <v>1339</v>
      </c>
      <c r="B665" s="6"/>
      <c r="C665" s="76" t="s">
        <v>30</v>
      </c>
      <c r="D665" s="76" t="s">
        <v>173</v>
      </c>
      <c r="E665" s="76" t="s">
        <v>1340</v>
      </c>
      <c r="F665" s="76" t="s">
        <v>47</v>
      </c>
      <c r="G665" s="76" t="s">
        <v>34</v>
      </c>
      <c r="H665" s="76">
        <f>STOCK[[#This Row],[Precio Final]]</f>
        <v>25</v>
      </c>
      <c r="I665" s="76">
        <f>STOCK[[#This Row],[Precio Venta Ideal (x1.5)]]</f>
        <v>27.225</v>
      </c>
      <c r="J665" s="91">
        <v>2</v>
      </c>
      <c r="K665" s="91">
        <f>SUMIFS(VENTAS[Cantidad],VENTAS[Código del producto Vendido],STOCK[[#This Row],[Code]])</f>
        <v>2</v>
      </c>
      <c r="L665" s="91">
        <f>STOCK[[#This Row],[Entradas]]-STOCK[[#This Row],[Salidas]]</f>
        <v>0</v>
      </c>
      <c r="M665" s="76">
        <f>STOCK[[#This Row],[Precio Final]]*10%</f>
        <v>2.5</v>
      </c>
      <c r="N665" s="76">
        <v>0</v>
      </c>
      <c r="O665" s="76">
        <v>0</v>
      </c>
      <c r="P665" s="76">
        <v>13.94</v>
      </c>
      <c r="Q665" s="91">
        <v>0</v>
      </c>
      <c r="R665" s="76">
        <v>0</v>
      </c>
      <c r="S665" s="76">
        <v>1.71</v>
      </c>
      <c r="T665" s="76">
        <f>STOCK[[#This Row],[Costo Unitario (USD)]]+STOCK[[#This Row],[Costo Envío (USD)]]+STOCK[[#This Row],[Comisión 10%]]</f>
        <v>18.15</v>
      </c>
      <c r="U665" s="76">
        <f>STOCK[[#This Row],[Costo total]]*1.5</f>
        <v>27.225</v>
      </c>
      <c r="V665" s="76">
        <v>25</v>
      </c>
      <c r="W665" s="76">
        <f>STOCK[[#This Row],[Precio Final]]-STOCK[[#This Row],[Costo total]]</f>
        <v>6.85</v>
      </c>
      <c r="X665" s="76">
        <f>STOCK[[#This Row],[Ganancia Unitaria]]*STOCK[[#This Row],[Salidas]]</f>
        <v>13.7</v>
      </c>
      <c r="AA665" s="76">
        <f>STOCK[[#This Row],[Costo total]]*STOCK[[#This Row],[Entradas]]</f>
        <v>36.3</v>
      </c>
      <c r="AB665" s="76">
        <f>STOCK[[#This Row],[Stock Actual]]*STOCK[[#This Row],[Costo total]]</f>
        <v>0</v>
      </c>
    </row>
    <row r="666" s="77" customFormat="1" ht="50" customHeight="1" spans="1:28">
      <c r="A666" s="77" t="s">
        <v>1341</v>
      </c>
      <c r="B666" s="6"/>
      <c r="C666" s="77" t="s">
        <v>30</v>
      </c>
      <c r="D666" s="77" t="s">
        <v>173</v>
      </c>
      <c r="E666" s="77" t="s">
        <v>1340</v>
      </c>
      <c r="F666" s="77" t="s">
        <v>38</v>
      </c>
      <c r="G666" s="77" t="s">
        <v>34</v>
      </c>
      <c r="H666" s="77">
        <f>STOCK[[#This Row],[Precio Final]]</f>
        <v>25</v>
      </c>
      <c r="I666" s="77">
        <f>STOCK[[#This Row],[Precio Venta Ideal (x1.5)]]</f>
        <v>27.225</v>
      </c>
      <c r="J666" s="92">
        <v>2</v>
      </c>
      <c r="K666" s="92">
        <f>SUMIFS(VENTAS[Cantidad],VENTAS[Código del producto Vendido],STOCK[[#This Row],[Code]])</f>
        <v>2</v>
      </c>
      <c r="L666" s="92">
        <f>STOCK[[#This Row],[Entradas]]-STOCK[[#This Row],[Salidas]]</f>
        <v>0</v>
      </c>
      <c r="M666" s="77">
        <f>STOCK[[#This Row],[Precio Final]]*10%</f>
        <v>2.5</v>
      </c>
      <c r="N666" s="77">
        <v>0</v>
      </c>
      <c r="O666" s="77">
        <v>0</v>
      </c>
      <c r="P666" s="77">
        <v>13.94</v>
      </c>
      <c r="Q666" s="92">
        <v>0</v>
      </c>
      <c r="R666" s="77">
        <v>0</v>
      </c>
      <c r="S666" s="77">
        <v>1.71</v>
      </c>
      <c r="T666" s="76">
        <f>STOCK[[#This Row],[Costo Unitario (USD)]]+STOCK[[#This Row],[Costo Envío (USD)]]+STOCK[[#This Row],[Comisión 10%]]</f>
        <v>18.15</v>
      </c>
      <c r="U666" s="77">
        <f>STOCK[[#This Row],[Costo total]]*1.5</f>
        <v>27.225</v>
      </c>
      <c r="V666" s="77">
        <v>25</v>
      </c>
      <c r="W666" s="77">
        <f>STOCK[[#This Row],[Precio Final]]-STOCK[[#This Row],[Costo total]]</f>
        <v>6.85</v>
      </c>
      <c r="X666" s="77">
        <f>STOCK[[#This Row],[Ganancia Unitaria]]*STOCK[[#This Row],[Salidas]]</f>
        <v>13.7</v>
      </c>
      <c r="AA666" s="77">
        <f>STOCK[[#This Row],[Costo total]]*STOCK[[#This Row],[Entradas]]</f>
        <v>36.3</v>
      </c>
      <c r="AB666" s="77">
        <f>STOCK[[#This Row],[Stock Actual]]*STOCK[[#This Row],[Costo total]]</f>
        <v>0</v>
      </c>
    </row>
    <row r="667" s="76" customFormat="1" ht="50" customHeight="1" spans="1:28">
      <c r="A667" s="76" t="s">
        <v>1342</v>
      </c>
      <c r="B667" s="6" t="s">
        <v>1343</v>
      </c>
      <c r="C667" s="76" t="s">
        <v>30</v>
      </c>
      <c r="D667" s="76" t="s">
        <v>173</v>
      </c>
      <c r="E667" s="76" t="s">
        <v>1344</v>
      </c>
      <c r="F667" s="76" t="s">
        <v>1345</v>
      </c>
      <c r="G667" s="76" t="s">
        <v>34</v>
      </c>
      <c r="H667" s="76">
        <f>STOCK[[#This Row],[Precio Final]]</f>
        <v>18</v>
      </c>
      <c r="I667" s="76">
        <f>STOCK[[#This Row],[Precio Venta Ideal (x1.5)]]</f>
        <v>19.2</v>
      </c>
      <c r="J667" s="91">
        <v>0</v>
      </c>
      <c r="K667" s="91">
        <f>SUMIFS(VENTAS[Cantidad],VENTAS[Código del producto Vendido],STOCK[[#This Row],[Code]])</f>
        <v>0</v>
      </c>
      <c r="L667" s="91">
        <f>STOCK[[#This Row],[Entradas]]-STOCK[[#This Row],[Salidas]]</f>
        <v>0</v>
      </c>
      <c r="M667" s="76">
        <f>STOCK[[#This Row],[Precio Final]]*10%</f>
        <v>1.8</v>
      </c>
      <c r="N667" s="76">
        <v>0</v>
      </c>
      <c r="O667" s="76">
        <v>28.5</v>
      </c>
      <c r="P667" s="76">
        <v>8</v>
      </c>
      <c r="Q667" s="91">
        <v>0</v>
      </c>
      <c r="R667" s="76">
        <v>0</v>
      </c>
      <c r="S667" s="76">
        <v>3</v>
      </c>
      <c r="T667" s="76">
        <f>STOCK[[#This Row],[Costo Unitario (USD)]]+STOCK[[#This Row],[Costo Envío (USD)]]+STOCK[[#This Row],[Comisión 10%]]</f>
        <v>12.8</v>
      </c>
      <c r="U667" s="76">
        <f>STOCK[[#This Row],[Costo total]]*1.5</f>
        <v>19.2</v>
      </c>
      <c r="V667" s="76">
        <v>18</v>
      </c>
      <c r="W667" s="76">
        <f>STOCK[[#This Row],[Precio Final]]-STOCK[[#This Row],[Costo total]]</f>
        <v>5.2</v>
      </c>
      <c r="X667" s="76">
        <f>STOCK[[#This Row],[Ganancia Unitaria]]*STOCK[[#This Row],[Salidas]]</f>
        <v>0</v>
      </c>
      <c r="AA667" s="76">
        <f>STOCK[[#This Row],[Costo total]]*STOCK[[#This Row],[Entradas]]</f>
        <v>0</v>
      </c>
      <c r="AB667" s="76">
        <f>STOCK[[#This Row],[Stock Actual]]*STOCK[[#This Row],[Costo total]]</f>
        <v>0</v>
      </c>
    </row>
    <row r="668" s="77" customFormat="1" ht="50" customHeight="1" spans="1:28">
      <c r="A668" s="77" t="s">
        <v>1346</v>
      </c>
      <c r="B668" s="6"/>
      <c r="C668" s="77" t="s">
        <v>30</v>
      </c>
      <c r="D668" s="77" t="s">
        <v>173</v>
      </c>
      <c r="E668" s="77" t="s">
        <v>1347</v>
      </c>
      <c r="F668" s="77" t="s">
        <v>60</v>
      </c>
      <c r="G668" s="77" t="s">
        <v>34</v>
      </c>
      <c r="H668" s="77">
        <f>STOCK[[#This Row],[Precio Final]]</f>
        <v>22</v>
      </c>
      <c r="I668" s="77">
        <f>STOCK[[#This Row],[Precio Venta Ideal (x1.5)]]</f>
        <v>25.8</v>
      </c>
      <c r="J668" s="92">
        <v>1</v>
      </c>
      <c r="K668" s="92">
        <f>SUMIFS(VENTAS[Cantidad],VENTAS[Código del producto Vendido],STOCK[[#This Row],[Code]])</f>
        <v>1</v>
      </c>
      <c r="L668" s="92">
        <f>STOCK[[#This Row],[Entradas]]-STOCK[[#This Row],[Salidas]]</f>
        <v>0</v>
      </c>
      <c r="M668" s="77">
        <f>STOCK[[#This Row],[Precio Final]]*10%</f>
        <v>2.2</v>
      </c>
      <c r="N668" s="77">
        <v>0</v>
      </c>
      <c r="O668" s="77">
        <v>19.38</v>
      </c>
      <c r="P668" s="77">
        <v>12</v>
      </c>
      <c r="Q668" s="92">
        <v>0</v>
      </c>
      <c r="R668" s="77">
        <v>0</v>
      </c>
      <c r="S668" s="77">
        <v>3</v>
      </c>
      <c r="T668" s="76">
        <f>STOCK[[#This Row],[Costo Unitario (USD)]]+STOCK[[#This Row],[Costo Envío (USD)]]+STOCK[[#This Row],[Comisión 10%]]</f>
        <v>17.2</v>
      </c>
      <c r="U668" s="77">
        <f>STOCK[[#This Row],[Costo total]]*1.5</f>
        <v>25.8</v>
      </c>
      <c r="V668" s="77">
        <v>22</v>
      </c>
      <c r="W668" s="77">
        <f>STOCK[[#This Row],[Precio Final]]-STOCK[[#This Row],[Costo total]]</f>
        <v>4.8</v>
      </c>
      <c r="X668" s="77">
        <f>STOCK[[#This Row],[Ganancia Unitaria]]*STOCK[[#This Row],[Salidas]]</f>
        <v>4.8</v>
      </c>
      <c r="AA668" s="77">
        <f>STOCK[[#This Row],[Costo total]]*STOCK[[#This Row],[Entradas]]</f>
        <v>17.2</v>
      </c>
      <c r="AB668" s="77">
        <f>STOCK[[#This Row],[Stock Actual]]*STOCK[[#This Row],[Costo total]]</f>
        <v>0</v>
      </c>
    </row>
    <row r="669" s="76" customFormat="1" ht="50" customHeight="1" spans="1:28">
      <c r="A669" s="76" t="s">
        <v>1348</v>
      </c>
      <c r="B669" s="6"/>
      <c r="C669" s="76" t="s">
        <v>30</v>
      </c>
      <c r="D669" s="76" t="s">
        <v>173</v>
      </c>
      <c r="E669" s="76" t="s">
        <v>1347</v>
      </c>
      <c r="F669" s="76" t="s">
        <v>38</v>
      </c>
      <c r="G669" s="76" t="s">
        <v>702</v>
      </c>
      <c r="H669" s="76">
        <f>STOCK[[#This Row],[Precio Final]]</f>
        <v>22</v>
      </c>
      <c r="I669" s="76">
        <f>STOCK[[#This Row],[Precio Venta Ideal (x1.5)]]</f>
        <v>25.8</v>
      </c>
      <c r="J669" s="91">
        <v>1</v>
      </c>
      <c r="K669" s="91">
        <f>SUMIFS(VENTAS[Cantidad],VENTAS[Código del producto Vendido],STOCK[[#This Row],[Code]])</f>
        <v>1</v>
      </c>
      <c r="L669" s="91">
        <f>STOCK[[#This Row],[Entradas]]-STOCK[[#This Row],[Salidas]]</f>
        <v>0</v>
      </c>
      <c r="M669" s="76">
        <f>STOCK[[#This Row],[Precio Final]]*10%</f>
        <v>2.2</v>
      </c>
      <c r="N669" s="76">
        <v>0</v>
      </c>
      <c r="O669" s="76">
        <v>19.38</v>
      </c>
      <c r="P669" s="76">
        <v>12</v>
      </c>
      <c r="Q669" s="91">
        <v>0</v>
      </c>
      <c r="R669" s="76">
        <v>0</v>
      </c>
      <c r="S669" s="76">
        <v>3</v>
      </c>
      <c r="T669" s="76">
        <f>STOCK[[#This Row],[Costo Unitario (USD)]]+STOCK[[#This Row],[Costo Envío (USD)]]+STOCK[[#This Row],[Comisión 10%]]</f>
        <v>17.2</v>
      </c>
      <c r="U669" s="76">
        <f>STOCK[[#This Row],[Costo total]]*1.5</f>
        <v>25.8</v>
      </c>
      <c r="V669" s="76">
        <v>22</v>
      </c>
      <c r="W669" s="76">
        <f>STOCK[[#This Row],[Precio Final]]-STOCK[[#This Row],[Costo total]]</f>
        <v>4.8</v>
      </c>
      <c r="X669" s="76">
        <f>STOCK[[#This Row],[Ganancia Unitaria]]*STOCK[[#This Row],[Salidas]]</f>
        <v>4.8</v>
      </c>
      <c r="AA669" s="76">
        <f>STOCK[[#This Row],[Costo total]]*STOCK[[#This Row],[Entradas]]</f>
        <v>17.2</v>
      </c>
      <c r="AB669" s="76">
        <f>STOCK[[#This Row],[Stock Actual]]*STOCK[[#This Row],[Costo total]]</f>
        <v>0</v>
      </c>
    </row>
    <row r="670" s="77" customFormat="1" ht="50" customHeight="1" spans="1:28">
      <c r="A670" s="77" t="s">
        <v>1349</v>
      </c>
      <c r="B670" s="6"/>
      <c r="C670" s="77" t="s">
        <v>30</v>
      </c>
      <c r="D670" s="77" t="s">
        <v>173</v>
      </c>
      <c r="E670" s="77" t="s">
        <v>1350</v>
      </c>
      <c r="F670" s="77" t="s">
        <v>38</v>
      </c>
      <c r="G670" s="77" t="s">
        <v>702</v>
      </c>
      <c r="H670" s="77">
        <f>STOCK[[#This Row],[Precio Final]]</f>
        <v>18</v>
      </c>
      <c r="I670" s="77">
        <f>STOCK[[#This Row],[Precio Venta Ideal (x1.5)]]</f>
        <v>17.7</v>
      </c>
      <c r="J670" s="92">
        <v>0</v>
      </c>
      <c r="K670" s="92">
        <f>SUMIFS(VENTAS[Cantidad],VENTAS[Código del producto Vendido],STOCK[[#This Row],[Code]])</f>
        <v>0</v>
      </c>
      <c r="L670" s="92">
        <f>STOCK[[#This Row],[Entradas]]-STOCK[[#This Row],[Salidas]]</f>
        <v>0</v>
      </c>
      <c r="M670" s="77">
        <f>STOCK[[#This Row],[Precio Final]]*10%</f>
        <v>1.8</v>
      </c>
      <c r="N670" s="77">
        <v>0</v>
      </c>
      <c r="O670" s="77">
        <v>9.38</v>
      </c>
      <c r="P670" s="77">
        <v>8</v>
      </c>
      <c r="Q670" s="92">
        <v>0</v>
      </c>
      <c r="R670" s="77">
        <v>0</v>
      </c>
      <c r="S670" s="77">
        <v>2</v>
      </c>
      <c r="T670" s="76">
        <f>STOCK[[#This Row],[Costo Unitario (USD)]]+STOCK[[#This Row],[Costo Envío (USD)]]+STOCK[[#This Row],[Comisión 10%]]</f>
        <v>11.8</v>
      </c>
      <c r="U670" s="77">
        <f>STOCK[[#This Row],[Costo total]]*1.5</f>
        <v>17.7</v>
      </c>
      <c r="V670" s="77">
        <v>18</v>
      </c>
      <c r="W670" s="77">
        <f>STOCK[[#This Row],[Precio Final]]-STOCK[[#This Row],[Costo total]]</f>
        <v>6.2</v>
      </c>
      <c r="X670" s="77">
        <f>STOCK[[#This Row],[Ganancia Unitaria]]*STOCK[[#This Row],[Salidas]]</f>
        <v>0</v>
      </c>
      <c r="AA670" s="77">
        <f>STOCK[[#This Row],[Costo total]]*STOCK[[#This Row],[Entradas]]</f>
        <v>0</v>
      </c>
      <c r="AB670" s="77">
        <f>STOCK[[#This Row],[Stock Actual]]*STOCK[[#This Row],[Costo total]]</f>
        <v>0</v>
      </c>
    </row>
    <row r="671" s="76" customFormat="1" ht="50" customHeight="1" spans="1:28">
      <c r="A671" s="76" t="s">
        <v>1351</v>
      </c>
      <c r="B671" s="6"/>
      <c r="C671" s="76" t="s">
        <v>30</v>
      </c>
      <c r="D671" s="76" t="s">
        <v>173</v>
      </c>
      <c r="E671" s="76" t="s">
        <v>1352</v>
      </c>
      <c r="F671" s="76" t="s">
        <v>60</v>
      </c>
      <c r="G671" s="76" t="s">
        <v>702</v>
      </c>
      <c r="H671" s="76">
        <f>STOCK[[#This Row],[Precio Final]]</f>
        <v>22</v>
      </c>
      <c r="I671" s="76">
        <f>STOCK[[#This Row],[Precio Venta Ideal (x1.5)]]</f>
        <v>33.3</v>
      </c>
      <c r="J671" s="91">
        <v>2</v>
      </c>
      <c r="K671" s="91">
        <f>SUMIFS(VENTAS[Cantidad],VENTAS[Código del producto Vendido],STOCK[[#This Row],[Code]])</f>
        <v>2</v>
      </c>
      <c r="L671" s="91">
        <f>STOCK[[#This Row],[Entradas]]-STOCK[[#This Row],[Salidas]]</f>
        <v>0</v>
      </c>
      <c r="M671" s="76">
        <f>STOCK[[#This Row],[Precio Final]]*10%</f>
        <v>2.2</v>
      </c>
      <c r="N671" s="76">
        <v>0</v>
      </c>
      <c r="O671" s="76">
        <v>17.5</v>
      </c>
      <c r="P671" s="76">
        <v>16</v>
      </c>
      <c r="Q671" s="91">
        <v>0</v>
      </c>
      <c r="R671" s="76">
        <v>0</v>
      </c>
      <c r="S671" s="76">
        <v>4</v>
      </c>
      <c r="T671" s="76">
        <f>STOCK[[#This Row],[Costo Unitario (USD)]]+STOCK[[#This Row],[Costo Envío (USD)]]+STOCK[[#This Row],[Comisión 10%]]</f>
        <v>22.2</v>
      </c>
      <c r="U671" s="76">
        <f>STOCK[[#This Row],[Costo total]]*1.5</f>
        <v>33.3</v>
      </c>
      <c r="V671" s="76">
        <v>22</v>
      </c>
      <c r="W671" s="76">
        <f>STOCK[[#This Row],[Precio Final]]-STOCK[[#This Row],[Costo total]]</f>
        <v>-0.199999999999999</v>
      </c>
      <c r="X671" s="76">
        <f>STOCK[[#This Row],[Ganancia Unitaria]]*STOCK[[#This Row],[Salidas]]</f>
        <v>-0.399999999999999</v>
      </c>
      <c r="AA671" s="76">
        <f>STOCK[[#This Row],[Costo total]]*STOCK[[#This Row],[Entradas]]</f>
        <v>44.4</v>
      </c>
      <c r="AB671" s="76">
        <f>STOCK[[#This Row],[Stock Actual]]*STOCK[[#This Row],[Costo total]]</f>
        <v>0</v>
      </c>
    </row>
    <row r="672" s="77" customFormat="1" ht="50" customHeight="1" spans="1:28">
      <c r="A672" s="77" t="s">
        <v>1353</v>
      </c>
      <c r="B672" s="6"/>
      <c r="C672" s="77" t="s">
        <v>30</v>
      </c>
      <c r="D672" s="77" t="s">
        <v>173</v>
      </c>
      <c r="E672" s="77" t="s">
        <v>1354</v>
      </c>
      <c r="F672" s="77" t="s">
        <v>38</v>
      </c>
      <c r="G672" s="77" t="s">
        <v>702</v>
      </c>
      <c r="H672" s="77">
        <f>STOCK[[#This Row],[Precio Final]]</f>
        <v>45</v>
      </c>
      <c r="I672" s="77">
        <f>STOCK[[#This Row],[Precio Venta Ideal (x1.5)]]</f>
        <v>50.25</v>
      </c>
      <c r="J672" s="92">
        <v>0</v>
      </c>
      <c r="K672" s="92">
        <f>SUMIFS(VENTAS[Cantidad],VENTAS[Código del producto Vendido],STOCK[[#This Row],[Code]])</f>
        <v>0</v>
      </c>
      <c r="L672" s="92">
        <f>STOCK[[#This Row],[Entradas]]-STOCK[[#This Row],[Salidas]]</f>
        <v>0</v>
      </c>
      <c r="M672" s="77">
        <f>STOCK[[#This Row],[Precio Final]]*10%</f>
        <v>4.5</v>
      </c>
      <c r="N672" s="77">
        <v>0</v>
      </c>
      <c r="O672" s="77">
        <v>28.13</v>
      </c>
      <c r="P672" s="77">
        <v>25</v>
      </c>
      <c r="Q672" s="92">
        <v>0</v>
      </c>
      <c r="R672" s="77">
        <v>0</v>
      </c>
      <c r="S672" s="77">
        <v>4</v>
      </c>
      <c r="T672" s="76">
        <f>STOCK[[#This Row],[Costo Unitario (USD)]]+STOCK[[#This Row],[Costo Envío (USD)]]+STOCK[[#This Row],[Comisión 10%]]</f>
        <v>33.5</v>
      </c>
      <c r="U672" s="77">
        <f>STOCK[[#This Row],[Costo total]]*1.5</f>
        <v>50.25</v>
      </c>
      <c r="V672" s="77">
        <v>45</v>
      </c>
      <c r="W672" s="77">
        <f>STOCK[[#This Row],[Precio Final]]-STOCK[[#This Row],[Costo total]]</f>
        <v>11.5</v>
      </c>
      <c r="X672" s="77">
        <f>STOCK[[#This Row],[Ganancia Unitaria]]*STOCK[[#This Row],[Salidas]]</f>
        <v>0</v>
      </c>
      <c r="AA672" s="77">
        <f>STOCK[[#This Row],[Costo total]]*STOCK[[#This Row],[Entradas]]</f>
        <v>0</v>
      </c>
      <c r="AB672" s="77">
        <f>STOCK[[#This Row],[Stock Actual]]*STOCK[[#This Row],[Costo total]]</f>
        <v>0</v>
      </c>
    </row>
    <row r="673" s="76" customFormat="1" ht="50" customHeight="1" spans="1:28">
      <c r="A673" s="76" t="s">
        <v>1355</v>
      </c>
      <c r="B673" s="6"/>
      <c r="C673" s="76" t="s">
        <v>30</v>
      </c>
      <c r="D673" s="76" t="s">
        <v>778</v>
      </c>
      <c r="E673" s="76" t="s">
        <v>1356</v>
      </c>
      <c r="F673" s="76" t="s">
        <v>1045</v>
      </c>
      <c r="G673" s="76" t="s">
        <v>702</v>
      </c>
      <c r="H673" s="76">
        <f>STOCK[[#This Row],[Precio Final]]</f>
        <v>30</v>
      </c>
      <c r="I673" s="76">
        <f>STOCK[[#This Row],[Precio Venta Ideal (x1.5)]]</f>
        <v>39</v>
      </c>
      <c r="J673" s="91">
        <v>1</v>
      </c>
      <c r="K673" s="91">
        <f>SUMIFS(VENTAS[Cantidad],VENTAS[Código del producto Vendido],STOCK[[#This Row],[Code]])</f>
        <v>0</v>
      </c>
      <c r="L673" s="91">
        <f>STOCK[[#This Row],[Entradas]]-STOCK[[#This Row],[Salidas]]</f>
        <v>1</v>
      </c>
      <c r="M673" s="76">
        <f>STOCK[[#This Row],[Precio Final]]*10%</f>
        <v>3</v>
      </c>
      <c r="N673" s="76">
        <v>0</v>
      </c>
      <c r="O673" s="76">
        <v>0</v>
      </c>
      <c r="P673" s="76">
        <v>19</v>
      </c>
      <c r="Q673" s="91">
        <v>0</v>
      </c>
      <c r="R673" s="76">
        <v>0</v>
      </c>
      <c r="S673" s="76">
        <v>4</v>
      </c>
      <c r="T673" s="76">
        <f>STOCK[[#This Row],[Costo Unitario (USD)]]+STOCK[[#This Row],[Costo Envío (USD)]]+STOCK[[#This Row],[Comisión 10%]]</f>
        <v>26</v>
      </c>
      <c r="U673" s="76">
        <f>STOCK[[#This Row],[Costo total]]*1.5</f>
        <v>39</v>
      </c>
      <c r="V673" s="76">
        <v>30</v>
      </c>
      <c r="W673" s="76">
        <f>STOCK[[#This Row],[Precio Final]]-STOCK[[#This Row],[Costo total]]</f>
        <v>4</v>
      </c>
      <c r="X673" s="76">
        <f>STOCK[[#This Row],[Ganancia Unitaria]]*STOCK[[#This Row],[Salidas]]</f>
        <v>0</v>
      </c>
      <c r="AA673" s="76">
        <f>STOCK[[#This Row],[Costo total]]*STOCK[[#This Row],[Entradas]]</f>
        <v>26</v>
      </c>
      <c r="AB673" s="76">
        <f>STOCK[[#This Row],[Stock Actual]]*STOCK[[#This Row],[Costo total]]</f>
        <v>26</v>
      </c>
    </row>
    <row r="674" s="77" customFormat="1" ht="50" customHeight="1" spans="1:28">
      <c r="A674" s="77" t="s">
        <v>1357</v>
      </c>
      <c r="B674" s="6"/>
      <c r="C674" s="77" t="s">
        <v>30</v>
      </c>
      <c r="D674" s="77" t="s">
        <v>173</v>
      </c>
      <c r="E674" s="77" t="s">
        <v>1358</v>
      </c>
      <c r="F674" s="77" t="s">
        <v>1045</v>
      </c>
      <c r="G674" s="77" t="s">
        <v>702</v>
      </c>
      <c r="H674" s="77">
        <f>STOCK[[#This Row],[Precio Final]]</f>
        <v>25</v>
      </c>
      <c r="I674" s="77">
        <f>STOCK[[#This Row],[Precio Venta Ideal (x1.5)]]</f>
        <v>26.925</v>
      </c>
      <c r="J674" s="92">
        <v>1</v>
      </c>
      <c r="K674" s="92">
        <f>SUMIFS(VENTAS[Cantidad],VENTAS[Código del producto Vendido],STOCK[[#This Row],[Code]])</f>
        <v>1</v>
      </c>
      <c r="L674" s="92">
        <f>STOCK[[#This Row],[Entradas]]-STOCK[[#This Row],[Salidas]]</f>
        <v>0</v>
      </c>
      <c r="M674" s="77">
        <f>STOCK[[#This Row],[Precio Final]]*10%</f>
        <v>2.5</v>
      </c>
      <c r="N674" s="77">
        <v>0</v>
      </c>
      <c r="O674" s="77">
        <v>12.44</v>
      </c>
      <c r="P674" s="77">
        <v>12.45</v>
      </c>
      <c r="Q674" s="92">
        <v>0</v>
      </c>
      <c r="R674" s="77">
        <v>0</v>
      </c>
      <c r="S674" s="77">
        <v>3</v>
      </c>
      <c r="T674" s="76">
        <f>STOCK[[#This Row],[Costo Unitario (USD)]]+STOCK[[#This Row],[Costo Envío (USD)]]+STOCK[[#This Row],[Comisión 10%]]</f>
        <v>17.95</v>
      </c>
      <c r="U674" s="77">
        <f>STOCK[[#This Row],[Costo total]]*1.5</f>
        <v>26.925</v>
      </c>
      <c r="V674" s="77">
        <v>25</v>
      </c>
      <c r="W674" s="77">
        <f>STOCK[[#This Row],[Precio Final]]-STOCK[[#This Row],[Costo total]]</f>
        <v>7.05</v>
      </c>
      <c r="X674" s="77">
        <f>STOCK[[#This Row],[Ganancia Unitaria]]*STOCK[[#This Row],[Salidas]]</f>
        <v>7.05</v>
      </c>
      <c r="AA674" s="77">
        <f>STOCK[[#This Row],[Costo total]]*STOCK[[#This Row],[Entradas]]</f>
        <v>17.95</v>
      </c>
      <c r="AB674" s="77">
        <f>STOCK[[#This Row],[Stock Actual]]*STOCK[[#This Row],[Costo total]]</f>
        <v>0</v>
      </c>
    </row>
    <row r="675" s="76" customFormat="1" ht="50" customHeight="1" spans="1:28">
      <c r="A675" s="76" t="s">
        <v>1359</v>
      </c>
      <c r="B675" s="6"/>
      <c r="C675" s="76" t="s">
        <v>30</v>
      </c>
      <c r="D675" s="76" t="s">
        <v>1360</v>
      </c>
      <c r="E675" s="76" t="s">
        <v>1361</v>
      </c>
      <c r="F675" s="76" t="s">
        <v>44</v>
      </c>
      <c r="G675" s="76" t="s">
        <v>702</v>
      </c>
      <c r="H675" s="76">
        <f>STOCK[[#This Row],[Precio Final]]</f>
        <v>25</v>
      </c>
      <c r="I675" s="76">
        <f>STOCK[[#This Row],[Precio Venta Ideal (x1.5)]]</f>
        <v>26.925</v>
      </c>
      <c r="J675" s="91">
        <v>1</v>
      </c>
      <c r="K675" s="91">
        <f>SUMIFS(VENTAS[Cantidad],VENTAS[Código del producto Vendido],STOCK[[#This Row],[Code]])</f>
        <v>0</v>
      </c>
      <c r="L675" s="91">
        <f>STOCK[[#This Row],[Entradas]]-STOCK[[#This Row],[Salidas]]</f>
        <v>1</v>
      </c>
      <c r="M675" s="76">
        <f>STOCK[[#This Row],[Precio Final]]*10%</f>
        <v>2.5</v>
      </c>
      <c r="N675" s="76">
        <v>0</v>
      </c>
      <c r="O675" s="76">
        <v>12.44</v>
      </c>
      <c r="P675" s="76">
        <v>12.45</v>
      </c>
      <c r="Q675" s="91">
        <v>0</v>
      </c>
      <c r="R675" s="76">
        <v>0</v>
      </c>
      <c r="S675" s="76">
        <v>3</v>
      </c>
      <c r="T675" s="76">
        <f>STOCK[[#This Row],[Costo Unitario (USD)]]+STOCK[[#This Row],[Costo Envío (USD)]]+STOCK[[#This Row],[Comisión 10%]]</f>
        <v>17.95</v>
      </c>
      <c r="U675" s="76">
        <f>STOCK[[#This Row],[Costo total]]*1.5</f>
        <v>26.925</v>
      </c>
      <c r="V675" s="76">
        <v>25</v>
      </c>
      <c r="W675" s="76">
        <f>STOCK[[#This Row],[Precio Final]]-STOCK[[#This Row],[Costo total]]</f>
        <v>7.05</v>
      </c>
      <c r="X675" s="76">
        <f>STOCK[[#This Row],[Ganancia Unitaria]]*STOCK[[#This Row],[Salidas]]</f>
        <v>0</v>
      </c>
      <c r="AA675" s="76">
        <f>STOCK[[#This Row],[Costo total]]*STOCK[[#This Row],[Entradas]]</f>
        <v>17.95</v>
      </c>
      <c r="AB675" s="76">
        <f>STOCK[[#This Row],[Stock Actual]]*STOCK[[#This Row],[Costo total]]</f>
        <v>17.95</v>
      </c>
    </row>
    <row r="676" s="77" customFormat="1" ht="50" customHeight="1" spans="1:28">
      <c r="A676" s="77" t="s">
        <v>1362</v>
      </c>
      <c r="B676" s="6"/>
      <c r="C676" s="77" t="s">
        <v>30</v>
      </c>
      <c r="D676" s="77" t="s">
        <v>778</v>
      </c>
      <c r="E676" s="76" t="s">
        <v>1361</v>
      </c>
      <c r="F676" s="77" t="s">
        <v>47</v>
      </c>
      <c r="G676" s="77" t="s">
        <v>702</v>
      </c>
      <c r="H676" s="77">
        <f>STOCK[[#This Row],[Precio Final]]</f>
        <v>25</v>
      </c>
      <c r="I676" s="77">
        <f>STOCK[[#This Row],[Precio Venta Ideal (x1.5)]]</f>
        <v>26.925</v>
      </c>
      <c r="J676" s="92">
        <v>1</v>
      </c>
      <c r="K676" s="92">
        <f>SUMIFS(VENTAS[Cantidad],VENTAS[Código del producto Vendido],STOCK[[#This Row],[Code]])</f>
        <v>0</v>
      </c>
      <c r="L676" s="92">
        <f>STOCK[[#This Row],[Entradas]]-STOCK[[#This Row],[Salidas]]</f>
        <v>1</v>
      </c>
      <c r="M676" s="77">
        <f>STOCK[[#This Row],[Precio Final]]*10%</f>
        <v>2.5</v>
      </c>
      <c r="N676" s="77">
        <v>0</v>
      </c>
      <c r="O676" s="77">
        <v>12.44</v>
      </c>
      <c r="P676" s="77">
        <v>12.45</v>
      </c>
      <c r="Q676" s="92">
        <v>0</v>
      </c>
      <c r="R676" s="77">
        <v>0</v>
      </c>
      <c r="S676" s="77">
        <v>3</v>
      </c>
      <c r="T676" s="76">
        <f>STOCK[[#This Row],[Costo Unitario (USD)]]+STOCK[[#This Row],[Costo Envío (USD)]]+STOCK[[#This Row],[Comisión 10%]]</f>
        <v>17.95</v>
      </c>
      <c r="U676" s="77">
        <f>STOCK[[#This Row],[Costo total]]*1.5</f>
        <v>26.925</v>
      </c>
      <c r="V676" s="77">
        <v>25</v>
      </c>
      <c r="W676" s="77">
        <f>STOCK[[#This Row],[Precio Final]]-STOCK[[#This Row],[Costo total]]</f>
        <v>7.05</v>
      </c>
      <c r="X676" s="77">
        <f>STOCK[[#This Row],[Ganancia Unitaria]]*STOCK[[#This Row],[Salidas]]</f>
        <v>0</v>
      </c>
      <c r="AA676" s="77">
        <f>STOCK[[#This Row],[Costo total]]*STOCK[[#This Row],[Entradas]]</f>
        <v>17.95</v>
      </c>
      <c r="AB676" s="77">
        <f>STOCK[[#This Row],[Stock Actual]]*STOCK[[#This Row],[Costo total]]</f>
        <v>17.95</v>
      </c>
    </row>
    <row r="677" s="76" customFormat="1" ht="50" customHeight="1" spans="1:28">
      <c r="A677" s="76" t="s">
        <v>1363</v>
      </c>
      <c r="B677" s="6"/>
      <c r="C677" s="76" t="s">
        <v>30</v>
      </c>
      <c r="D677" s="76" t="s">
        <v>42</v>
      </c>
      <c r="E677" s="76" t="s">
        <v>1364</v>
      </c>
      <c r="F677" s="76" t="s">
        <v>47</v>
      </c>
      <c r="G677" s="76" t="s">
        <v>34</v>
      </c>
      <c r="H677" s="76">
        <f>STOCK[[#This Row],[Precio Final]]</f>
        <v>25</v>
      </c>
      <c r="I677" s="76">
        <f>STOCK[[#This Row],[Precio Venta Ideal (x1.5)]]</f>
        <v>31.995</v>
      </c>
      <c r="J677" s="91">
        <v>2</v>
      </c>
      <c r="K677" s="91">
        <f>SUMIFS(VENTAS[Cantidad],VENTAS[Código del producto Vendido],STOCK[[#This Row],[Code]])</f>
        <v>1</v>
      </c>
      <c r="L677" s="91">
        <f>STOCK[[#This Row],[Entradas]]-STOCK[[#This Row],[Salidas]]</f>
        <v>1</v>
      </c>
      <c r="M677" s="76">
        <f>STOCK[[#This Row],[Precio Final]]*10%</f>
        <v>2.5</v>
      </c>
      <c r="N677" s="76">
        <v>0</v>
      </c>
      <c r="O677" s="76">
        <v>31.43</v>
      </c>
      <c r="P677" s="76">
        <v>13.83</v>
      </c>
      <c r="Q677" s="91">
        <v>0</v>
      </c>
      <c r="R677" s="76">
        <v>0</v>
      </c>
      <c r="S677" s="76">
        <v>5</v>
      </c>
      <c r="T677" s="76">
        <f>STOCK[[#This Row],[Costo Unitario (USD)]]+STOCK[[#This Row],[Costo Envío (USD)]]+STOCK[[#This Row],[Comisión 10%]]</f>
        <v>21.33</v>
      </c>
      <c r="U677" s="76">
        <f>STOCK[[#This Row],[Costo total]]*1.5</f>
        <v>31.995</v>
      </c>
      <c r="V677" s="76">
        <v>25</v>
      </c>
      <c r="W677" s="76">
        <f>STOCK[[#This Row],[Precio Final]]-STOCK[[#This Row],[Costo total]]</f>
        <v>3.67</v>
      </c>
      <c r="X677" s="76">
        <f>STOCK[[#This Row],[Ganancia Unitaria]]*STOCK[[#This Row],[Salidas]]</f>
        <v>3.67</v>
      </c>
      <c r="AA677" s="76">
        <f>STOCK[[#This Row],[Costo total]]*STOCK[[#This Row],[Entradas]]</f>
        <v>42.66</v>
      </c>
      <c r="AB677" s="76">
        <f>STOCK[[#This Row],[Stock Actual]]*STOCK[[#This Row],[Costo total]]</f>
        <v>21.33</v>
      </c>
    </row>
    <row r="678" s="77" customFormat="1" ht="50" customHeight="1" spans="1:29">
      <c r="A678" s="77" t="s">
        <v>1365</v>
      </c>
      <c r="B678" s="6"/>
      <c r="C678" s="77" t="s">
        <v>30</v>
      </c>
      <c r="D678" s="77" t="s">
        <v>42</v>
      </c>
      <c r="E678" s="77" t="s">
        <v>1364</v>
      </c>
      <c r="F678" s="77" t="s">
        <v>1045</v>
      </c>
      <c r="G678" s="77" t="s">
        <v>34</v>
      </c>
      <c r="H678" s="77">
        <f>STOCK[[#This Row],[Precio Final]]</f>
        <v>25</v>
      </c>
      <c r="I678" s="77">
        <f>STOCK[[#This Row],[Precio Venta Ideal (x1.5)]]</f>
        <v>31.995</v>
      </c>
      <c r="J678" s="92">
        <v>2</v>
      </c>
      <c r="K678" s="92">
        <f>SUMIFS(VENTAS[Cantidad],VENTAS[Código del producto Vendido],STOCK[[#This Row],[Code]])</f>
        <v>0</v>
      </c>
      <c r="L678" s="92">
        <f>STOCK[[#This Row],[Entradas]]-STOCK[[#This Row],[Salidas]]</f>
        <v>2</v>
      </c>
      <c r="M678" s="77">
        <f>STOCK[[#This Row],[Precio Final]]*10%</f>
        <v>2.5</v>
      </c>
      <c r="N678" s="77">
        <v>0</v>
      </c>
      <c r="O678" s="77">
        <v>31.43</v>
      </c>
      <c r="P678" s="77">
        <v>13.83</v>
      </c>
      <c r="Q678" s="92">
        <v>0</v>
      </c>
      <c r="R678" s="77">
        <v>0</v>
      </c>
      <c r="S678" s="77">
        <v>5</v>
      </c>
      <c r="T678" s="76">
        <f>STOCK[[#This Row],[Costo Unitario (USD)]]+STOCK[[#This Row],[Costo Envío (USD)]]+STOCK[[#This Row],[Comisión 10%]]</f>
        <v>21.33</v>
      </c>
      <c r="U678" s="77">
        <f>STOCK[[#This Row],[Costo total]]*1.5</f>
        <v>31.995</v>
      </c>
      <c r="V678" s="77">
        <v>25</v>
      </c>
      <c r="W678" s="77">
        <f>STOCK[[#This Row],[Precio Final]]-STOCK[[#This Row],[Costo total]]</f>
        <v>3.67</v>
      </c>
      <c r="X678" s="77">
        <f>STOCK[[#This Row],[Ganancia Unitaria]]*STOCK[[#This Row],[Salidas]]</f>
        <v>0</v>
      </c>
      <c r="AA678" s="77">
        <f>STOCK[[#This Row],[Costo total]]*STOCK[[#This Row],[Entradas]]</f>
        <v>42.66</v>
      </c>
      <c r="AB678" s="77">
        <f>STOCK[[#This Row],[Stock Actual]]*STOCK[[#This Row],[Costo total]]</f>
        <v>42.66</v>
      </c>
      <c r="AC678" s="77">
        <v>22</v>
      </c>
    </row>
    <row r="679" s="76" customFormat="1" ht="50" customHeight="1" spans="1:28">
      <c r="A679" s="76" t="s">
        <v>1366</v>
      </c>
      <c r="B679" s="6"/>
      <c r="C679" s="76" t="s">
        <v>30</v>
      </c>
      <c r="D679" s="76" t="s">
        <v>151</v>
      </c>
      <c r="E679" s="76" t="s">
        <v>1367</v>
      </c>
      <c r="F679" s="76" t="s">
        <v>86</v>
      </c>
      <c r="G679" s="76" t="s">
        <v>34</v>
      </c>
      <c r="H679" s="76">
        <f>STOCK[[#This Row],[Precio Final]]</f>
        <v>20</v>
      </c>
      <c r="I679" s="76">
        <f>STOCK[[#This Row],[Precio Venta Ideal (x1.5)]]</f>
        <v>22.11</v>
      </c>
      <c r="J679" s="91">
        <v>2</v>
      </c>
      <c r="K679" s="91">
        <f>SUMIFS(VENTAS[Cantidad],VENTAS[Código del producto Vendido],STOCK[[#This Row],[Code]])</f>
        <v>2</v>
      </c>
      <c r="L679" s="91">
        <f>STOCK[[#This Row],[Entradas]]-STOCK[[#This Row],[Salidas]]</f>
        <v>0</v>
      </c>
      <c r="M679" s="76">
        <f>STOCK[[#This Row],[Precio Final]]*10%</f>
        <v>2</v>
      </c>
      <c r="N679" s="76">
        <v>0</v>
      </c>
      <c r="O679" s="76">
        <v>12.64</v>
      </c>
      <c r="P679" s="76">
        <v>10.74</v>
      </c>
      <c r="Q679" s="91">
        <v>0</v>
      </c>
      <c r="R679" s="76">
        <v>0</v>
      </c>
      <c r="S679" s="76">
        <v>2</v>
      </c>
      <c r="T679" s="76">
        <f>STOCK[[#This Row],[Costo Unitario (USD)]]+STOCK[[#This Row],[Costo Envío (USD)]]+STOCK[[#This Row],[Comisión 10%]]</f>
        <v>14.74</v>
      </c>
      <c r="U679" s="76">
        <f>STOCK[[#This Row],[Costo total]]*1.5</f>
        <v>22.11</v>
      </c>
      <c r="V679" s="76">
        <v>20</v>
      </c>
      <c r="W679" s="76">
        <f>STOCK[[#This Row],[Precio Final]]-STOCK[[#This Row],[Costo total]]</f>
        <v>5.26</v>
      </c>
      <c r="X679" s="76">
        <f>STOCK[[#This Row],[Ganancia Unitaria]]*STOCK[[#This Row],[Salidas]]</f>
        <v>10.52</v>
      </c>
      <c r="AA679" s="76">
        <f>STOCK[[#This Row],[Costo total]]*STOCK[[#This Row],[Entradas]]</f>
        <v>29.48</v>
      </c>
      <c r="AB679" s="76">
        <f>STOCK[[#This Row],[Stock Actual]]*STOCK[[#This Row],[Costo total]]</f>
        <v>0</v>
      </c>
    </row>
    <row r="680" s="77" customFormat="1" ht="50" customHeight="1" spans="1:28">
      <c r="A680" s="77" t="s">
        <v>1368</v>
      </c>
      <c r="B680" s="6"/>
      <c r="C680" s="77" t="s">
        <v>30</v>
      </c>
      <c r="D680" s="77" t="s">
        <v>933</v>
      </c>
      <c r="E680" s="77" t="s">
        <v>1367</v>
      </c>
      <c r="F680" s="77" t="s">
        <v>210</v>
      </c>
      <c r="G680" s="77" t="s">
        <v>34</v>
      </c>
      <c r="H680" s="77">
        <f>STOCK[[#This Row],[Precio Final]]</f>
        <v>20</v>
      </c>
      <c r="I680" s="77">
        <f>STOCK[[#This Row],[Precio Venta Ideal (x1.5)]]</f>
        <v>22.11</v>
      </c>
      <c r="J680" s="92">
        <v>1</v>
      </c>
      <c r="K680" s="92">
        <f>SUMIFS(VENTAS[Cantidad],VENTAS[Código del producto Vendido],STOCK[[#This Row],[Code]])</f>
        <v>1</v>
      </c>
      <c r="L680" s="92">
        <f>STOCK[[#This Row],[Entradas]]-STOCK[[#This Row],[Salidas]]</f>
        <v>0</v>
      </c>
      <c r="M680" s="77">
        <f>STOCK[[#This Row],[Precio Final]]*10%</f>
        <v>2</v>
      </c>
      <c r="N680" s="77">
        <v>0</v>
      </c>
      <c r="O680" s="77">
        <v>25.28</v>
      </c>
      <c r="P680" s="77">
        <v>10.74</v>
      </c>
      <c r="Q680" s="92">
        <v>0</v>
      </c>
      <c r="R680" s="77">
        <v>0</v>
      </c>
      <c r="S680" s="77">
        <v>2</v>
      </c>
      <c r="T680" s="76">
        <f>STOCK[[#This Row],[Costo Unitario (USD)]]+STOCK[[#This Row],[Costo Envío (USD)]]+STOCK[[#This Row],[Comisión 10%]]</f>
        <v>14.74</v>
      </c>
      <c r="U680" s="77">
        <f>STOCK[[#This Row],[Costo total]]*1.5</f>
        <v>22.11</v>
      </c>
      <c r="V680" s="77">
        <v>20</v>
      </c>
      <c r="W680" s="77">
        <f>STOCK[[#This Row],[Precio Final]]-STOCK[[#This Row],[Costo total]]</f>
        <v>5.26</v>
      </c>
      <c r="X680" s="77">
        <f>STOCK[[#This Row],[Ganancia Unitaria]]*STOCK[[#This Row],[Salidas]]</f>
        <v>5.26</v>
      </c>
      <c r="AA680" s="77">
        <f>STOCK[[#This Row],[Costo total]]*STOCK[[#This Row],[Entradas]]</f>
        <v>14.74</v>
      </c>
      <c r="AB680" s="77">
        <f>STOCK[[#This Row],[Stock Actual]]*STOCK[[#This Row],[Costo total]]</f>
        <v>0</v>
      </c>
    </row>
    <row r="681" s="76" customFormat="1" ht="50" customHeight="1" spans="1:28">
      <c r="A681" s="76" t="s">
        <v>1369</v>
      </c>
      <c r="B681" s="6"/>
      <c r="C681" s="76" t="s">
        <v>30</v>
      </c>
      <c r="D681" s="76" t="s">
        <v>350</v>
      </c>
      <c r="E681" s="76" t="s">
        <v>1370</v>
      </c>
      <c r="F681" s="76" t="s">
        <v>524</v>
      </c>
      <c r="G681" s="76" t="s">
        <v>34</v>
      </c>
      <c r="H681" s="76">
        <f>STOCK[[#This Row],[Precio Final]]</f>
        <v>8</v>
      </c>
      <c r="I681" s="76">
        <f>STOCK[[#This Row],[Precio Venta Ideal (x1.5)]]</f>
        <v>8.43</v>
      </c>
      <c r="J681" s="91">
        <v>3</v>
      </c>
      <c r="K681" s="91">
        <f>SUMIFS(VENTAS[Cantidad],VENTAS[Código del producto Vendido],STOCK[[#This Row],[Code]])</f>
        <v>0</v>
      </c>
      <c r="L681" s="91">
        <f>STOCK[[#This Row],[Entradas]]-STOCK[[#This Row],[Salidas]]</f>
        <v>3</v>
      </c>
      <c r="M681" s="76">
        <f>STOCK[[#This Row],[Precio Final]]*10%</f>
        <v>0.8</v>
      </c>
      <c r="N681" s="76">
        <v>0</v>
      </c>
      <c r="O681" s="76">
        <v>4.77</v>
      </c>
      <c r="P681" s="76">
        <v>2.82</v>
      </c>
      <c r="Q681" s="91">
        <v>0</v>
      </c>
      <c r="R681" s="76">
        <v>0</v>
      </c>
      <c r="S681" s="76">
        <v>2</v>
      </c>
      <c r="T681" s="76">
        <f>STOCK[[#This Row],[Costo Unitario (USD)]]+STOCK[[#This Row],[Costo Envío (USD)]]+STOCK[[#This Row],[Comisión 10%]]</f>
        <v>5.62</v>
      </c>
      <c r="U681" s="76">
        <f>STOCK[[#This Row],[Costo total]]*1.5</f>
        <v>8.43</v>
      </c>
      <c r="V681" s="76">
        <v>8</v>
      </c>
      <c r="W681" s="76">
        <f>STOCK[[#This Row],[Precio Final]]-STOCK[[#This Row],[Costo total]]</f>
        <v>2.38</v>
      </c>
      <c r="X681" s="76">
        <f>STOCK[[#This Row],[Ganancia Unitaria]]*STOCK[[#This Row],[Salidas]]</f>
        <v>0</v>
      </c>
      <c r="AA681" s="76">
        <f>STOCK[[#This Row],[Costo total]]*STOCK[[#This Row],[Entradas]]</f>
        <v>16.86</v>
      </c>
      <c r="AB681" s="76">
        <f>STOCK[[#This Row],[Stock Actual]]*STOCK[[#This Row],[Costo total]]</f>
        <v>16.86</v>
      </c>
    </row>
    <row r="682" s="77" customFormat="1" ht="50" customHeight="1" spans="1:28">
      <c r="A682" s="77" t="s">
        <v>1371</v>
      </c>
      <c r="B682" s="6"/>
      <c r="C682" s="77" t="s">
        <v>30</v>
      </c>
      <c r="D682" s="77" t="s">
        <v>350</v>
      </c>
      <c r="E682" s="77" t="s">
        <v>1372</v>
      </c>
      <c r="F682" s="77" t="s">
        <v>524</v>
      </c>
      <c r="G682" s="77" t="s">
        <v>34</v>
      </c>
      <c r="H682" s="77">
        <f>STOCK[[#This Row],[Precio Final]]</f>
        <v>7</v>
      </c>
      <c r="I682" s="77">
        <f>STOCK[[#This Row],[Precio Venta Ideal (x1.5)]]</f>
        <v>8.505</v>
      </c>
      <c r="J682" s="92">
        <v>3</v>
      </c>
      <c r="K682" s="92">
        <f>SUMIFS(VENTAS[Cantidad],VENTAS[Código del producto Vendido],STOCK[[#This Row],[Code]])</f>
        <v>0</v>
      </c>
      <c r="L682" s="92">
        <f>STOCK[[#This Row],[Entradas]]-STOCK[[#This Row],[Salidas]]</f>
        <v>3</v>
      </c>
      <c r="M682" s="77">
        <f>STOCK[[#This Row],[Precio Final]]*10%</f>
        <v>0.7</v>
      </c>
      <c r="N682" s="77">
        <v>0</v>
      </c>
      <c r="O682" s="77">
        <v>14.13</v>
      </c>
      <c r="P682" s="77">
        <v>2.97</v>
      </c>
      <c r="Q682" s="92">
        <v>0</v>
      </c>
      <c r="R682" s="77">
        <v>0</v>
      </c>
      <c r="S682" s="77">
        <v>2</v>
      </c>
      <c r="T682" s="76">
        <f>STOCK[[#This Row],[Costo Unitario (USD)]]+STOCK[[#This Row],[Costo Envío (USD)]]+STOCK[[#This Row],[Comisión 10%]]</f>
        <v>5.67</v>
      </c>
      <c r="U682" s="77">
        <f>STOCK[[#This Row],[Costo total]]*1.5</f>
        <v>8.505</v>
      </c>
      <c r="V682" s="77">
        <v>7</v>
      </c>
      <c r="W682" s="77">
        <f>STOCK[[#This Row],[Precio Final]]-STOCK[[#This Row],[Costo total]]</f>
        <v>1.33</v>
      </c>
      <c r="X682" s="77">
        <f>STOCK[[#This Row],[Ganancia Unitaria]]*STOCK[[#This Row],[Salidas]]</f>
        <v>0</v>
      </c>
      <c r="AA682" s="77">
        <f>STOCK[[#This Row],[Costo total]]*STOCK[[#This Row],[Entradas]]</f>
        <v>17.01</v>
      </c>
      <c r="AB682" s="77">
        <f>STOCK[[#This Row],[Stock Actual]]*STOCK[[#This Row],[Costo total]]</f>
        <v>17.01</v>
      </c>
    </row>
    <row r="683" s="76" customFormat="1" ht="50" customHeight="1" spans="1:28">
      <c r="A683" s="76" t="s">
        <v>1373</v>
      </c>
      <c r="B683" s="6"/>
      <c r="C683" s="76" t="s">
        <v>30</v>
      </c>
      <c r="D683" s="76" t="s">
        <v>173</v>
      </c>
      <c r="E683" s="76" t="s">
        <v>1374</v>
      </c>
      <c r="F683" s="76" t="s">
        <v>60</v>
      </c>
      <c r="G683" s="76" t="s">
        <v>34</v>
      </c>
      <c r="H683" s="76">
        <f>STOCK[[#This Row],[Precio Final]]</f>
        <v>25</v>
      </c>
      <c r="I683" s="76">
        <f>STOCK[[#This Row],[Precio Venta Ideal (x1.5)]]</f>
        <v>20.25</v>
      </c>
      <c r="J683" s="91">
        <v>1</v>
      </c>
      <c r="K683" s="91">
        <f>SUMIFS(VENTAS[Cantidad],VENTAS[Código del producto Vendido],STOCK[[#This Row],[Code]])</f>
        <v>0</v>
      </c>
      <c r="L683" s="91">
        <f>STOCK[[#This Row],[Entradas]]-STOCK[[#This Row],[Salidas]]</f>
        <v>1</v>
      </c>
      <c r="M683" s="76">
        <f>STOCK[[#This Row],[Precio Final]]*10%</f>
        <v>2.5</v>
      </c>
      <c r="N683" s="76">
        <v>0</v>
      </c>
      <c r="O683" s="76">
        <v>15.5</v>
      </c>
      <c r="P683" s="76">
        <v>9</v>
      </c>
      <c r="Q683" s="91">
        <v>0</v>
      </c>
      <c r="R683" s="76">
        <v>0</v>
      </c>
      <c r="S683" s="76">
        <v>2</v>
      </c>
      <c r="T683" s="76">
        <f>STOCK[[#This Row],[Costo Unitario (USD)]]+STOCK[[#This Row],[Costo Envío (USD)]]+STOCK[[#This Row],[Comisión 10%]]</f>
        <v>13.5</v>
      </c>
      <c r="U683" s="76">
        <f>STOCK[[#This Row],[Costo total]]*1.5</f>
        <v>20.25</v>
      </c>
      <c r="V683" s="76">
        <v>25</v>
      </c>
      <c r="W683" s="76">
        <f>STOCK[[#This Row],[Precio Final]]-STOCK[[#This Row],[Costo total]]</f>
        <v>11.5</v>
      </c>
      <c r="X683" s="76">
        <f>STOCK[[#This Row],[Ganancia Unitaria]]*STOCK[[#This Row],[Salidas]]</f>
        <v>0</v>
      </c>
      <c r="AA683" s="76">
        <f>STOCK[[#This Row],[Costo total]]*STOCK[[#This Row],[Entradas]]</f>
        <v>13.5</v>
      </c>
      <c r="AB683" s="76">
        <f>STOCK[[#This Row],[Stock Actual]]*STOCK[[#This Row],[Costo total]]</f>
        <v>13.5</v>
      </c>
    </row>
    <row r="684" s="77" customFormat="1" ht="50" customHeight="1" spans="1:28">
      <c r="A684" s="77" t="s">
        <v>1375</v>
      </c>
      <c r="B684" s="6"/>
      <c r="C684" s="77" t="s">
        <v>30</v>
      </c>
      <c r="D684" s="77" t="s">
        <v>545</v>
      </c>
      <c r="E684" s="77" t="s">
        <v>1376</v>
      </c>
      <c r="F684" s="77" t="s">
        <v>1377</v>
      </c>
      <c r="G684" s="77" t="s">
        <v>702</v>
      </c>
      <c r="H684" s="77">
        <f>STOCK[[#This Row],[Precio Final]]</f>
        <v>12</v>
      </c>
      <c r="I684" s="77">
        <f>STOCK[[#This Row],[Precio Venta Ideal (x1.5)]]</f>
        <v>12.3</v>
      </c>
      <c r="J684" s="92">
        <v>0</v>
      </c>
      <c r="K684" s="92">
        <f>SUMIFS(VENTAS[Cantidad],VENTAS[Código del producto Vendido],STOCK[[#This Row],[Code]])</f>
        <v>0</v>
      </c>
      <c r="L684" s="92">
        <f>STOCK[[#This Row],[Entradas]]-STOCK[[#This Row],[Salidas]]</f>
        <v>0</v>
      </c>
      <c r="M684" s="77">
        <f>STOCK[[#This Row],[Precio Final]]*10%</f>
        <v>1.2</v>
      </c>
      <c r="N684" s="77">
        <v>0</v>
      </c>
      <c r="O684" s="77">
        <v>0</v>
      </c>
      <c r="P684" s="77">
        <v>5</v>
      </c>
      <c r="Q684" s="92">
        <v>0</v>
      </c>
      <c r="R684" s="77">
        <v>0</v>
      </c>
      <c r="S684" s="77">
        <v>2</v>
      </c>
      <c r="T684" s="76">
        <f>STOCK[[#This Row],[Costo Unitario (USD)]]+STOCK[[#This Row],[Costo Envío (USD)]]+STOCK[[#This Row],[Comisión 10%]]</f>
        <v>8.2</v>
      </c>
      <c r="U684" s="77">
        <f>STOCK[[#This Row],[Costo total]]*1.5</f>
        <v>12.3</v>
      </c>
      <c r="V684" s="77">
        <v>12</v>
      </c>
      <c r="W684" s="77">
        <f>STOCK[[#This Row],[Precio Final]]-STOCK[[#This Row],[Costo total]]</f>
        <v>3.8</v>
      </c>
      <c r="X684" s="77">
        <f>STOCK[[#This Row],[Ganancia Unitaria]]*STOCK[[#This Row],[Salidas]]</f>
        <v>0</v>
      </c>
      <c r="AA684" s="77">
        <f>STOCK[[#This Row],[Costo total]]*STOCK[[#This Row],[Entradas]]</f>
        <v>0</v>
      </c>
      <c r="AB684" s="77">
        <f>STOCK[[#This Row],[Stock Actual]]*STOCK[[#This Row],[Costo total]]</f>
        <v>0</v>
      </c>
    </row>
    <row r="685" s="76" customFormat="1" ht="50" customHeight="1" spans="1:28">
      <c r="A685" s="76" t="s">
        <v>1378</v>
      </c>
      <c r="B685" s="6"/>
      <c r="C685" s="76" t="s">
        <v>30</v>
      </c>
      <c r="D685" s="76" t="s">
        <v>287</v>
      </c>
      <c r="E685" s="76" t="s">
        <v>1379</v>
      </c>
      <c r="F685" s="76" t="s">
        <v>60</v>
      </c>
      <c r="G685" s="76" t="s">
        <v>1294</v>
      </c>
      <c r="H685" s="76">
        <f>STOCK[[#This Row],[Precio Final]]</f>
        <v>25</v>
      </c>
      <c r="I685" s="76">
        <f>STOCK[[#This Row],[Precio Venta Ideal (x1.5)]]</f>
        <v>26.25</v>
      </c>
      <c r="J685" s="91">
        <v>3</v>
      </c>
      <c r="K685" s="91">
        <f>SUMIFS(VENTAS[Cantidad],VENTAS[Código del producto Vendido],STOCK[[#This Row],[Code]])</f>
        <v>1</v>
      </c>
      <c r="L685" s="91">
        <f>STOCK[[#This Row],[Entradas]]-STOCK[[#This Row],[Salidas]]</f>
        <v>2</v>
      </c>
      <c r="M685" s="76">
        <f>STOCK[[#This Row],[Precio Final]]*10%</f>
        <v>2.5</v>
      </c>
      <c r="N685" s="76">
        <v>0</v>
      </c>
      <c r="O685" s="76">
        <v>0</v>
      </c>
      <c r="P685" s="76">
        <v>10</v>
      </c>
      <c r="Q685" s="91">
        <v>0</v>
      </c>
      <c r="R685" s="76">
        <v>0</v>
      </c>
      <c r="S685" s="76">
        <v>5</v>
      </c>
      <c r="T685" s="76">
        <f>STOCK[[#This Row],[Costo Unitario (USD)]]+STOCK[[#This Row],[Costo Envío (USD)]]+STOCK[[#This Row],[Comisión 10%]]</f>
        <v>17.5</v>
      </c>
      <c r="U685" s="76">
        <f>STOCK[[#This Row],[Costo total]]*1.5</f>
        <v>26.25</v>
      </c>
      <c r="V685" s="76">
        <v>25</v>
      </c>
      <c r="W685" s="76">
        <f>STOCK[[#This Row],[Precio Final]]-STOCK[[#This Row],[Costo total]]</f>
        <v>7.5</v>
      </c>
      <c r="X685" s="76">
        <f>STOCK[[#This Row],[Ganancia Unitaria]]*STOCK[[#This Row],[Salidas]]</f>
        <v>7.5</v>
      </c>
      <c r="AA685" s="76">
        <f>STOCK[[#This Row],[Costo total]]*STOCK[[#This Row],[Entradas]]</f>
        <v>52.5</v>
      </c>
      <c r="AB685" s="76">
        <f>STOCK[[#This Row],[Stock Actual]]*STOCK[[#This Row],[Costo total]]</f>
        <v>35</v>
      </c>
    </row>
    <row r="686" s="77" customFormat="1" ht="50" customHeight="1" spans="1:28">
      <c r="A686" s="77" t="s">
        <v>1380</v>
      </c>
      <c r="B686" s="6"/>
      <c r="C686" s="77" t="s">
        <v>30</v>
      </c>
      <c r="D686" s="77" t="s">
        <v>545</v>
      </c>
      <c r="E686" s="77" t="s">
        <v>1381</v>
      </c>
      <c r="F686" s="77" t="s">
        <v>1382</v>
      </c>
      <c r="G686" s="77" t="s">
        <v>702</v>
      </c>
      <c r="H686" s="77">
        <f>STOCK[[#This Row],[Precio Final]]</f>
        <v>12</v>
      </c>
      <c r="I686" s="77">
        <f>STOCK[[#This Row],[Precio Venta Ideal (x1.5)]]</f>
        <v>12.3</v>
      </c>
      <c r="J686" s="92">
        <v>0</v>
      </c>
      <c r="K686" s="92">
        <f>SUMIFS(VENTAS[Cantidad],VENTAS[Código del producto Vendido],STOCK[[#This Row],[Code]])</f>
        <v>0</v>
      </c>
      <c r="L686" s="92">
        <f>STOCK[[#This Row],[Entradas]]-STOCK[[#This Row],[Salidas]]</f>
        <v>0</v>
      </c>
      <c r="M686" s="77">
        <f>STOCK[[#This Row],[Precio Final]]*10%</f>
        <v>1.2</v>
      </c>
      <c r="N686" s="77">
        <v>0</v>
      </c>
      <c r="O686" s="77">
        <v>0</v>
      </c>
      <c r="P686" s="77">
        <v>5</v>
      </c>
      <c r="Q686" s="92">
        <v>0</v>
      </c>
      <c r="R686" s="77">
        <v>0</v>
      </c>
      <c r="S686" s="77">
        <v>2</v>
      </c>
      <c r="T686" s="76">
        <f>STOCK[[#This Row],[Costo Unitario (USD)]]+STOCK[[#This Row],[Costo Envío (USD)]]+STOCK[[#This Row],[Comisión 10%]]</f>
        <v>8.2</v>
      </c>
      <c r="U686" s="77">
        <f>STOCK[[#This Row],[Costo total]]*1.5</f>
        <v>12.3</v>
      </c>
      <c r="V686" s="77">
        <v>12</v>
      </c>
      <c r="W686" s="77">
        <f>STOCK[[#This Row],[Precio Final]]-STOCK[[#This Row],[Costo total]]</f>
        <v>3.8</v>
      </c>
      <c r="X686" s="77">
        <f>STOCK[[#This Row],[Ganancia Unitaria]]*STOCK[[#This Row],[Salidas]]</f>
        <v>0</v>
      </c>
      <c r="AA686" s="77">
        <f>STOCK[[#This Row],[Costo total]]*STOCK[[#This Row],[Entradas]]</f>
        <v>0</v>
      </c>
      <c r="AB686" s="77">
        <f>STOCK[[#This Row],[Stock Actual]]*STOCK[[#This Row],[Costo total]]</f>
        <v>0</v>
      </c>
    </row>
    <row r="687" s="76" customFormat="1" ht="50" customHeight="1" spans="1:28">
      <c r="A687" s="76" t="s">
        <v>1383</v>
      </c>
      <c r="B687" s="6"/>
      <c r="C687" s="76" t="s">
        <v>30</v>
      </c>
      <c r="D687" s="76" t="s">
        <v>545</v>
      </c>
      <c r="E687" s="76" t="s">
        <v>1384</v>
      </c>
      <c r="F687" s="76" t="s">
        <v>60</v>
      </c>
      <c r="G687" s="76" t="s">
        <v>34</v>
      </c>
      <c r="H687" s="76">
        <f>STOCK[[#This Row],[Precio Final]]</f>
        <v>3</v>
      </c>
      <c r="I687" s="76">
        <f>STOCK[[#This Row],[Precio Venta Ideal (x1.5)]]</f>
        <v>3.15</v>
      </c>
      <c r="J687" s="91">
        <v>2</v>
      </c>
      <c r="K687" s="91">
        <f>SUMIFS(VENTAS[Cantidad],VENTAS[Código del producto Vendido],STOCK[[#This Row],[Code]])</f>
        <v>0</v>
      </c>
      <c r="L687" s="91">
        <f>STOCK[[#This Row],[Entradas]]-STOCK[[#This Row],[Salidas]]</f>
        <v>2</v>
      </c>
      <c r="M687" s="76">
        <f>STOCK[[#This Row],[Precio Final]]*10%</f>
        <v>0.3</v>
      </c>
      <c r="N687" s="76">
        <v>0</v>
      </c>
      <c r="O687" s="76">
        <v>0</v>
      </c>
      <c r="P687" s="76">
        <v>1.3</v>
      </c>
      <c r="Q687" s="91">
        <v>0</v>
      </c>
      <c r="R687" s="76">
        <v>0</v>
      </c>
      <c r="S687" s="76">
        <v>0.5</v>
      </c>
      <c r="T687" s="76">
        <f>STOCK[[#This Row],[Costo Unitario (USD)]]+STOCK[[#This Row],[Costo Envío (USD)]]+STOCK[[#This Row],[Comisión 10%]]</f>
        <v>2.1</v>
      </c>
      <c r="U687" s="76">
        <f>STOCK[[#This Row],[Costo total]]*1.5</f>
        <v>3.15</v>
      </c>
      <c r="V687" s="76">
        <v>3</v>
      </c>
      <c r="W687" s="76">
        <f>STOCK[[#This Row],[Precio Final]]-STOCK[[#This Row],[Costo total]]</f>
        <v>0.9</v>
      </c>
      <c r="X687" s="76">
        <f>STOCK[[#This Row],[Ganancia Unitaria]]*STOCK[[#This Row],[Salidas]]</f>
        <v>0</v>
      </c>
      <c r="AA687" s="76">
        <f>STOCK[[#This Row],[Costo total]]*STOCK[[#This Row],[Entradas]]</f>
        <v>4.2</v>
      </c>
      <c r="AB687" s="76">
        <f>STOCK[[#This Row],[Stock Actual]]*STOCK[[#This Row],[Costo total]]</f>
        <v>4.2</v>
      </c>
    </row>
    <row r="688" s="77" customFormat="1" ht="50" customHeight="1" spans="1:28">
      <c r="A688" s="77" t="s">
        <v>1385</v>
      </c>
      <c r="B688" s="6"/>
      <c r="C688" s="77" t="s">
        <v>30</v>
      </c>
      <c r="D688" s="77" t="s">
        <v>1386</v>
      </c>
      <c r="E688" s="77" t="s">
        <v>1387</v>
      </c>
      <c r="F688" s="77" t="s">
        <v>60</v>
      </c>
      <c r="G688" s="77" t="s">
        <v>702</v>
      </c>
      <c r="H688" s="77">
        <f>STOCK[[#This Row],[Precio Final]]</f>
        <v>19</v>
      </c>
      <c r="I688" s="77">
        <f>STOCK[[#This Row],[Precio Venta Ideal (x1.5)]]</f>
        <v>19.35</v>
      </c>
      <c r="J688" s="92">
        <v>1</v>
      </c>
      <c r="K688" s="92">
        <f>SUMIFS(VENTAS[Cantidad],VENTAS[Código del producto Vendido],STOCK[[#This Row],[Code]])</f>
        <v>0</v>
      </c>
      <c r="L688" s="92">
        <f>STOCK[[#This Row],[Entradas]]-STOCK[[#This Row],[Salidas]]</f>
        <v>1</v>
      </c>
      <c r="M688" s="77">
        <f>STOCK[[#This Row],[Precio Final]]*10%</f>
        <v>1.9</v>
      </c>
      <c r="N688" s="77">
        <v>0</v>
      </c>
      <c r="O688" s="77">
        <v>0</v>
      </c>
      <c r="P688" s="77">
        <v>9</v>
      </c>
      <c r="Q688" s="92">
        <v>0</v>
      </c>
      <c r="R688" s="77">
        <v>0</v>
      </c>
      <c r="S688" s="77">
        <v>2</v>
      </c>
      <c r="T688" s="76">
        <f>STOCK[[#This Row],[Costo Unitario (USD)]]+STOCK[[#This Row],[Costo Envío (USD)]]+STOCK[[#This Row],[Comisión 10%]]</f>
        <v>12.9</v>
      </c>
      <c r="U688" s="77">
        <f>STOCK[[#This Row],[Costo total]]*1.5</f>
        <v>19.35</v>
      </c>
      <c r="V688" s="77">
        <v>19</v>
      </c>
      <c r="W688" s="77">
        <f>STOCK[[#This Row],[Precio Final]]-STOCK[[#This Row],[Costo total]]</f>
        <v>6.1</v>
      </c>
      <c r="X688" s="77">
        <f>STOCK[[#This Row],[Ganancia Unitaria]]*STOCK[[#This Row],[Salidas]]</f>
        <v>0</v>
      </c>
      <c r="AA688" s="77">
        <f>STOCK[[#This Row],[Costo total]]*STOCK[[#This Row],[Entradas]]</f>
        <v>12.9</v>
      </c>
      <c r="AB688" s="77">
        <f>STOCK[[#This Row],[Stock Actual]]*STOCK[[#This Row],[Costo total]]</f>
        <v>12.9</v>
      </c>
    </row>
    <row r="689" s="76" customFormat="1" ht="50" customHeight="1" spans="1:28">
      <c r="A689" s="76" t="s">
        <v>1388</v>
      </c>
      <c r="B689" s="6"/>
      <c r="C689" s="76" t="s">
        <v>30</v>
      </c>
      <c r="D689" s="76" t="s">
        <v>151</v>
      </c>
      <c r="E689" s="76" t="s">
        <v>1389</v>
      </c>
      <c r="F689" s="76" t="s">
        <v>60</v>
      </c>
      <c r="G689" s="76" t="s">
        <v>1294</v>
      </c>
      <c r="H689" s="76">
        <f>STOCK[[#This Row],[Precio Final]]</f>
        <v>18</v>
      </c>
      <c r="I689" s="76">
        <f>STOCK[[#This Row],[Precio Venta Ideal (x1.5)]]</f>
        <v>19.68</v>
      </c>
      <c r="J689" s="91">
        <v>1</v>
      </c>
      <c r="K689" s="91">
        <f>SUMIFS(VENTAS[Cantidad],VENTAS[Código del producto Vendido],STOCK[[#This Row],[Code]])</f>
        <v>1</v>
      </c>
      <c r="L689" s="91">
        <f>STOCK[[#This Row],[Entradas]]-STOCK[[#This Row],[Salidas]]</f>
        <v>0</v>
      </c>
      <c r="M689" s="76">
        <f>STOCK[[#This Row],[Precio Final]]*10%</f>
        <v>1.8</v>
      </c>
      <c r="N689" s="76">
        <v>0</v>
      </c>
      <c r="O689" s="76">
        <v>0</v>
      </c>
      <c r="P689" s="76">
        <v>9.32</v>
      </c>
      <c r="Q689" s="91">
        <v>0</v>
      </c>
      <c r="R689" s="76">
        <v>0</v>
      </c>
      <c r="S689" s="76">
        <v>2</v>
      </c>
      <c r="T689" s="76">
        <f>STOCK[[#This Row],[Costo Unitario (USD)]]+STOCK[[#This Row],[Costo Envío (USD)]]+STOCK[[#This Row],[Comisión 10%]]</f>
        <v>13.12</v>
      </c>
      <c r="U689" s="76">
        <f>STOCK[[#This Row],[Costo total]]*1.5</f>
        <v>19.68</v>
      </c>
      <c r="V689" s="76">
        <v>18</v>
      </c>
      <c r="W689" s="76">
        <f>STOCK[[#This Row],[Precio Final]]-STOCK[[#This Row],[Costo total]]</f>
        <v>4.88</v>
      </c>
      <c r="X689" s="76">
        <f>STOCK[[#This Row],[Ganancia Unitaria]]*STOCK[[#This Row],[Salidas]]</f>
        <v>4.88</v>
      </c>
      <c r="AA689" s="76">
        <f>STOCK[[#This Row],[Costo total]]*STOCK[[#This Row],[Entradas]]</f>
        <v>13.12</v>
      </c>
      <c r="AB689" s="76">
        <f>STOCK[[#This Row],[Stock Actual]]*STOCK[[#This Row],[Costo total]]</f>
        <v>0</v>
      </c>
    </row>
    <row r="690" s="77" customFormat="1" ht="50" customHeight="1" spans="1:28">
      <c r="A690" s="77" t="s">
        <v>1390</v>
      </c>
      <c r="B690" s="6"/>
      <c r="C690" s="77" t="s">
        <v>30</v>
      </c>
      <c r="D690" s="77" t="s">
        <v>151</v>
      </c>
      <c r="E690" s="77" t="s">
        <v>1391</v>
      </c>
      <c r="F690" s="77" t="s">
        <v>47</v>
      </c>
      <c r="G690" s="77" t="s">
        <v>1294</v>
      </c>
      <c r="H690" s="77">
        <f>STOCK[[#This Row],[Precio Final]]</f>
        <v>20</v>
      </c>
      <c r="I690" s="77">
        <f>STOCK[[#This Row],[Precio Venta Ideal (x1.5)]]</f>
        <v>24</v>
      </c>
      <c r="J690" s="92">
        <v>0</v>
      </c>
      <c r="K690" s="92">
        <f>SUMIFS(VENTAS[Cantidad],VENTAS[Código del producto Vendido],STOCK[[#This Row],[Code]])</f>
        <v>0</v>
      </c>
      <c r="L690" s="92">
        <f>STOCK[[#This Row],[Entradas]]-STOCK[[#This Row],[Salidas]]</f>
        <v>0</v>
      </c>
      <c r="M690" s="77">
        <f>STOCK[[#This Row],[Precio Final]]*10%</f>
        <v>2</v>
      </c>
      <c r="N690" s="77">
        <v>0</v>
      </c>
      <c r="O690" s="77">
        <v>0</v>
      </c>
      <c r="P690" s="77">
        <v>12</v>
      </c>
      <c r="Q690" s="92">
        <v>0</v>
      </c>
      <c r="R690" s="77">
        <v>0</v>
      </c>
      <c r="S690" s="77">
        <v>2</v>
      </c>
      <c r="T690" s="76">
        <f>STOCK[[#This Row],[Costo Unitario (USD)]]+STOCK[[#This Row],[Costo Envío (USD)]]+STOCK[[#This Row],[Comisión 10%]]</f>
        <v>16</v>
      </c>
      <c r="U690" s="77">
        <f>STOCK[[#This Row],[Costo total]]*1.5</f>
        <v>24</v>
      </c>
      <c r="V690" s="77">
        <v>20</v>
      </c>
      <c r="W690" s="77">
        <f>STOCK[[#This Row],[Precio Final]]-STOCK[[#This Row],[Costo total]]</f>
        <v>4</v>
      </c>
      <c r="X690" s="77">
        <f>STOCK[[#This Row],[Ganancia Unitaria]]*STOCK[[#This Row],[Salidas]]</f>
        <v>0</v>
      </c>
      <c r="AA690" s="77">
        <f>STOCK[[#This Row],[Costo total]]*STOCK[[#This Row],[Entradas]]</f>
        <v>0</v>
      </c>
      <c r="AB690" s="77">
        <f>STOCK[[#This Row],[Stock Actual]]*STOCK[[#This Row],[Costo total]]</f>
        <v>0</v>
      </c>
    </row>
    <row r="691" s="76" customFormat="1" ht="50" customHeight="1" spans="1:28">
      <c r="A691" s="76" t="s">
        <v>1392</v>
      </c>
      <c r="B691" s="6"/>
      <c r="C691" s="76" t="s">
        <v>30</v>
      </c>
      <c r="D691" s="76" t="s">
        <v>151</v>
      </c>
      <c r="E691" s="76" t="s">
        <v>1389</v>
      </c>
      <c r="F691" s="76" t="s">
        <v>38</v>
      </c>
      <c r="G691" s="76" t="s">
        <v>1294</v>
      </c>
      <c r="H691" s="76">
        <f>STOCK[[#This Row],[Precio Final]]</f>
        <v>18</v>
      </c>
      <c r="I691" s="76">
        <f>STOCK[[#This Row],[Precio Venta Ideal (x1.5)]]</f>
        <v>19.68</v>
      </c>
      <c r="J691" s="91">
        <v>1</v>
      </c>
      <c r="K691" s="91">
        <f>SUMIFS(VENTAS[Cantidad],VENTAS[Código del producto Vendido],STOCK[[#This Row],[Code]])</f>
        <v>1</v>
      </c>
      <c r="L691" s="91">
        <f>STOCK[[#This Row],[Entradas]]-STOCK[[#This Row],[Salidas]]</f>
        <v>0</v>
      </c>
      <c r="M691" s="76">
        <f>STOCK[[#This Row],[Precio Final]]*10%</f>
        <v>1.8</v>
      </c>
      <c r="N691" s="76">
        <v>0</v>
      </c>
      <c r="O691" s="76">
        <v>0</v>
      </c>
      <c r="P691" s="76">
        <v>9.32</v>
      </c>
      <c r="Q691" s="91">
        <v>0</v>
      </c>
      <c r="R691" s="76">
        <v>0</v>
      </c>
      <c r="S691" s="76">
        <v>2</v>
      </c>
      <c r="T691" s="76">
        <f>STOCK[[#This Row],[Costo Unitario (USD)]]+STOCK[[#This Row],[Costo Envío (USD)]]+STOCK[[#This Row],[Comisión 10%]]</f>
        <v>13.12</v>
      </c>
      <c r="U691" s="76">
        <f>STOCK[[#This Row],[Costo total]]*1.5</f>
        <v>19.68</v>
      </c>
      <c r="V691" s="76">
        <v>18</v>
      </c>
      <c r="W691" s="76">
        <f>STOCK[[#This Row],[Precio Final]]-STOCK[[#This Row],[Costo total]]</f>
        <v>4.88</v>
      </c>
      <c r="X691" s="76">
        <f>STOCK[[#This Row],[Ganancia Unitaria]]*STOCK[[#This Row],[Salidas]]</f>
        <v>4.88</v>
      </c>
      <c r="AA691" s="76">
        <f>STOCK[[#This Row],[Costo total]]*STOCK[[#This Row],[Entradas]]</f>
        <v>13.12</v>
      </c>
      <c r="AB691" s="76">
        <f>STOCK[[#This Row],[Stock Actual]]*STOCK[[#This Row],[Costo total]]</f>
        <v>0</v>
      </c>
    </row>
    <row r="692" s="77" customFormat="1" ht="50" customHeight="1" spans="1:28">
      <c r="A692" s="77" t="s">
        <v>1393</v>
      </c>
      <c r="B692" s="6"/>
      <c r="C692" s="77" t="s">
        <v>30</v>
      </c>
      <c r="D692" s="77" t="s">
        <v>173</v>
      </c>
      <c r="E692" s="77" t="s">
        <v>1394</v>
      </c>
      <c r="F692" s="77" t="s">
        <v>47</v>
      </c>
      <c r="G692" s="77" t="s">
        <v>702</v>
      </c>
      <c r="H692" s="77">
        <f>STOCK[[#This Row],[Precio Final]]</f>
        <v>18</v>
      </c>
      <c r="I692" s="77">
        <f>STOCK[[#This Row],[Precio Venta Ideal (x1.5)]]</f>
        <v>19.68</v>
      </c>
      <c r="J692" s="92">
        <v>0</v>
      </c>
      <c r="K692" s="92">
        <f>SUMIFS(VENTAS[Cantidad],VENTAS[Código del producto Vendido],STOCK[[#This Row],[Code]])</f>
        <v>0</v>
      </c>
      <c r="L692" s="92">
        <f>STOCK[[#This Row],[Entradas]]-STOCK[[#This Row],[Salidas]]</f>
        <v>0</v>
      </c>
      <c r="M692" s="77">
        <f>STOCK[[#This Row],[Precio Final]]*10%</f>
        <v>1.8</v>
      </c>
      <c r="N692" s="77">
        <v>0</v>
      </c>
      <c r="O692" s="77">
        <v>0</v>
      </c>
      <c r="P692" s="77">
        <v>9.32</v>
      </c>
      <c r="Q692" s="92">
        <v>0</v>
      </c>
      <c r="R692" s="77">
        <v>0</v>
      </c>
      <c r="S692" s="77">
        <v>2</v>
      </c>
      <c r="T692" s="76">
        <f>STOCK[[#This Row],[Costo Unitario (USD)]]+STOCK[[#This Row],[Costo Envío (USD)]]+STOCK[[#This Row],[Comisión 10%]]</f>
        <v>13.12</v>
      </c>
      <c r="U692" s="77">
        <f>STOCK[[#This Row],[Costo total]]*1.5</f>
        <v>19.68</v>
      </c>
      <c r="V692" s="77">
        <v>18</v>
      </c>
      <c r="W692" s="77">
        <f>STOCK[[#This Row],[Precio Final]]-STOCK[[#This Row],[Costo total]]</f>
        <v>4.88</v>
      </c>
      <c r="X692" s="77">
        <f>STOCK[[#This Row],[Ganancia Unitaria]]*STOCK[[#This Row],[Salidas]]</f>
        <v>0</v>
      </c>
      <c r="AA692" s="77">
        <f>STOCK[[#This Row],[Costo total]]*STOCK[[#This Row],[Entradas]]</f>
        <v>0</v>
      </c>
      <c r="AB692" s="77">
        <f>STOCK[[#This Row],[Stock Actual]]*STOCK[[#This Row],[Costo total]]</f>
        <v>0</v>
      </c>
    </row>
    <row r="693" s="76" customFormat="1" ht="50" customHeight="1" spans="1:28">
      <c r="A693" s="76" t="s">
        <v>1395</v>
      </c>
      <c r="B693" s="6"/>
      <c r="C693" s="76" t="s">
        <v>30</v>
      </c>
      <c r="D693" s="76" t="s">
        <v>173</v>
      </c>
      <c r="E693" s="76" t="s">
        <v>1396</v>
      </c>
      <c r="F693" s="76" t="s">
        <v>60</v>
      </c>
      <c r="G693" s="76" t="s">
        <v>1294</v>
      </c>
      <c r="H693" s="76">
        <f>STOCK[[#This Row],[Precio Final]]</f>
        <v>12</v>
      </c>
      <c r="I693" s="76">
        <f>STOCK[[#This Row],[Precio Venta Ideal (x1.5)]]</f>
        <v>15.3</v>
      </c>
      <c r="J693" s="91">
        <v>3</v>
      </c>
      <c r="K693" s="91">
        <f>SUMIFS(VENTAS[Cantidad],VENTAS[Código del producto Vendido],STOCK[[#This Row],[Code]])</f>
        <v>1</v>
      </c>
      <c r="L693" s="91">
        <f>STOCK[[#This Row],[Entradas]]-STOCK[[#This Row],[Salidas]]</f>
        <v>2</v>
      </c>
      <c r="M693" s="76">
        <f>STOCK[[#This Row],[Precio Final]]*10%</f>
        <v>1.2</v>
      </c>
      <c r="N693" s="76">
        <v>0</v>
      </c>
      <c r="O693" s="76">
        <v>22.5</v>
      </c>
      <c r="P693" s="76">
        <v>7</v>
      </c>
      <c r="Q693" s="91">
        <v>0</v>
      </c>
      <c r="R693" s="76">
        <v>0</v>
      </c>
      <c r="S693" s="76">
        <v>2</v>
      </c>
      <c r="T693" s="76">
        <f>STOCK[[#This Row],[Costo Unitario (USD)]]+STOCK[[#This Row],[Costo Envío (USD)]]+STOCK[[#This Row],[Comisión 10%]]</f>
        <v>10.2</v>
      </c>
      <c r="U693" s="76">
        <f>STOCK[[#This Row],[Costo total]]*1.5</f>
        <v>15.3</v>
      </c>
      <c r="V693" s="76">
        <v>12</v>
      </c>
      <c r="W693" s="76">
        <f>STOCK[[#This Row],[Precio Final]]-STOCK[[#This Row],[Costo total]]</f>
        <v>1.8</v>
      </c>
      <c r="X693" s="76">
        <f>STOCK[[#This Row],[Ganancia Unitaria]]*STOCK[[#This Row],[Salidas]]</f>
        <v>1.8</v>
      </c>
      <c r="AA693" s="76">
        <f>STOCK[[#This Row],[Costo total]]*STOCK[[#This Row],[Entradas]]</f>
        <v>30.6</v>
      </c>
      <c r="AB693" s="76">
        <f>STOCK[[#This Row],[Stock Actual]]*STOCK[[#This Row],[Costo total]]</f>
        <v>20.4</v>
      </c>
    </row>
    <row r="694" s="77" customFormat="1" ht="50" customHeight="1" spans="1:28">
      <c r="A694" s="77" t="s">
        <v>1397</v>
      </c>
      <c r="B694" s="6"/>
      <c r="C694" s="77" t="s">
        <v>30</v>
      </c>
      <c r="D694" s="77" t="s">
        <v>173</v>
      </c>
      <c r="E694" s="76" t="s">
        <v>1396</v>
      </c>
      <c r="F694" s="77" t="s">
        <v>47</v>
      </c>
      <c r="G694" s="77" t="s">
        <v>1294</v>
      </c>
      <c r="H694" s="77">
        <f>STOCK[[#This Row],[Precio Final]]</f>
        <v>12</v>
      </c>
      <c r="I694" s="77">
        <f>STOCK[[#This Row],[Precio Venta Ideal (x1.5)]]</f>
        <v>15.3</v>
      </c>
      <c r="J694" s="92">
        <v>4</v>
      </c>
      <c r="K694" s="92">
        <f>SUMIFS(VENTAS[Cantidad],VENTAS[Código del producto Vendido],STOCK[[#This Row],[Code]])</f>
        <v>2</v>
      </c>
      <c r="L694" s="92">
        <f>STOCK[[#This Row],[Entradas]]-STOCK[[#This Row],[Salidas]]</f>
        <v>2</v>
      </c>
      <c r="M694" s="77">
        <f>STOCK[[#This Row],[Precio Final]]*10%</f>
        <v>1.2</v>
      </c>
      <c r="N694" s="77">
        <v>0</v>
      </c>
      <c r="O694" s="77">
        <v>22.5</v>
      </c>
      <c r="P694" s="77">
        <v>7</v>
      </c>
      <c r="Q694" s="92">
        <v>0</v>
      </c>
      <c r="R694" s="77">
        <v>0</v>
      </c>
      <c r="S694" s="77">
        <v>2</v>
      </c>
      <c r="T694" s="76">
        <f>STOCK[[#This Row],[Costo Unitario (USD)]]+STOCK[[#This Row],[Costo Envío (USD)]]+STOCK[[#This Row],[Comisión 10%]]</f>
        <v>10.2</v>
      </c>
      <c r="U694" s="77">
        <f>STOCK[[#This Row],[Costo total]]*1.5</f>
        <v>15.3</v>
      </c>
      <c r="V694" s="77">
        <v>12</v>
      </c>
      <c r="W694" s="77">
        <f>STOCK[[#This Row],[Precio Final]]-STOCK[[#This Row],[Costo total]]</f>
        <v>1.8</v>
      </c>
      <c r="X694" s="77">
        <f>STOCK[[#This Row],[Ganancia Unitaria]]*STOCK[[#This Row],[Salidas]]</f>
        <v>3.6</v>
      </c>
      <c r="AA694" s="77">
        <f>STOCK[[#This Row],[Costo total]]*STOCK[[#This Row],[Entradas]]</f>
        <v>40.8</v>
      </c>
      <c r="AB694" s="77">
        <f>STOCK[[#This Row],[Stock Actual]]*STOCK[[#This Row],[Costo total]]</f>
        <v>20.4</v>
      </c>
    </row>
    <row r="695" s="76" customFormat="1" ht="50" customHeight="1" spans="1:28">
      <c r="A695" s="76" t="s">
        <v>1398</v>
      </c>
      <c r="B695" s="6"/>
      <c r="C695" s="76" t="s">
        <v>30</v>
      </c>
      <c r="D695" s="76" t="s">
        <v>173</v>
      </c>
      <c r="E695" s="76" t="s">
        <v>1399</v>
      </c>
      <c r="F695" s="76" t="s">
        <v>47</v>
      </c>
      <c r="G695" s="76" t="s">
        <v>1294</v>
      </c>
      <c r="H695" s="76">
        <f>STOCK[[#This Row],[Precio Final]]</f>
        <v>12</v>
      </c>
      <c r="I695" s="76">
        <f>STOCK[[#This Row],[Precio Venta Ideal (x1.5)]]</f>
        <v>15.3</v>
      </c>
      <c r="J695" s="91">
        <v>3</v>
      </c>
      <c r="K695" s="91">
        <f>SUMIFS(VENTAS[Cantidad],VENTAS[Código del producto Vendido],STOCK[[#This Row],[Code]])</f>
        <v>2</v>
      </c>
      <c r="L695" s="91">
        <f>STOCK[[#This Row],[Entradas]]-STOCK[[#This Row],[Salidas]]</f>
        <v>1</v>
      </c>
      <c r="M695" s="76">
        <f>STOCK[[#This Row],[Precio Final]]*10%</f>
        <v>1.2</v>
      </c>
      <c r="N695" s="76">
        <v>0</v>
      </c>
      <c r="O695" s="76">
        <v>22.5</v>
      </c>
      <c r="P695" s="76">
        <v>7</v>
      </c>
      <c r="Q695" s="91">
        <v>0</v>
      </c>
      <c r="R695" s="76">
        <v>0</v>
      </c>
      <c r="S695" s="76">
        <v>2</v>
      </c>
      <c r="T695" s="76">
        <f>STOCK[[#This Row],[Costo Unitario (USD)]]+STOCK[[#This Row],[Costo Envío (USD)]]+STOCK[[#This Row],[Comisión 10%]]</f>
        <v>10.2</v>
      </c>
      <c r="U695" s="76">
        <f>STOCK[[#This Row],[Costo total]]*1.5</f>
        <v>15.3</v>
      </c>
      <c r="V695" s="76">
        <v>12</v>
      </c>
      <c r="W695" s="76">
        <f>STOCK[[#This Row],[Precio Final]]-STOCK[[#This Row],[Costo total]]</f>
        <v>1.8</v>
      </c>
      <c r="X695" s="76">
        <f>STOCK[[#This Row],[Ganancia Unitaria]]*STOCK[[#This Row],[Salidas]]</f>
        <v>3.6</v>
      </c>
      <c r="AA695" s="76">
        <f>STOCK[[#This Row],[Costo total]]*STOCK[[#This Row],[Entradas]]</f>
        <v>30.6</v>
      </c>
      <c r="AB695" s="76">
        <f>STOCK[[#This Row],[Stock Actual]]*STOCK[[#This Row],[Costo total]]</f>
        <v>10.2</v>
      </c>
    </row>
    <row r="696" s="77" customFormat="1" ht="50" customHeight="1" spans="1:28">
      <c r="A696" s="77" t="s">
        <v>1400</v>
      </c>
      <c r="B696" s="6"/>
      <c r="C696" s="77" t="s">
        <v>30</v>
      </c>
      <c r="D696" s="77" t="s">
        <v>151</v>
      </c>
      <c r="E696" s="77" t="s">
        <v>1401</v>
      </c>
      <c r="F696" s="77" t="s">
        <v>38</v>
      </c>
      <c r="G696" s="77" t="s">
        <v>1294</v>
      </c>
      <c r="H696" s="77">
        <f>STOCK[[#This Row],[Precio Final]]</f>
        <v>12</v>
      </c>
      <c r="I696" s="77">
        <f>STOCK[[#This Row],[Precio Venta Ideal (x1.5)]]</f>
        <v>15.3</v>
      </c>
      <c r="J696" s="92">
        <v>0</v>
      </c>
      <c r="K696" s="92">
        <f>SUMIFS(VENTAS[Cantidad],VENTAS[Código del producto Vendido],STOCK[[#This Row],[Code]])</f>
        <v>0</v>
      </c>
      <c r="L696" s="92">
        <f>STOCK[[#This Row],[Entradas]]-STOCK[[#This Row],[Salidas]]</f>
        <v>0</v>
      </c>
      <c r="M696" s="77">
        <f>STOCK[[#This Row],[Precio Final]]*10%</f>
        <v>1.2</v>
      </c>
      <c r="N696" s="77">
        <v>0</v>
      </c>
      <c r="O696" s="77">
        <v>0</v>
      </c>
      <c r="P696" s="77">
        <v>7</v>
      </c>
      <c r="Q696" s="92">
        <v>0</v>
      </c>
      <c r="R696" s="77">
        <v>0</v>
      </c>
      <c r="S696" s="77">
        <v>2</v>
      </c>
      <c r="T696" s="76">
        <f>STOCK[[#This Row],[Costo Unitario (USD)]]+STOCK[[#This Row],[Costo Envío (USD)]]+STOCK[[#This Row],[Comisión 10%]]</f>
        <v>10.2</v>
      </c>
      <c r="U696" s="77">
        <f>STOCK[[#This Row],[Costo total]]*1.5</f>
        <v>15.3</v>
      </c>
      <c r="V696" s="77">
        <v>12</v>
      </c>
      <c r="W696" s="77">
        <f>STOCK[[#This Row],[Precio Final]]-STOCK[[#This Row],[Costo total]]</f>
        <v>1.8</v>
      </c>
      <c r="X696" s="77">
        <f>STOCK[[#This Row],[Ganancia Unitaria]]*STOCK[[#This Row],[Salidas]]</f>
        <v>0</v>
      </c>
      <c r="AA696" s="77">
        <f>STOCK[[#This Row],[Costo total]]*STOCK[[#This Row],[Entradas]]</f>
        <v>0</v>
      </c>
      <c r="AB696" s="77">
        <f>STOCK[[#This Row],[Stock Actual]]*STOCK[[#This Row],[Costo total]]</f>
        <v>0</v>
      </c>
    </row>
    <row r="697" s="76" customFormat="1" ht="50" customHeight="1" spans="1:28">
      <c r="A697" s="76" t="s">
        <v>1402</v>
      </c>
      <c r="B697" s="6"/>
      <c r="C697" s="76" t="s">
        <v>30</v>
      </c>
      <c r="D697" s="76" t="s">
        <v>173</v>
      </c>
      <c r="E697" s="76" t="s">
        <v>1403</v>
      </c>
      <c r="F697" s="76" t="s">
        <v>47</v>
      </c>
      <c r="G697" s="76" t="s">
        <v>1294</v>
      </c>
      <c r="H697" s="76">
        <f>STOCK[[#This Row],[Precio Final]]</f>
        <v>10</v>
      </c>
      <c r="I697" s="76">
        <f>STOCK[[#This Row],[Precio Venta Ideal (x1.5)]]</f>
        <v>9.75</v>
      </c>
      <c r="J697" s="91">
        <v>3</v>
      </c>
      <c r="K697" s="91">
        <f>SUMIFS(VENTAS[Cantidad],VENTAS[Código del producto Vendido],STOCK[[#This Row],[Code]])</f>
        <v>2</v>
      </c>
      <c r="L697" s="91">
        <f>STOCK[[#This Row],[Entradas]]-STOCK[[#This Row],[Salidas]]</f>
        <v>1</v>
      </c>
      <c r="M697" s="76">
        <f>STOCK[[#This Row],[Precio Final]]*10%</f>
        <v>1</v>
      </c>
      <c r="N697" s="76">
        <v>0</v>
      </c>
      <c r="O697" s="76">
        <v>11</v>
      </c>
      <c r="P697" s="76">
        <v>4.5</v>
      </c>
      <c r="Q697" s="91">
        <v>0</v>
      </c>
      <c r="R697" s="76">
        <v>0</v>
      </c>
      <c r="S697" s="76">
        <v>1</v>
      </c>
      <c r="T697" s="76">
        <f>STOCK[[#This Row],[Costo Unitario (USD)]]+STOCK[[#This Row],[Costo Envío (USD)]]+STOCK[[#This Row],[Comisión 10%]]</f>
        <v>6.5</v>
      </c>
      <c r="U697" s="76">
        <f>STOCK[[#This Row],[Costo total]]*1.5</f>
        <v>9.75</v>
      </c>
      <c r="V697" s="76">
        <v>10</v>
      </c>
      <c r="W697" s="76">
        <f>STOCK[[#This Row],[Precio Final]]-STOCK[[#This Row],[Costo total]]</f>
        <v>3.5</v>
      </c>
      <c r="X697" s="76">
        <f>STOCK[[#This Row],[Ganancia Unitaria]]*STOCK[[#This Row],[Salidas]]</f>
        <v>7</v>
      </c>
      <c r="Y697" s="76" t="s">
        <v>1404</v>
      </c>
      <c r="AA697" s="76">
        <f>STOCK[[#This Row],[Costo total]]*STOCK[[#This Row],[Entradas]]</f>
        <v>19.5</v>
      </c>
      <c r="AB697" s="76">
        <f>STOCK[[#This Row],[Stock Actual]]*STOCK[[#This Row],[Costo total]]</f>
        <v>6.5</v>
      </c>
    </row>
    <row r="698" s="77" customFormat="1" ht="50" customHeight="1" spans="1:28">
      <c r="A698" s="77" t="s">
        <v>1405</v>
      </c>
      <c r="B698" s="6"/>
      <c r="C698" s="77" t="s">
        <v>30</v>
      </c>
      <c r="D698" s="77" t="s">
        <v>246</v>
      </c>
      <c r="E698" s="76" t="s">
        <v>1403</v>
      </c>
      <c r="F698" s="77" t="s">
        <v>1406</v>
      </c>
      <c r="G698" s="77" t="s">
        <v>1294</v>
      </c>
      <c r="H698" s="77">
        <f>STOCK[[#This Row],[Precio Final]]</f>
        <v>10</v>
      </c>
      <c r="I698" s="77">
        <f>STOCK[[#This Row],[Precio Venta Ideal (x1.5)]]</f>
        <v>9.75</v>
      </c>
      <c r="J698" s="92">
        <v>1</v>
      </c>
      <c r="K698" s="92">
        <f>SUMIFS(VENTAS[Cantidad],VENTAS[Código del producto Vendido],STOCK[[#This Row],[Code]])</f>
        <v>0</v>
      </c>
      <c r="L698" s="92">
        <f>STOCK[[#This Row],[Entradas]]-STOCK[[#This Row],[Salidas]]</f>
        <v>1</v>
      </c>
      <c r="M698" s="77">
        <f>STOCK[[#This Row],[Precio Final]]*10%</f>
        <v>1</v>
      </c>
      <c r="N698" s="77">
        <v>0</v>
      </c>
      <c r="O698" s="77">
        <v>5.5</v>
      </c>
      <c r="P698" s="77">
        <v>4.5</v>
      </c>
      <c r="Q698" s="92">
        <v>0</v>
      </c>
      <c r="R698" s="77">
        <v>0</v>
      </c>
      <c r="S698" s="77">
        <v>1</v>
      </c>
      <c r="T698" s="76">
        <f>STOCK[[#This Row],[Costo Unitario (USD)]]+STOCK[[#This Row],[Costo Envío (USD)]]+STOCK[[#This Row],[Comisión 10%]]</f>
        <v>6.5</v>
      </c>
      <c r="U698" s="77">
        <f>STOCK[[#This Row],[Costo total]]*1.5</f>
        <v>9.75</v>
      </c>
      <c r="V698" s="77">
        <v>10</v>
      </c>
      <c r="W698" s="77">
        <f>STOCK[[#This Row],[Precio Final]]-STOCK[[#This Row],[Costo total]]</f>
        <v>3.5</v>
      </c>
      <c r="X698" s="77">
        <f>STOCK[[#This Row],[Ganancia Unitaria]]*STOCK[[#This Row],[Salidas]]</f>
        <v>0</v>
      </c>
      <c r="AA698" s="77">
        <f>STOCK[[#This Row],[Costo total]]*STOCK[[#This Row],[Entradas]]</f>
        <v>6.5</v>
      </c>
      <c r="AB698" s="77">
        <f>STOCK[[#This Row],[Stock Actual]]*STOCK[[#This Row],[Costo total]]</f>
        <v>6.5</v>
      </c>
    </row>
    <row r="699" s="76" customFormat="1" ht="50" customHeight="1" spans="1:28">
      <c r="A699" s="76" t="s">
        <v>1407</v>
      </c>
      <c r="B699" s="6"/>
      <c r="C699" s="76" t="s">
        <v>30</v>
      </c>
      <c r="D699" s="76" t="s">
        <v>151</v>
      </c>
      <c r="E699" s="76" t="s">
        <v>1408</v>
      </c>
      <c r="F699" s="76" t="s">
        <v>60</v>
      </c>
      <c r="G699" s="76" t="s">
        <v>1294</v>
      </c>
      <c r="H699" s="76">
        <f>STOCK[[#This Row],[Precio Final]]</f>
        <v>23</v>
      </c>
      <c r="I699" s="76">
        <f>STOCK[[#This Row],[Precio Venta Ideal (x1.5)]]</f>
        <v>24.78</v>
      </c>
      <c r="J699" s="91">
        <v>4</v>
      </c>
      <c r="K699" s="91">
        <f>SUMIFS(VENTAS[Cantidad],VENTAS[Código del producto Vendido],STOCK[[#This Row],[Code]])</f>
        <v>4</v>
      </c>
      <c r="L699" s="91">
        <f>STOCK[[#This Row],[Entradas]]-STOCK[[#This Row],[Salidas]]</f>
        <v>0</v>
      </c>
      <c r="M699" s="76">
        <f>STOCK[[#This Row],[Precio Final]]*10%</f>
        <v>2.3</v>
      </c>
      <c r="N699" s="76">
        <v>0</v>
      </c>
      <c r="O699" s="76">
        <v>31</v>
      </c>
      <c r="P699" s="76">
        <v>10.22</v>
      </c>
      <c r="Q699" s="91">
        <v>0</v>
      </c>
      <c r="R699" s="76">
        <v>0</v>
      </c>
      <c r="S699" s="76">
        <v>4</v>
      </c>
      <c r="T699" s="76">
        <f>STOCK[[#This Row],[Costo Unitario (USD)]]+STOCK[[#This Row],[Costo Envío (USD)]]+STOCK[[#This Row],[Comisión 10%]]</f>
        <v>16.52</v>
      </c>
      <c r="U699" s="76">
        <f>STOCK[[#This Row],[Costo total]]*1.5</f>
        <v>24.78</v>
      </c>
      <c r="V699" s="76">
        <v>23</v>
      </c>
      <c r="W699" s="76">
        <f>STOCK[[#This Row],[Precio Final]]-STOCK[[#This Row],[Costo total]]</f>
        <v>6.48</v>
      </c>
      <c r="X699" s="76">
        <f>STOCK[[#This Row],[Ganancia Unitaria]]*STOCK[[#This Row],[Salidas]]</f>
        <v>25.92</v>
      </c>
      <c r="AA699" s="76">
        <f>STOCK[[#This Row],[Costo total]]*STOCK[[#This Row],[Entradas]]</f>
        <v>66.08</v>
      </c>
      <c r="AB699" s="76">
        <f>STOCK[[#This Row],[Stock Actual]]*STOCK[[#This Row],[Costo total]]</f>
        <v>0</v>
      </c>
    </row>
    <row r="700" s="77" customFormat="1" ht="50" customHeight="1" spans="1:28">
      <c r="A700" s="77" t="s">
        <v>1409</v>
      </c>
      <c r="B700" s="6"/>
      <c r="C700" s="77" t="s">
        <v>30</v>
      </c>
      <c r="D700" s="77" t="s">
        <v>151</v>
      </c>
      <c r="E700" s="77" t="s">
        <v>1410</v>
      </c>
      <c r="F700" s="77" t="s">
        <v>1303</v>
      </c>
      <c r="G700" s="77" t="s">
        <v>1294</v>
      </c>
      <c r="H700" s="77">
        <f>STOCK[[#This Row],[Precio Final]]</f>
        <v>23</v>
      </c>
      <c r="I700" s="77">
        <f>STOCK[[#This Row],[Precio Venta Ideal (x1.5)]]</f>
        <v>24.78</v>
      </c>
      <c r="J700" s="92">
        <v>1</v>
      </c>
      <c r="K700" s="92">
        <f>SUMIFS(VENTAS[Cantidad],VENTAS[Código del producto Vendido],STOCK[[#This Row],[Code]])</f>
        <v>1</v>
      </c>
      <c r="L700" s="92">
        <f>STOCK[[#This Row],[Entradas]]-STOCK[[#This Row],[Salidas]]</f>
        <v>0</v>
      </c>
      <c r="M700" s="77">
        <f>STOCK[[#This Row],[Precio Final]]*10%</f>
        <v>2.3</v>
      </c>
      <c r="N700" s="77">
        <v>0</v>
      </c>
      <c r="O700" s="77">
        <v>31</v>
      </c>
      <c r="P700" s="77">
        <v>10.22</v>
      </c>
      <c r="Q700" s="92">
        <v>0</v>
      </c>
      <c r="R700" s="77">
        <v>0</v>
      </c>
      <c r="S700" s="77">
        <v>4</v>
      </c>
      <c r="T700" s="76">
        <f>STOCK[[#This Row],[Costo Unitario (USD)]]+STOCK[[#This Row],[Costo Envío (USD)]]+STOCK[[#This Row],[Comisión 10%]]</f>
        <v>16.52</v>
      </c>
      <c r="U700" s="77">
        <f>STOCK[[#This Row],[Costo total]]*1.5</f>
        <v>24.78</v>
      </c>
      <c r="V700" s="77">
        <v>23</v>
      </c>
      <c r="W700" s="77">
        <f>STOCK[[#This Row],[Precio Final]]-STOCK[[#This Row],[Costo total]]</f>
        <v>6.48</v>
      </c>
      <c r="X700" s="77">
        <f>STOCK[[#This Row],[Ganancia Unitaria]]*STOCK[[#This Row],[Salidas]]</f>
        <v>6.48</v>
      </c>
      <c r="AA700" s="77">
        <f>STOCK[[#This Row],[Costo total]]*STOCK[[#This Row],[Entradas]]</f>
        <v>16.52</v>
      </c>
      <c r="AB700" s="77">
        <f>STOCK[[#This Row],[Stock Actual]]*STOCK[[#This Row],[Costo total]]</f>
        <v>0</v>
      </c>
    </row>
    <row r="701" s="76" customFormat="1" ht="50" customHeight="1" spans="1:29">
      <c r="A701" s="76" t="s">
        <v>1411</v>
      </c>
      <c r="B701" s="6"/>
      <c r="C701" s="76" t="s">
        <v>30</v>
      </c>
      <c r="D701" s="76" t="s">
        <v>195</v>
      </c>
      <c r="E701" s="76" t="s">
        <v>1412</v>
      </c>
      <c r="F701" s="76" t="s">
        <v>1413</v>
      </c>
      <c r="G701" s="76" t="s">
        <v>1294</v>
      </c>
      <c r="H701" s="76">
        <f>STOCK[[#This Row],[Precio Final]]</f>
        <v>35</v>
      </c>
      <c r="I701" s="76">
        <f>STOCK[[#This Row],[Precio Venta Ideal (x1.5)]]</f>
        <v>35.25</v>
      </c>
      <c r="J701" s="91">
        <v>3</v>
      </c>
      <c r="K701" s="91">
        <f>SUMIFS(VENTAS[Cantidad],VENTAS[Código del producto Vendido],STOCK[[#This Row],[Code]])</f>
        <v>1</v>
      </c>
      <c r="L701" s="91">
        <f>STOCK[[#This Row],[Entradas]]-STOCK[[#This Row],[Salidas]]</f>
        <v>2</v>
      </c>
      <c r="M701" s="76">
        <f>STOCK[[#This Row],[Precio Final]]*10%</f>
        <v>3.5</v>
      </c>
      <c r="N701" s="76">
        <v>0</v>
      </c>
      <c r="O701" s="76">
        <v>44</v>
      </c>
      <c r="P701" s="76">
        <v>15</v>
      </c>
      <c r="Q701" s="91">
        <v>0</v>
      </c>
      <c r="R701" s="76">
        <v>0</v>
      </c>
      <c r="S701" s="76">
        <v>5</v>
      </c>
      <c r="T701" s="76">
        <f>STOCK[[#This Row],[Costo Unitario (USD)]]+STOCK[[#This Row],[Costo Envío (USD)]]+STOCK[[#This Row],[Comisión 10%]]</f>
        <v>23.5</v>
      </c>
      <c r="U701" s="76">
        <f>STOCK[[#This Row],[Costo total]]*1.5</f>
        <v>35.25</v>
      </c>
      <c r="V701" s="76">
        <v>35</v>
      </c>
      <c r="W701" s="76">
        <f>STOCK[[#This Row],[Precio Final]]-STOCK[[#This Row],[Costo total]]</f>
        <v>11.5</v>
      </c>
      <c r="X701" s="76">
        <f>STOCK[[#This Row],[Ganancia Unitaria]]*STOCK[[#This Row],[Salidas]]</f>
        <v>11.5</v>
      </c>
      <c r="AA701" s="76">
        <f>STOCK[[#This Row],[Costo total]]*STOCK[[#This Row],[Entradas]]</f>
        <v>70.5</v>
      </c>
      <c r="AB701" s="76">
        <f>STOCK[[#This Row],[Stock Actual]]*STOCK[[#This Row],[Costo total]]</f>
        <v>47</v>
      </c>
      <c r="AC701" s="76">
        <v>30</v>
      </c>
    </row>
    <row r="702" s="77" customFormat="1" ht="50" customHeight="1" spans="1:28">
      <c r="A702" s="77" t="s">
        <v>1414</v>
      </c>
      <c r="B702" s="6"/>
      <c r="C702" s="77" t="s">
        <v>30</v>
      </c>
      <c r="D702" s="77" t="s">
        <v>151</v>
      </c>
      <c r="E702" s="77" t="s">
        <v>1412</v>
      </c>
      <c r="F702" s="77" t="s">
        <v>1415</v>
      </c>
      <c r="G702" s="77" t="s">
        <v>1294</v>
      </c>
      <c r="H702" s="77">
        <f>STOCK[[#This Row],[Precio Final]]</f>
        <v>32</v>
      </c>
      <c r="I702" s="77">
        <f>STOCK[[#This Row],[Precio Venta Ideal (x1.5)]]</f>
        <v>34.8</v>
      </c>
      <c r="J702" s="92">
        <v>3</v>
      </c>
      <c r="K702" s="92">
        <f>SUMIFS(VENTAS[Cantidad],VENTAS[Código del producto Vendido],STOCK[[#This Row],[Code]])</f>
        <v>3</v>
      </c>
      <c r="L702" s="92">
        <f>STOCK[[#This Row],[Entradas]]-STOCK[[#This Row],[Salidas]]</f>
        <v>0</v>
      </c>
      <c r="M702" s="77">
        <f>STOCK[[#This Row],[Precio Final]]*10%</f>
        <v>3.2</v>
      </c>
      <c r="N702" s="77">
        <v>0</v>
      </c>
      <c r="O702" s="77">
        <v>66</v>
      </c>
      <c r="P702" s="77">
        <v>15</v>
      </c>
      <c r="Q702" s="92">
        <v>0</v>
      </c>
      <c r="R702" s="77">
        <v>0</v>
      </c>
      <c r="S702" s="77">
        <v>5</v>
      </c>
      <c r="T702" s="76">
        <f>STOCK[[#This Row],[Costo Unitario (USD)]]+STOCK[[#This Row],[Costo Envío (USD)]]+STOCK[[#This Row],[Comisión 10%]]</f>
        <v>23.2</v>
      </c>
      <c r="U702" s="77">
        <f>STOCK[[#This Row],[Costo total]]*1.5</f>
        <v>34.8</v>
      </c>
      <c r="V702" s="77">
        <v>32</v>
      </c>
      <c r="W702" s="77">
        <f>STOCK[[#This Row],[Precio Final]]-STOCK[[#This Row],[Costo total]]</f>
        <v>8.8</v>
      </c>
      <c r="X702" s="77">
        <f>STOCK[[#This Row],[Ganancia Unitaria]]*STOCK[[#This Row],[Salidas]]</f>
        <v>26.4</v>
      </c>
      <c r="AA702" s="77">
        <f>STOCK[[#This Row],[Costo total]]*STOCK[[#This Row],[Entradas]]</f>
        <v>69.6</v>
      </c>
      <c r="AB702" s="77">
        <f>STOCK[[#This Row],[Stock Actual]]*STOCK[[#This Row],[Costo total]]</f>
        <v>0</v>
      </c>
    </row>
    <row r="703" s="76" customFormat="1" ht="50" customHeight="1" spans="1:28">
      <c r="A703" s="76" t="s">
        <v>1416</v>
      </c>
      <c r="B703" s="6"/>
      <c r="C703" s="76" t="s">
        <v>30</v>
      </c>
      <c r="D703" s="76" t="s">
        <v>42</v>
      </c>
      <c r="E703" s="76" t="s">
        <v>1417</v>
      </c>
      <c r="F703" s="76" t="s">
        <v>47</v>
      </c>
      <c r="G703" s="76" t="s">
        <v>1294</v>
      </c>
      <c r="H703" s="76">
        <f>STOCK[[#This Row],[Precio Final]]</f>
        <v>30</v>
      </c>
      <c r="I703" s="76">
        <f>STOCK[[#This Row],[Precio Venta Ideal (x1.5)]]</f>
        <v>41.385</v>
      </c>
      <c r="J703" s="91">
        <v>2</v>
      </c>
      <c r="K703" s="91">
        <f>SUMIFS(VENTAS[Cantidad],VENTAS[Código del producto Vendido],STOCK[[#This Row],[Code]])</f>
        <v>2</v>
      </c>
      <c r="L703" s="91">
        <f>STOCK[[#This Row],[Entradas]]-STOCK[[#This Row],[Salidas]]</f>
        <v>0</v>
      </c>
      <c r="M703" s="76">
        <f>STOCK[[#This Row],[Precio Final]]*10%</f>
        <v>3</v>
      </c>
      <c r="N703" s="76">
        <v>0</v>
      </c>
      <c r="O703" s="76">
        <v>29.59</v>
      </c>
      <c r="P703" s="76">
        <v>19.59</v>
      </c>
      <c r="Q703" s="91">
        <v>0</v>
      </c>
      <c r="R703" s="76">
        <v>0</v>
      </c>
      <c r="S703" s="76">
        <v>5</v>
      </c>
      <c r="T703" s="76">
        <f>STOCK[[#This Row],[Costo Unitario (USD)]]+STOCK[[#This Row],[Costo Envío (USD)]]+STOCK[[#This Row],[Comisión 10%]]</f>
        <v>27.59</v>
      </c>
      <c r="U703" s="76">
        <f>STOCK[[#This Row],[Costo total]]*1.5</f>
        <v>41.385</v>
      </c>
      <c r="V703" s="76">
        <v>30</v>
      </c>
      <c r="W703" s="76">
        <f>STOCK[[#This Row],[Precio Final]]-STOCK[[#This Row],[Costo total]]</f>
        <v>2.41</v>
      </c>
      <c r="X703" s="76">
        <f>STOCK[[#This Row],[Ganancia Unitaria]]*STOCK[[#This Row],[Salidas]]</f>
        <v>4.82</v>
      </c>
      <c r="AA703" s="76">
        <f>STOCK[[#This Row],[Costo total]]*STOCK[[#This Row],[Entradas]]</f>
        <v>55.18</v>
      </c>
      <c r="AB703" s="76">
        <f>STOCK[[#This Row],[Stock Actual]]*STOCK[[#This Row],[Costo total]]</f>
        <v>0</v>
      </c>
    </row>
    <row r="704" s="77" customFormat="1" ht="50" customHeight="1" spans="1:28">
      <c r="A704" s="77" t="s">
        <v>1418</v>
      </c>
      <c r="B704" s="6"/>
      <c r="C704" s="77" t="s">
        <v>30</v>
      </c>
      <c r="D704" s="77" t="s">
        <v>151</v>
      </c>
      <c r="E704" s="77" t="s">
        <v>1417</v>
      </c>
      <c r="F704" s="77" t="s">
        <v>60</v>
      </c>
      <c r="G704" s="77" t="s">
        <v>1294</v>
      </c>
      <c r="H704" s="77">
        <f>STOCK[[#This Row],[Precio Final]]</f>
        <v>30</v>
      </c>
      <c r="I704" s="77">
        <f>STOCK[[#This Row],[Precio Venta Ideal (x1.5)]]</f>
        <v>41.385</v>
      </c>
      <c r="J704" s="92">
        <v>2</v>
      </c>
      <c r="K704" s="92">
        <f>SUMIFS(VENTAS[Cantidad],VENTAS[Código del producto Vendido],STOCK[[#This Row],[Code]])</f>
        <v>2</v>
      </c>
      <c r="L704" s="92">
        <f>STOCK[[#This Row],[Entradas]]-STOCK[[#This Row],[Salidas]]</f>
        <v>0</v>
      </c>
      <c r="M704" s="77">
        <f>STOCK[[#This Row],[Precio Final]]*10%</f>
        <v>3</v>
      </c>
      <c r="N704" s="77">
        <v>0</v>
      </c>
      <c r="O704" s="77">
        <v>29.59</v>
      </c>
      <c r="P704" s="77">
        <v>19.59</v>
      </c>
      <c r="Q704" s="92">
        <v>0</v>
      </c>
      <c r="R704" s="77">
        <v>0</v>
      </c>
      <c r="S704" s="77">
        <v>5</v>
      </c>
      <c r="T704" s="76">
        <f>STOCK[[#This Row],[Costo Unitario (USD)]]+STOCK[[#This Row],[Costo Envío (USD)]]+STOCK[[#This Row],[Comisión 10%]]</f>
        <v>27.59</v>
      </c>
      <c r="U704" s="77">
        <f>STOCK[[#This Row],[Costo total]]*1.5</f>
        <v>41.385</v>
      </c>
      <c r="V704" s="77">
        <v>30</v>
      </c>
      <c r="W704" s="77">
        <f>STOCK[[#This Row],[Precio Final]]-STOCK[[#This Row],[Costo total]]</f>
        <v>2.41</v>
      </c>
      <c r="X704" s="77">
        <f>STOCK[[#This Row],[Ganancia Unitaria]]*STOCK[[#This Row],[Salidas]]</f>
        <v>4.82</v>
      </c>
      <c r="AA704" s="77">
        <f>STOCK[[#This Row],[Costo total]]*STOCK[[#This Row],[Entradas]]</f>
        <v>55.18</v>
      </c>
      <c r="AB704" s="77">
        <f>STOCK[[#This Row],[Stock Actual]]*STOCK[[#This Row],[Costo total]]</f>
        <v>0</v>
      </c>
    </row>
    <row r="705" s="76" customFormat="1" ht="50" customHeight="1" spans="1:28">
      <c r="A705" s="76" t="s">
        <v>1419</v>
      </c>
      <c r="B705" s="6"/>
      <c r="C705" s="76" t="s">
        <v>30</v>
      </c>
      <c r="D705" s="76" t="s">
        <v>151</v>
      </c>
      <c r="E705" s="76" t="s">
        <v>1420</v>
      </c>
      <c r="F705" s="76" t="s">
        <v>60</v>
      </c>
      <c r="G705" s="76" t="s">
        <v>1294</v>
      </c>
      <c r="H705" s="76">
        <f>STOCK[[#This Row],[Precio Final]]</f>
        <v>20</v>
      </c>
      <c r="I705" s="76">
        <f>STOCK[[#This Row],[Precio Venta Ideal (x1.5)]]</f>
        <v>22.485</v>
      </c>
      <c r="J705" s="91">
        <v>2</v>
      </c>
      <c r="K705" s="91">
        <f>SUMIFS(VENTAS[Cantidad],VENTAS[Código del producto Vendido],STOCK[[#This Row],[Code]])</f>
        <v>2</v>
      </c>
      <c r="L705" s="91">
        <f>STOCK[[#This Row],[Entradas]]-STOCK[[#This Row],[Salidas]]</f>
        <v>0</v>
      </c>
      <c r="M705" s="76">
        <f>STOCK[[#This Row],[Precio Final]]*10%</f>
        <v>2</v>
      </c>
      <c r="N705" s="76">
        <v>0</v>
      </c>
      <c r="O705" s="76">
        <v>30</v>
      </c>
      <c r="P705" s="76">
        <v>9.99</v>
      </c>
      <c r="Q705" s="91">
        <v>0</v>
      </c>
      <c r="R705" s="76">
        <v>0</v>
      </c>
      <c r="S705" s="76">
        <v>3</v>
      </c>
      <c r="T705" s="76">
        <f>STOCK[[#This Row],[Costo Unitario (USD)]]+STOCK[[#This Row],[Costo Envío (USD)]]+STOCK[[#This Row],[Comisión 10%]]</f>
        <v>14.99</v>
      </c>
      <c r="U705" s="76">
        <f>STOCK[[#This Row],[Costo total]]*1.5</f>
        <v>22.485</v>
      </c>
      <c r="V705" s="76">
        <v>20</v>
      </c>
      <c r="W705" s="76">
        <f>STOCK[[#This Row],[Precio Final]]-STOCK[[#This Row],[Costo total]]</f>
        <v>5.01</v>
      </c>
      <c r="X705" s="76">
        <f>STOCK[[#This Row],[Ganancia Unitaria]]*STOCK[[#This Row],[Salidas]]</f>
        <v>10.02</v>
      </c>
      <c r="AA705" s="76">
        <f>STOCK[[#This Row],[Costo total]]*STOCK[[#This Row],[Entradas]]</f>
        <v>29.98</v>
      </c>
      <c r="AB705" s="76">
        <f>STOCK[[#This Row],[Stock Actual]]*STOCK[[#This Row],[Costo total]]</f>
        <v>0</v>
      </c>
    </row>
    <row r="706" s="77" customFormat="1" ht="50" customHeight="1" spans="1:28">
      <c r="A706" s="77" t="s">
        <v>1421</v>
      </c>
      <c r="B706" s="6"/>
      <c r="C706" s="77" t="s">
        <v>30</v>
      </c>
      <c r="D706" s="77" t="s">
        <v>933</v>
      </c>
      <c r="E706" s="77" t="s">
        <v>1422</v>
      </c>
      <c r="F706" s="77" t="s">
        <v>1423</v>
      </c>
      <c r="G706" s="77" t="s">
        <v>702</v>
      </c>
      <c r="H706" s="77">
        <f>STOCK[[#This Row],[Precio Final]]</f>
        <v>30</v>
      </c>
      <c r="I706" s="77">
        <f>STOCK[[#This Row],[Precio Venta Ideal (x1.5)]]</f>
        <v>36</v>
      </c>
      <c r="J706" s="92">
        <v>1</v>
      </c>
      <c r="K706" s="92">
        <f>SUMIFS(VENTAS[Cantidad],VENTAS[Código del producto Vendido],STOCK[[#This Row],[Code]])</f>
        <v>1</v>
      </c>
      <c r="L706" s="92">
        <f>STOCK[[#This Row],[Entradas]]-STOCK[[#This Row],[Salidas]]</f>
        <v>0</v>
      </c>
      <c r="M706" s="77">
        <f>STOCK[[#This Row],[Precio Final]]*10%</f>
        <v>3</v>
      </c>
      <c r="N706" s="77">
        <v>0</v>
      </c>
      <c r="O706" s="77">
        <v>18</v>
      </c>
      <c r="P706" s="77">
        <v>18</v>
      </c>
      <c r="Q706" s="92">
        <v>0</v>
      </c>
      <c r="R706" s="77">
        <v>0</v>
      </c>
      <c r="S706" s="77">
        <v>3</v>
      </c>
      <c r="T706" s="76">
        <f>STOCK[[#This Row],[Costo Unitario (USD)]]+STOCK[[#This Row],[Costo Envío (USD)]]+STOCK[[#This Row],[Comisión 10%]]</f>
        <v>24</v>
      </c>
      <c r="U706" s="77">
        <f>STOCK[[#This Row],[Costo total]]*1.5</f>
        <v>36</v>
      </c>
      <c r="V706" s="77">
        <v>30</v>
      </c>
      <c r="W706" s="77">
        <f>STOCK[[#This Row],[Precio Final]]-STOCK[[#This Row],[Costo total]]</f>
        <v>6</v>
      </c>
      <c r="X706" s="77">
        <f>STOCK[[#This Row],[Ganancia Unitaria]]*STOCK[[#This Row],[Salidas]]</f>
        <v>6</v>
      </c>
      <c r="AA706" s="77">
        <f>STOCK[[#This Row],[Costo total]]*STOCK[[#This Row],[Entradas]]</f>
        <v>24</v>
      </c>
      <c r="AB706" s="77">
        <f>STOCK[[#This Row],[Stock Actual]]*STOCK[[#This Row],[Costo total]]</f>
        <v>0</v>
      </c>
    </row>
    <row r="707" s="76" customFormat="1" ht="50" customHeight="1" spans="1:29">
      <c r="A707" s="76" t="s">
        <v>1424</v>
      </c>
      <c r="B707" s="6"/>
      <c r="C707" s="76" t="s">
        <v>30</v>
      </c>
      <c r="D707" s="76" t="s">
        <v>215</v>
      </c>
      <c r="E707" s="76" t="s">
        <v>1425</v>
      </c>
      <c r="F707" s="76" t="s">
        <v>47</v>
      </c>
      <c r="G707" s="76" t="s">
        <v>1294</v>
      </c>
      <c r="H707" s="76">
        <f>STOCK[[#This Row],[Precio Final]]</f>
        <v>35</v>
      </c>
      <c r="I707" s="76">
        <f>STOCK[[#This Row],[Precio Venta Ideal (x1.5)]]</f>
        <v>30.75</v>
      </c>
      <c r="J707" s="91">
        <v>3</v>
      </c>
      <c r="K707" s="91">
        <f>SUMIFS(VENTAS[Cantidad],VENTAS[Código del producto Vendido],STOCK[[#This Row],[Code]])</f>
        <v>1</v>
      </c>
      <c r="L707" s="91">
        <f>STOCK[[#This Row],[Entradas]]-STOCK[[#This Row],[Salidas]]</f>
        <v>2</v>
      </c>
      <c r="M707" s="76">
        <f>STOCK[[#This Row],[Precio Final]]*10%</f>
        <v>3.5</v>
      </c>
      <c r="N707" s="76">
        <v>0</v>
      </c>
      <c r="O707" s="76">
        <v>54</v>
      </c>
      <c r="P707" s="76">
        <v>12</v>
      </c>
      <c r="Q707" s="91">
        <v>0</v>
      </c>
      <c r="R707" s="76">
        <v>0</v>
      </c>
      <c r="S707" s="76">
        <v>5</v>
      </c>
      <c r="T707" s="76">
        <f>STOCK[[#This Row],[Costo Unitario (USD)]]+STOCK[[#This Row],[Costo Envío (USD)]]+STOCK[[#This Row],[Comisión 10%]]</f>
        <v>20.5</v>
      </c>
      <c r="U707" s="76">
        <f>STOCK[[#This Row],[Costo total]]*1.5</f>
        <v>30.75</v>
      </c>
      <c r="V707" s="76">
        <v>35</v>
      </c>
      <c r="W707" s="76">
        <f>STOCK[[#This Row],[Precio Final]]-STOCK[[#This Row],[Costo total]]</f>
        <v>14.5</v>
      </c>
      <c r="X707" s="76">
        <f>STOCK[[#This Row],[Ganancia Unitaria]]*STOCK[[#This Row],[Salidas]]</f>
        <v>14.5</v>
      </c>
      <c r="AA707" s="76">
        <f>STOCK[[#This Row],[Costo total]]*STOCK[[#This Row],[Entradas]]</f>
        <v>61.5</v>
      </c>
      <c r="AB707" s="76">
        <f>STOCK[[#This Row],[Stock Actual]]*STOCK[[#This Row],[Costo total]]</f>
        <v>41</v>
      </c>
      <c r="AC707" s="76">
        <v>30</v>
      </c>
    </row>
    <row r="708" s="77" customFormat="1" ht="50" customHeight="1" spans="1:28">
      <c r="A708" s="77" t="s">
        <v>1426</v>
      </c>
      <c r="B708" s="6"/>
      <c r="C708" s="77" t="s">
        <v>30</v>
      </c>
      <c r="D708" s="77" t="s">
        <v>42</v>
      </c>
      <c r="E708" s="77" t="s">
        <v>1425</v>
      </c>
      <c r="F708" s="77" t="s">
        <v>60</v>
      </c>
      <c r="G708" s="77" t="s">
        <v>1294</v>
      </c>
      <c r="H708" s="77">
        <f>STOCK[[#This Row],[Precio Final]]</f>
        <v>30</v>
      </c>
      <c r="I708" s="77">
        <f>STOCK[[#This Row],[Precio Venta Ideal (x1.5)]]</f>
        <v>30</v>
      </c>
      <c r="J708" s="92">
        <v>2</v>
      </c>
      <c r="K708" s="92">
        <f>SUMIFS(VENTAS[Cantidad],VENTAS[Código del producto Vendido],STOCK[[#This Row],[Code]])</f>
        <v>2</v>
      </c>
      <c r="L708" s="92">
        <f>STOCK[[#This Row],[Entradas]]-STOCK[[#This Row],[Salidas]]</f>
        <v>0</v>
      </c>
      <c r="M708" s="77">
        <f>STOCK[[#This Row],[Precio Final]]*10%</f>
        <v>3</v>
      </c>
      <c r="N708" s="77">
        <v>0</v>
      </c>
      <c r="O708" s="77">
        <v>18</v>
      </c>
      <c r="P708" s="77">
        <v>12</v>
      </c>
      <c r="Q708" s="92">
        <v>0</v>
      </c>
      <c r="R708" s="77">
        <v>0</v>
      </c>
      <c r="S708" s="77">
        <v>5</v>
      </c>
      <c r="T708" s="76">
        <f>STOCK[[#This Row],[Costo Unitario (USD)]]+STOCK[[#This Row],[Costo Envío (USD)]]+STOCK[[#This Row],[Comisión 10%]]</f>
        <v>20</v>
      </c>
      <c r="U708" s="77">
        <f>STOCK[[#This Row],[Costo total]]*1.5</f>
        <v>30</v>
      </c>
      <c r="V708" s="77">
        <v>30</v>
      </c>
      <c r="W708" s="77">
        <f>STOCK[[#This Row],[Precio Final]]-STOCK[[#This Row],[Costo total]]</f>
        <v>10</v>
      </c>
      <c r="X708" s="77">
        <f>STOCK[[#This Row],[Ganancia Unitaria]]*STOCK[[#This Row],[Salidas]]</f>
        <v>20</v>
      </c>
      <c r="AA708" s="77">
        <f>STOCK[[#This Row],[Costo total]]*STOCK[[#This Row],[Entradas]]</f>
        <v>40</v>
      </c>
      <c r="AB708" s="77">
        <f>STOCK[[#This Row],[Stock Actual]]*STOCK[[#This Row],[Costo total]]</f>
        <v>0</v>
      </c>
    </row>
    <row r="709" s="76" customFormat="1" ht="50" customHeight="1" spans="1:28">
      <c r="A709" s="76" t="s">
        <v>1427</v>
      </c>
      <c r="B709" s="6"/>
      <c r="C709" s="76" t="s">
        <v>30</v>
      </c>
      <c r="D709" s="76" t="s">
        <v>514</v>
      </c>
      <c r="E709" s="76" t="s">
        <v>1428</v>
      </c>
      <c r="F709" s="76" t="s">
        <v>757</v>
      </c>
      <c r="G709" s="76" t="s">
        <v>1294</v>
      </c>
      <c r="H709" s="76">
        <f>STOCK[[#This Row],[Precio Final]]</f>
        <v>18</v>
      </c>
      <c r="I709" s="76">
        <f>STOCK[[#This Row],[Precio Venta Ideal (x1.5)]]</f>
        <v>19.935</v>
      </c>
      <c r="J709" s="91">
        <v>1</v>
      </c>
      <c r="K709" s="91">
        <f>SUMIFS(VENTAS[Cantidad],VENTAS[Código del producto Vendido],STOCK[[#This Row],[Code]])</f>
        <v>1</v>
      </c>
      <c r="L709" s="91">
        <f>STOCK[[#This Row],[Entradas]]-STOCK[[#This Row],[Salidas]]</f>
        <v>0</v>
      </c>
      <c r="M709" s="76">
        <f>STOCK[[#This Row],[Precio Final]]*10%</f>
        <v>1.8</v>
      </c>
      <c r="N709" s="76">
        <v>0</v>
      </c>
      <c r="O709" s="76">
        <v>12.49</v>
      </c>
      <c r="P709" s="76">
        <v>7.49</v>
      </c>
      <c r="Q709" s="91">
        <v>0</v>
      </c>
      <c r="R709" s="76">
        <v>0</v>
      </c>
      <c r="S709" s="76">
        <v>4</v>
      </c>
      <c r="T709" s="76">
        <f>STOCK[[#This Row],[Costo Unitario (USD)]]+STOCK[[#This Row],[Costo Envío (USD)]]+STOCK[[#This Row],[Comisión 10%]]</f>
        <v>13.29</v>
      </c>
      <c r="U709" s="76">
        <f>STOCK[[#This Row],[Costo total]]*1.5</f>
        <v>19.935</v>
      </c>
      <c r="V709" s="76">
        <v>18</v>
      </c>
      <c r="W709" s="76">
        <f>STOCK[[#This Row],[Precio Final]]-STOCK[[#This Row],[Costo total]]</f>
        <v>4.71</v>
      </c>
      <c r="X709" s="76">
        <f>STOCK[[#This Row],[Ganancia Unitaria]]*STOCK[[#This Row],[Salidas]]</f>
        <v>4.71</v>
      </c>
      <c r="Y709" s="76" t="s">
        <v>1429</v>
      </c>
      <c r="AA709" s="76">
        <f>STOCK[[#This Row],[Costo total]]*STOCK[[#This Row],[Entradas]]</f>
        <v>13.29</v>
      </c>
      <c r="AB709" s="76">
        <f>STOCK[[#This Row],[Stock Actual]]*STOCK[[#This Row],[Costo total]]</f>
        <v>0</v>
      </c>
    </row>
    <row r="710" s="77" customFormat="1" ht="50" customHeight="1" spans="1:28">
      <c r="A710" s="77" t="s">
        <v>1430</v>
      </c>
      <c r="B710" s="6"/>
      <c r="C710" s="77" t="s">
        <v>30</v>
      </c>
      <c r="D710" s="76" t="s">
        <v>514</v>
      </c>
      <c r="E710" s="77" t="s">
        <v>1428</v>
      </c>
      <c r="F710" s="77" t="s">
        <v>762</v>
      </c>
      <c r="G710" s="77" t="s">
        <v>1294</v>
      </c>
      <c r="H710" s="77">
        <f>STOCK[[#This Row],[Precio Final]]</f>
        <v>18</v>
      </c>
      <c r="I710" s="77">
        <f>STOCK[[#This Row],[Precio Venta Ideal (x1.5)]]</f>
        <v>19.935</v>
      </c>
      <c r="J710" s="92">
        <v>1</v>
      </c>
      <c r="K710" s="92">
        <f>SUMIFS(VENTAS[Cantidad],VENTAS[Código del producto Vendido],STOCK[[#This Row],[Code]])</f>
        <v>1</v>
      </c>
      <c r="L710" s="92">
        <f>STOCK[[#This Row],[Entradas]]-STOCK[[#This Row],[Salidas]]</f>
        <v>0</v>
      </c>
      <c r="M710" s="77">
        <f>STOCK[[#This Row],[Precio Final]]*10%</f>
        <v>1.8</v>
      </c>
      <c r="N710" s="77">
        <v>0</v>
      </c>
      <c r="O710" s="77">
        <v>12.49</v>
      </c>
      <c r="P710" s="77">
        <v>7.49</v>
      </c>
      <c r="Q710" s="92">
        <v>0</v>
      </c>
      <c r="R710" s="77">
        <v>0</v>
      </c>
      <c r="S710" s="77">
        <v>4</v>
      </c>
      <c r="T710" s="76">
        <f>STOCK[[#This Row],[Costo Unitario (USD)]]+STOCK[[#This Row],[Costo Envío (USD)]]+STOCK[[#This Row],[Comisión 10%]]</f>
        <v>13.29</v>
      </c>
      <c r="U710" s="77">
        <f>STOCK[[#This Row],[Costo total]]*1.5</f>
        <v>19.935</v>
      </c>
      <c r="V710" s="77">
        <v>18</v>
      </c>
      <c r="W710" s="77">
        <f>STOCK[[#This Row],[Precio Final]]-STOCK[[#This Row],[Costo total]]</f>
        <v>4.71</v>
      </c>
      <c r="X710" s="77">
        <f>STOCK[[#This Row],[Ganancia Unitaria]]*STOCK[[#This Row],[Salidas]]</f>
        <v>4.71</v>
      </c>
      <c r="Y710" s="77" t="s">
        <v>1429</v>
      </c>
      <c r="AA710" s="77">
        <f>STOCK[[#This Row],[Costo total]]*STOCK[[#This Row],[Entradas]]</f>
        <v>13.29</v>
      </c>
      <c r="AB710" s="77">
        <f>STOCK[[#This Row],[Stock Actual]]*STOCK[[#This Row],[Costo total]]</f>
        <v>0</v>
      </c>
    </row>
    <row r="711" s="76" customFormat="1" ht="50" customHeight="1" spans="1:28">
      <c r="A711" s="76" t="s">
        <v>1431</v>
      </c>
      <c r="B711" s="6"/>
      <c r="C711" s="76" t="s">
        <v>30</v>
      </c>
      <c r="D711" s="76" t="s">
        <v>514</v>
      </c>
      <c r="E711" s="76" t="s">
        <v>1428</v>
      </c>
      <c r="F711" s="76" t="s">
        <v>539</v>
      </c>
      <c r="G711" s="76" t="s">
        <v>1294</v>
      </c>
      <c r="H711" s="76">
        <f>STOCK[[#This Row],[Precio Final]]</f>
        <v>18</v>
      </c>
      <c r="I711" s="76">
        <f>STOCK[[#This Row],[Precio Venta Ideal (x1.5)]]</f>
        <v>19.935</v>
      </c>
      <c r="J711" s="91">
        <v>1</v>
      </c>
      <c r="K711" s="91">
        <f>SUMIFS(VENTAS[Cantidad],VENTAS[Código del producto Vendido],STOCK[[#This Row],[Code]])</f>
        <v>1</v>
      </c>
      <c r="L711" s="91">
        <f>STOCK[[#This Row],[Entradas]]-STOCK[[#This Row],[Salidas]]</f>
        <v>0</v>
      </c>
      <c r="M711" s="76">
        <f>STOCK[[#This Row],[Precio Final]]*10%</f>
        <v>1.8</v>
      </c>
      <c r="N711" s="76">
        <v>0</v>
      </c>
      <c r="O711" s="76">
        <v>12.49</v>
      </c>
      <c r="P711" s="76">
        <v>7.49</v>
      </c>
      <c r="Q711" s="91">
        <v>0</v>
      </c>
      <c r="R711" s="76">
        <v>0</v>
      </c>
      <c r="S711" s="76">
        <v>4</v>
      </c>
      <c r="T711" s="76">
        <f>STOCK[[#This Row],[Costo Unitario (USD)]]+STOCK[[#This Row],[Costo Envío (USD)]]+STOCK[[#This Row],[Comisión 10%]]</f>
        <v>13.29</v>
      </c>
      <c r="U711" s="76">
        <f>STOCK[[#This Row],[Costo total]]*1.5</f>
        <v>19.935</v>
      </c>
      <c r="V711" s="76">
        <v>18</v>
      </c>
      <c r="W711" s="76">
        <f>STOCK[[#This Row],[Precio Final]]-STOCK[[#This Row],[Costo total]]</f>
        <v>4.71</v>
      </c>
      <c r="X711" s="76">
        <f>STOCK[[#This Row],[Ganancia Unitaria]]*STOCK[[#This Row],[Salidas]]</f>
        <v>4.71</v>
      </c>
      <c r="Y711" s="76" t="s">
        <v>1429</v>
      </c>
      <c r="AA711" s="76">
        <f>STOCK[[#This Row],[Costo total]]*STOCK[[#This Row],[Entradas]]</f>
        <v>13.29</v>
      </c>
      <c r="AB711" s="76">
        <f>STOCK[[#This Row],[Stock Actual]]*STOCK[[#This Row],[Costo total]]</f>
        <v>0</v>
      </c>
    </row>
    <row r="712" s="77" customFormat="1" ht="50" customHeight="1" spans="1:28">
      <c r="A712" s="77" t="s">
        <v>1432</v>
      </c>
      <c r="B712" s="6"/>
      <c r="C712" s="77" t="s">
        <v>30</v>
      </c>
      <c r="D712" s="77" t="s">
        <v>151</v>
      </c>
      <c r="E712" s="77" t="s">
        <v>1433</v>
      </c>
      <c r="F712" s="77" t="s">
        <v>1423</v>
      </c>
      <c r="G712" s="77" t="s">
        <v>702</v>
      </c>
      <c r="H712" s="77">
        <f>STOCK[[#This Row],[Precio Final]]</f>
        <v>30</v>
      </c>
      <c r="I712" s="77">
        <f>STOCK[[#This Row],[Precio Venta Ideal (x1.5)]]</f>
        <v>36</v>
      </c>
      <c r="J712" s="92">
        <v>0</v>
      </c>
      <c r="K712" s="92">
        <f>SUMIFS(VENTAS[Cantidad],VENTAS[Código del producto Vendido],STOCK[[#This Row],[Code]])</f>
        <v>0</v>
      </c>
      <c r="L712" s="92">
        <f>STOCK[[#This Row],[Entradas]]-STOCK[[#This Row],[Salidas]]</f>
        <v>0</v>
      </c>
      <c r="M712" s="77">
        <f>STOCK[[#This Row],[Precio Final]]*10%</f>
        <v>3</v>
      </c>
      <c r="N712" s="77">
        <v>0</v>
      </c>
      <c r="O712" s="77">
        <v>0</v>
      </c>
      <c r="P712" s="77">
        <v>18</v>
      </c>
      <c r="Q712" s="92">
        <v>0</v>
      </c>
      <c r="R712" s="77">
        <v>0</v>
      </c>
      <c r="S712" s="77">
        <v>3</v>
      </c>
      <c r="T712" s="76">
        <f>STOCK[[#This Row],[Costo Unitario (USD)]]+STOCK[[#This Row],[Costo Envío (USD)]]+STOCK[[#This Row],[Comisión 10%]]</f>
        <v>24</v>
      </c>
      <c r="U712" s="77">
        <f>STOCK[[#This Row],[Costo total]]*1.5</f>
        <v>36</v>
      </c>
      <c r="V712" s="77">
        <v>30</v>
      </c>
      <c r="W712" s="77">
        <f>STOCK[[#This Row],[Precio Final]]-STOCK[[#This Row],[Costo total]]</f>
        <v>6</v>
      </c>
      <c r="X712" s="77">
        <f>STOCK[[#This Row],[Ganancia Unitaria]]*STOCK[[#This Row],[Salidas]]</f>
        <v>0</v>
      </c>
      <c r="AA712" s="77">
        <f>STOCK[[#This Row],[Costo total]]*STOCK[[#This Row],[Entradas]]</f>
        <v>0</v>
      </c>
      <c r="AB712" s="77">
        <f>STOCK[[#This Row],[Stock Actual]]*STOCK[[#This Row],[Costo total]]</f>
        <v>0</v>
      </c>
    </row>
    <row r="713" s="76" customFormat="1" ht="50" customHeight="1" spans="1:28">
      <c r="A713" s="76" t="s">
        <v>1434</v>
      </c>
      <c r="B713" s="6"/>
      <c r="C713" s="76" t="s">
        <v>30</v>
      </c>
      <c r="D713" s="76" t="s">
        <v>514</v>
      </c>
      <c r="E713" s="76" t="s">
        <v>1435</v>
      </c>
      <c r="F713" s="76" t="s">
        <v>539</v>
      </c>
      <c r="G713" s="76" t="s">
        <v>1294</v>
      </c>
      <c r="H713" s="76">
        <f>STOCK[[#This Row],[Precio Final]]</f>
        <v>30</v>
      </c>
      <c r="I713" s="76">
        <f>STOCK[[#This Row],[Precio Venta Ideal (x1.5)]]</f>
        <v>30</v>
      </c>
      <c r="J713" s="91">
        <v>1</v>
      </c>
      <c r="K713" s="91">
        <f>SUMIFS(VENTAS[Cantidad],VENTAS[Código del producto Vendido],STOCK[[#This Row],[Code]])</f>
        <v>1</v>
      </c>
      <c r="L713" s="91">
        <f>STOCK[[#This Row],[Entradas]]-STOCK[[#This Row],[Salidas]]</f>
        <v>0</v>
      </c>
      <c r="M713" s="76">
        <f>STOCK[[#This Row],[Precio Final]]*10%</f>
        <v>3</v>
      </c>
      <c r="N713" s="76">
        <v>0</v>
      </c>
      <c r="O713" s="76">
        <v>17</v>
      </c>
      <c r="P713" s="76">
        <v>7</v>
      </c>
      <c r="Q713" s="91">
        <v>0</v>
      </c>
      <c r="R713" s="76">
        <v>0</v>
      </c>
      <c r="S713" s="76">
        <v>10</v>
      </c>
      <c r="T713" s="76">
        <f>STOCK[[#This Row],[Costo Unitario (USD)]]+STOCK[[#This Row],[Costo Envío (USD)]]+STOCK[[#This Row],[Comisión 10%]]</f>
        <v>20</v>
      </c>
      <c r="U713" s="76">
        <f>STOCK[[#This Row],[Costo total]]*1.5</f>
        <v>30</v>
      </c>
      <c r="V713" s="76">
        <v>30</v>
      </c>
      <c r="W713" s="76">
        <f>STOCK[[#This Row],[Precio Final]]-STOCK[[#This Row],[Costo total]]</f>
        <v>10</v>
      </c>
      <c r="X713" s="76">
        <f>STOCK[[#This Row],[Ganancia Unitaria]]*STOCK[[#This Row],[Salidas]]</f>
        <v>10</v>
      </c>
      <c r="Y713" s="76" t="s">
        <v>1429</v>
      </c>
      <c r="AA713" s="76">
        <f>STOCK[[#This Row],[Costo total]]*STOCK[[#This Row],[Entradas]]</f>
        <v>20</v>
      </c>
      <c r="AB713" s="76">
        <f>STOCK[[#This Row],[Stock Actual]]*STOCK[[#This Row],[Costo total]]</f>
        <v>0</v>
      </c>
    </row>
    <row r="714" s="77" customFormat="1" ht="50" customHeight="1" spans="1:28">
      <c r="A714" s="77" t="s">
        <v>1436</v>
      </c>
      <c r="B714" s="6"/>
      <c r="C714" s="77" t="s">
        <v>30</v>
      </c>
      <c r="D714" s="76" t="s">
        <v>514</v>
      </c>
      <c r="E714" s="77" t="s">
        <v>1435</v>
      </c>
      <c r="F714" s="77" t="s">
        <v>757</v>
      </c>
      <c r="G714" s="77" t="s">
        <v>1294</v>
      </c>
      <c r="H714" s="77">
        <f>STOCK[[#This Row],[Precio Final]]</f>
        <v>30</v>
      </c>
      <c r="I714" s="77">
        <f>STOCK[[#This Row],[Precio Venta Ideal (x1.5)]]</f>
        <v>30</v>
      </c>
      <c r="J714" s="92">
        <v>1</v>
      </c>
      <c r="K714" s="92">
        <f>SUMIFS(VENTAS[Cantidad],VENTAS[Código del producto Vendido],STOCK[[#This Row],[Code]])</f>
        <v>1</v>
      </c>
      <c r="L714" s="92">
        <f>STOCK[[#This Row],[Entradas]]-STOCK[[#This Row],[Salidas]]</f>
        <v>0</v>
      </c>
      <c r="M714" s="77">
        <f>STOCK[[#This Row],[Precio Final]]*10%</f>
        <v>3</v>
      </c>
      <c r="N714" s="77">
        <v>0</v>
      </c>
      <c r="O714" s="77">
        <v>17</v>
      </c>
      <c r="P714" s="77">
        <v>7</v>
      </c>
      <c r="Q714" s="92">
        <v>0</v>
      </c>
      <c r="R714" s="77">
        <v>0</v>
      </c>
      <c r="S714" s="77">
        <v>10</v>
      </c>
      <c r="T714" s="76">
        <f>STOCK[[#This Row],[Costo Unitario (USD)]]+STOCK[[#This Row],[Costo Envío (USD)]]+STOCK[[#This Row],[Comisión 10%]]</f>
        <v>20</v>
      </c>
      <c r="U714" s="77">
        <f>STOCK[[#This Row],[Costo total]]*1.5</f>
        <v>30</v>
      </c>
      <c r="V714" s="77">
        <v>30</v>
      </c>
      <c r="W714" s="77">
        <f>STOCK[[#This Row],[Precio Final]]-STOCK[[#This Row],[Costo total]]</f>
        <v>10</v>
      </c>
      <c r="X714" s="77">
        <f>STOCK[[#This Row],[Ganancia Unitaria]]*STOCK[[#This Row],[Salidas]]</f>
        <v>10</v>
      </c>
      <c r="Y714" s="77" t="s">
        <v>1429</v>
      </c>
      <c r="AA714" s="77">
        <f>STOCK[[#This Row],[Costo total]]*STOCK[[#This Row],[Entradas]]</f>
        <v>20</v>
      </c>
      <c r="AB714" s="77">
        <f>STOCK[[#This Row],[Stock Actual]]*STOCK[[#This Row],[Costo total]]</f>
        <v>0</v>
      </c>
    </row>
    <row r="715" s="76" customFormat="1" ht="50" customHeight="1" spans="1:28">
      <c r="A715" s="76" t="s">
        <v>1437</v>
      </c>
      <c r="B715" s="6"/>
      <c r="C715" s="76" t="s">
        <v>30</v>
      </c>
      <c r="D715" s="76" t="s">
        <v>514</v>
      </c>
      <c r="E715" s="76" t="s">
        <v>1435</v>
      </c>
      <c r="F715" s="76" t="s">
        <v>516</v>
      </c>
      <c r="G715" s="76" t="s">
        <v>1294</v>
      </c>
      <c r="H715" s="76">
        <f>STOCK[[#This Row],[Precio Final]]</f>
        <v>30</v>
      </c>
      <c r="I715" s="76">
        <f>STOCK[[#This Row],[Precio Venta Ideal (x1.5)]]</f>
        <v>30</v>
      </c>
      <c r="J715" s="91">
        <v>1</v>
      </c>
      <c r="K715" s="91">
        <f>SUMIFS(VENTAS[Cantidad],VENTAS[Código del producto Vendido],STOCK[[#This Row],[Code]])</f>
        <v>1</v>
      </c>
      <c r="L715" s="91">
        <f>STOCK[[#This Row],[Entradas]]-STOCK[[#This Row],[Salidas]]</f>
        <v>0</v>
      </c>
      <c r="M715" s="76">
        <f>STOCK[[#This Row],[Precio Final]]*10%</f>
        <v>3</v>
      </c>
      <c r="N715" s="76">
        <v>0</v>
      </c>
      <c r="O715" s="76">
        <v>17</v>
      </c>
      <c r="P715" s="76">
        <v>7</v>
      </c>
      <c r="Q715" s="91">
        <v>0</v>
      </c>
      <c r="R715" s="76">
        <v>0</v>
      </c>
      <c r="S715" s="76">
        <v>10</v>
      </c>
      <c r="T715" s="76">
        <f>STOCK[[#This Row],[Costo Unitario (USD)]]+STOCK[[#This Row],[Costo Envío (USD)]]+STOCK[[#This Row],[Comisión 10%]]</f>
        <v>20</v>
      </c>
      <c r="U715" s="76">
        <f>STOCK[[#This Row],[Costo total]]*1.5</f>
        <v>30</v>
      </c>
      <c r="V715" s="76">
        <v>30</v>
      </c>
      <c r="W715" s="76">
        <f>STOCK[[#This Row],[Precio Final]]-STOCK[[#This Row],[Costo total]]</f>
        <v>10</v>
      </c>
      <c r="X715" s="76">
        <f>STOCK[[#This Row],[Ganancia Unitaria]]*STOCK[[#This Row],[Salidas]]</f>
        <v>10</v>
      </c>
      <c r="Y715" s="76" t="s">
        <v>1429</v>
      </c>
      <c r="AA715" s="76">
        <f>STOCK[[#This Row],[Costo total]]*STOCK[[#This Row],[Entradas]]</f>
        <v>20</v>
      </c>
      <c r="AB715" s="76">
        <f>STOCK[[#This Row],[Stock Actual]]*STOCK[[#This Row],[Costo total]]</f>
        <v>0</v>
      </c>
    </row>
    <row r="716" s="77" customFormat="1" ht="50" customHeight="1" spans="1:28">
      <c r="A716" s="77" t="s">
        <v>1438</v>
      </c>
      <c r="B716" s="6"/>
      <c r="C716" s="77" t="s">
        <v>30</v>
      </c>
      <c r="D716" s="76" t="s">
        <v>514</v>
      </c>
      <c r="E716" s="77" t="s">
        <v>1439</v>
      </c>
      <c r="F716" s="77" t="s">
        <v>1440</v>
      </c>
      <c r="G716" s="77" t="s">
        <v>1294</v>
      </c>
      <c r="H716" s="77">
        <f>STOCK[[#This Row],[Precio Final]]</f>
        <v>27</v>
      </c>
      <c r="I716" s="77">
        <f>STOCK[[#This Row],[Precio Venta Ideal (x1.5)]]</f>
        <v>22.785</v>
      </c>
      <c r="J716" s="92">
        <v>1</v>
      </c>
      <c r="K716" s="92">
        <f>SUMIFS(VENTAS[Cantidad],VENTAS[Código del producto Vendido],STOCK[[#This Row],[Code]])</f>
        <v>1</v>
      </c>
      <c r="L716" s="92">
        <f>STOCK[[#This Row],[Entradas]]-STOCK[[#This Row],[Salidas]]</f>
        <v>0</v>
      </c>
      <c r="M716" s="77">
        <f>STOCK[[#This Row],[Precio Final]]*10%</f>
        <v>2.7</v>
      </c>
      <c r="N716" s="77">
        <v>0</v>
      </c>
      <c r="O716" s="77">
        <v>17.5</v>
      </c>
      <c r="P716" s="77">
        <v>7.49</v>
      </c>
      <c r="Q716" s="92">
        <v>0</v>
      </c>
      <c r="R716" s="77">
        <v>0</v>
      </c>
      <c r="S716" s="77">
        <v>5</v>
      </c>
      <c r="T716" s="76">
        <f>STOCK[[#This Row],[Costo Unitario (USD)]]+STOCK[[#This Row],[Costo Envío (USD)]]+STOCK[[#This Row],[Comisión 10%]]</f>
        <v>15.19</v>
      </c>
      <c r="U716" s="77">
        <f>STOCK[[#This Row],[Costo total]]*1.5</f>
        <v>22.785</v>
      </c>
      <c r="V716" s="77">
        <v>27</v>
      </c>
      <c r="W716" s="77">
        <f>STOCK[[#This Row],[Precio Final]]-STOCK[[#This Row],[Costo total]]</f>
        <v>11.81</v>
      </c>
      <c r="X716" s="77">
        <f>STOCK[[#This Row],[Ganancia Unitaria]]*STOCK[[#This Row],[Salidas]]</f>
        <v>11.81</v>
      </c>
      <c r="Y716" s="77" t="s">
        <v>1429</v>
      </c>
      <c r="AA716" s="77">
        <f>STOCK[[#This Row],[Costo total]]*STOCK[[#This Row],[Entradas]]</f>
        <v>15.19</v>
      </c>
      <c r="AB716" s="77">
        <f>STOCK[[#This Row],[Stock Actual]]*STOCK[[#This Row],[Costo total]]</f>
        <v>0</v>
      </c>
    </row>
    <row r="717" s="76" customFormat="1" ht="50" customHeight="1" spans="1:28">
      <c r="A717" s="76" t="s">
        <v>1441</v>
      </c>
      <c r="B717" s="6"/>
      <c r="C717" s="76" t="s">
        <v>30</v>
      </c>
      <c r="D717" s="76" t="s">
        <v>514</v>
      </c>
      <c r="E717" s="76" t="s">
        <v>1442</v>
      </c>
      <c r="F717" s="76" t="s">
        <v>539</v>
      </c>
      <c r="G717" s="76" t="s">
        <v>1294</v>
      </c>
      <c r="H717" s="76">
        <f>STOCK[[#This Row],[Precio Final]]</f>
        <v>27</v>
      </c>
      <c r="I717" s="76">
        <f>STOCK[[#This Row],[Precio Venta Ideal (x1.5)]]</f>
        <v>22.785</v>
      </c>
      <c r="J717" s="91">
        <v>1</v>
      </c>
      <c r="K717" s="91">
        <f>SUMIFS(VENTAS[Cantidad],VENTAS[Código del producto Vendido],STOCK[[#This Row],[Code]])</f>
        <v>1</v>
      </c>
      <c r="L717" s="91">
        <f>STOCK[[#This Row],[Entradas]]-STOCK[[#This Row],[Salidas]]</f>
        <v>0</v>
      </c>
      <c r="M717" s="76">
        <f>STOCK[[#This Row],[Precio Final]]*10%</f>
        <v>2.7</v>
      </c>
      <c r="N717" s="76">
        <v>0</v>
      </c>
      <c r="O717" s="76">
        <v>17.5</v>
      </c>
      <c r="P717" s="76">
        <v>7.49</v>
      </c>
      <c r="Q717" s="91">
        <v>0</v>
      </c>
      <c r="R717" s="76">
        <v>0</v>
      </c>
      <c r="S717" s="76">
        <v>5</v>
      </c>
      <c r="T717" s="76">
        <f>STOCK[[#This Row],[Costo Unitario (USD)]]+STOCK[[#This Row],[Costo Envío (USD)]]+STOCK[[#This Row],[Comisión 10%]]</f>
        <v>15.19</v>
      </c>
      <c r="U717" s="76">
        <f>STOCK[[#This Row],[Costo total]]*1.5</f>
        <v>22.785</v>
      </c>
      <c r="V717" s="76">
        <v>27</v>
      </c>
      <c r="W717" s="76">
        <f>STOCK[[#This Row],[Precio Final]]-STOCK[[#This Row],[Costo total]]</f>
        <v>11.81</v>
      </c>
      <c r="X717" s="76">
        <f>STOCK[[#This Row],[Ganancia Unitaria]]*STOCK[[#This Row],[Salidas]]</f>
        <v>11.81</v>
      </c>
      <c r="Y717" s="76" t="s">
        <v>1429</v>
      </c>
      <c r="AA717" s="76">
        <f>STOCK[[#This Row],[Costo total]]*STOCK[[#This Row],[Entradas]]</f>
        <v>15.19</v>
      </c>
      <c r="AB717" s="76">
        <f>STOCK[[#This Row],[Stock Actual]]*STOCK[[#This Row],[Costo total]]</f>
        <v>0</v>
      </c>
    </row>
    <row r="718" s="77" customFormat="1" ht="50" customHeight="1" spans="1:28">
      <c r="A718" s="77" t="s">
        <v>1443</v>
      </c>
      <c r="B718" s="6"/>
      <c r="C718" s="77" t="s">
        <v>30</v>
      </c>
      <c r="D718" s="77" t="s">
        <v>514</v>
      </c>
      <c r="E718" s="77" t="s">
        <v>1442</v>
      </c>
      <c r="F718" s="77" t="s">
        <v>762</v>
      </c>
      <c r="G718" s="77" t="s">
        <v>1294</v>
      </c>
      <c r="H718" s="77">
        <f>STOCK[[#This Row],[Precio Final]]</f>
        <v>27</v>
      </c>
      <c r="I718" s="77">
        <f>STOCK[[#This Row],[Precio Venta Ideal (x1.5)]]</f>
        <v>22.785</v>
      </c>
      <c r="J718" s="92">
        <v>1</v>
      </c>
      <c r="K718" s="92">
        <f>SUMIFS(VENTAS[Cantidad],VENTAS[Código del producto Vendido],STOCK[[#This Row],[Code]])</f>
        <v>1</v>
      </c>
      <c r="L718" s="92">
        <f>STOCK[[#This Row],[Entradas]]-STOCK[[#This Row],[Salidas]]</f>
        <v>0</v>
      </c>
      <c r="M718" s="77">
        <f>STOCK[[#This Row],[Precio Final]]*10%</f>
        <v>2.7</v>
      </c>
      <c r="N718" s="77">
        <v>0</v>
      </c>
      <c r="O718" s="77">
        <v>17.5</v>
      </c>
      <c r="P718" s="77">
        <v>7.49</v>
      </c>
      <c r="Q718" s="92">
        <v>0</v>
      </c>
      <c r="R718" s="77">
        <v>0</v>
      </c>
      <c r="S718" s="77">
        <v>5</v>
      </c>
      <c r="T718" s="76">
        <f>STOCK[[#This Row],[Costo Unitario (USD)]]+STOCK[[#This Row],[Costo Envío (USD)]]+STOCK[[#This Row],[Comisión 10%]]</f>
        <v>15.19</v>
      </c>
      <c r="U718" s="77">
        <f>STOCK[[#This Row],[Costo total]]*1.5</f>
        <v>22.785</v>
      </c>
      <c r="V718" s="77">
        <v>27</v>
      </c>
      <c r="W718" s="77">
        <f>STOCK[[#This Row],[Precio Final]]-STOCK[[#This Row],[Costo total]]</f>
        <v>11.81</v>
      </c>
      <c r="X718" s="77">
        <f>STOCK[[#This Row],[Ganancia Unitaria]]*STOCK[[#This Row],[Salidas]]</f>
        <v>11.81</v>
      </c>
      <c r="Y718" s="77" t="s">
        <v>1429</v>
      </c>
      <c r="AA718" s="77">
        <f>STOCK[[#This Row],[Costo total]]*STOCK[[#This Row],[Entradas]]</f>
        <v>15.19</v>
      </c>
      <c r="AB718" s="77">
        <f>STOCK[[#This Row],[Stock Actual]]*STOCK[[#This Row],[Costo total]]</f>
        <v>0</v>
      </c>
    </row>
    <row r="719" s="76" customFormat="1" ht="50" customHeight="1" spans="1:28">
      <c r="A719" s="76" t="s">
        <v>1444</v>
      </c>
      <c r="B719" s="6"/>
      <c r="C719" s="76" t="s">
        <v>30</v>
      </c>
      <c r="D719" s="76" t="s">
        <v>514</v>
      </c>
      <c r="E719" s="76" t="s">
        <v>1445</v>
      </c>
      <c r="F719" s="76" t="s">
        <v>539</v>
      </c>
      <c r="G719" s="76" t="s">
        <v>1294</v>
      </c>
      <c r="H719" s="76">
        <f>STOCK[[#This Row],[Precio Final]]</f>
        <v>43</v>
      </c>
      <c r="I719" s="76">
        <f>STOCK[[#This Row],[Precio Venta Ideal (x1.5)]]</f>
        <v>47.685</v>
      </c>
      <c r="J719" s="91">
        <v>1</v>
      </c>
      <c r="K719" s="91">
        <f>SUMIFS(VENTAS[Cantidad],VENTAS[Código del producto Vendido],STOCK[[#This Row],[Code]])</f>
        <v>1</v>
      </c>
      <c r="L719" s="91">
        <f>STOCK[[#This Row],[Entradas]]-STOCK[[#This Row],[Salidas]]</f>
        <v>0</v>
      </c>
      <c r="M719" s="76">
        <f>STOCK[[#This Row],[Precio Final]]*10%</f>
        <v>4.3</v>
      </c>
      <c r="N719" s="76">
        <v>0</v>
      </c>
      <c r="O719" s="76">
        <v>27.5</v>
      </c>
      <c r="P719" s="76">
        <v>17.49</v>
      </c>
      <c r="Q719" s="91">
        <v>0</v>
      </c>
      <c r="R719" s="76">
        <v>0</v>
      </c>
      <c r="S719" s="76">
        <v>10</v>
      </c>
      <c r="T719" s="76">
        <f>STOCK[[#This Row],[Costo Unitario (USD)]]+STOCK[[#This Row],[Costo Envío (USD)]]+STOCK[[#This Row],[Comisión 10%]]</f>
        <v>31.79</v>
      </c>
      <c r="U719" s="76">
        <f>STOCK[[#This Row],[Costo total]]*1.5</f>
        <v>47.685</v>
      </c>
      <c r="V719" s="76">
        <v>43</v>
      </c>
      <c r="W719" s="76">
        <f>STOCK[[#This Row],[Precio Final]]-STOCK[[#This Row],[Costo total]]</f>
        <v>11.21</v>
      </c>
      <c r="X719" s="76">
        <f>STOCK[[#This Row],[Ganancia Unitaria]]*STOCK[[#This Row],[Salidas]]</f>
        <v>11.21</v>
      </c>
      <c r="Y719" s="76" t="s">
        <v>1429</v>
      </c>
      <c r="AA719" s="76">
        <f>STOCK[[#This Row],[Costo total]]*STOCK[[#This Row],[Entradas]]</f>
        <v>31.79</v>
      </c>
      <c r="AB719" s="76">
        <f>STOCK[[#This Row],[Stock Actual]]*STOCK[[#This Row],[Costo total]]</f>
        <v>0</v>
      </c>
    </row>
    <row r="720" s="77" customFormat="1" ht="50" customHeight="1" spans="1:28">
      <c r="A720" s="77" t="s">
        <v>1446</v>
      </c>
      <c r="B720" s="6"/>
      <c r="C720" s="77" t="s">
        <v>30</v>
      </c>
      <c r="D720" s="77" t="s">
        <v>514</v>
      </c>
      <c r="E720" s="77" t="s">
        <v>1445</v>
      </c>
      <c r="F720" s="77" t="s">
        <v>762</v>
      </c>
      <c r="G720" s="77" t="s">
        <v>1294</v>
      </c>
      <c r="H720" s="77">
        <f>STOCK[[#This Row],[Precio Final]]</f>
        <v>43</v>
      </c>
      <c r="I720" s="77">
        <f>STOCK[[#This Row],[Precio Venta Ideal (x1.5)]]</f>
        <v>47.685</v>
      </c>
      <c r="J720" s="92">
        <v>1</v>
      </c>
      <c r="K720" s="92">
        <f>SUMIFS(VENTAS[Cantidad],VENTAS[Código del producto Vendido],STOCK[[#This Row],[Code]])</f>
        <v>1</v>
      </c>
      <c r="L720" s="92">
        <f>STOCK[[#This Row],[Entradas]]-STOCK[[#This Row],[Salidas]]</f>
        <v>0</v>
      </c>
      <c r="M720" s="77">
        <f>STOCK[[#This Row],[Precio Final]]*10%</f>
        <v>4.3</v>
      </c>
      <c r="N720" s="77">
        <v>0</v>
      </c>
      <c r="O720" s="77">
        <v>27.5</v>
      </c>
      <c r="P720" s="77">
        <v>17.49</v>
      </c>
      <c r="Q720" s="92">
        <v>0</v>
      </c>
      <c r="R720" s="77">
        <v>0</v>
      </c>
      <c r="S720" s="77">
        <v>10</v>
      </c>
      <c r="T720" s="76">
        <f>STOCK[[#This Row],[Costo Unitario (USD)]]+STOCK[[#This Row],[Costo Envío (USD)]]+STOCK[[#This Row],[Comisión 10%]]</f>
        <v>31.79</v>
      </c>
      <c r="U720" s="77">
        <f>STOCK[[#This Row],[Costo total]]*1.5</f>
        <v>47.685</v>
      </c>
      <c r="V720" s="77">
        <v>43</v>
      </c>
      <c r="W720" s="77">
        <f>STOCK[[#This Row],[Precio Final]]-STOCK[[#This Row],[Costo total]]</f>
        <v>11.21</v>
      </c>
      <c r="X720" s="77">
        <f>STOCK[[#This Row],[Ganancia Unitaria]]*STOCK[[#This Row],[Salidas]]</f>
        <v>11.21</v>
      </c>
      <c r="Y720" s="77" t="s">
        <v>1429</v>
      </c>
      <c r="AA720" s="77">
        <f>STOCK[[#This Row],[Costo total]]*STOCK[[#This Row],[Entradas]]</f>
        <v>31.79</v>
      </c>
      <c r="AB720" s="77">
        <f>STOCK[[#This Row],[Stock Actual]]*STOCK[[#This Row],[Costo total]]</f>
        <v>0</v>
      </c>
    </row>
    <row r="721" s="76" customFormat="1" ht="50" customHeight="1" spans="1:28">
      <c r="A721" s="76" t="s">
        <v>1447</v>
      </c>
      <c r="B721" s="6"/>
      <c r="C721" s="76" t="s">
        <v>30</v>
      </c>
      <c r="D721" s="76" t="s">
        <v>514</v>
      </c>
      <c r="E721" s="76" t="s">
        <v>1445</v>
      </c>
      <c r="F721" s="76" t="s">
        <v>539</v>
      </c>
      <c r="G721" s="76" t="s">
        <v>1294</v>
      </c>
      <c r="H721" s="76">
        <f>STOCK[[#This Row],[Precio Final]]</f>
        <v>43</v>
      </c>
      <c r="I721" s="76">
        <f>STOCK[[#This Row],[Precio Venta Ideal (x1.5)]]</f>
        <v>47.685</v>
      </c>
      <c r="J721" s="91">
        <v>1</v>
      </c>
      <c r="K721" s="91">
        <f>SUMIFS(VENTAS[Cantidad],VENTAS[Código del producto Vendido],STOCK[[#This Row],[Code]])</f>
        <v>1</v>
      </c>
      <c r="L721" s="91">
        <f>STOCK[[#This Row],[Entradas]]-STOCK[[#This Row],[Salidas]]</f>
        <v>0</v>
      </c>
      <c r="M721" s="76">
        <f>STOCK[[#This Row],[Precio Final]]*10%</f>
        <v>4.3</v>
      </c>
      <c r="N721" s="76">
        <v>0</v>
      </c>
      <c r="O721" s="76">
        <v>27.5</v>
      </c>
      <c r="P721" s="76">
        <v>17.49</v>
      </c>
      <c r="Q721" s="91">
        <v>0</v>
      </c>
      <c r="R721" s="76">
        <v>0</v>
      </c>
      <c r="S721" s="76">
        <v>10</v>
      </c>
      <c r="T721" s="76">
        <f>STOCK[[#This Row],[Costo Unitario (USD)]]+STOCK[[#This Row],[Costo Envío (USD)]]+STOCK[[#This Row],[Comisión 10%]]</f>
        <v>31.79</v>
      </c>
      <c r="U721" s="76">
        <f>STOCK[[#This Row],[Costo total]]*1.5</f>
        <v>47.685</v>
      </c>
      <c r="V721" s="76">
        <v>43</v>
      </c>
      <c r="W721" s="76">
        <f>STOCK[[#This Row],[Precio Final]]-STOCK[[#This Row],[Costo total]]</f>
        <v>11.21</v>
      </c>
      <c r="X721" s="76">
        <f>STOCK[[#This Row],[Ganancia Unitaria]]*STOCK[[#This Row],[Salidas]]</f>
        <v>11.21</v>
      </c>
      <c r="Y721" s="76" t="s">
        <v>1429</v>
      </c>
      <c r="AA721" s="76">
        <f>STOCK[[#This Row],[Costo total]]*STOCK[[#This Row],[Entradas]]</f>
        <v>31.79</v>
      </c>
      <c r="AB721" s="76">
        <f>STOCK[[#This Row],[Stock Actual]]*STOCK[[#This Row],[Costo total]]</f>
        <v>0</v>
      </c>
    </row>
    <row r="722" s="77" customFormat="1" ht="50" customHeight="1" spans="1:28">
      <c r="A722" s="77" t="s">
        <v>1448</v>
      </c>
      <c r="B722" s="6"/>
      <c r="C722" s="77" t="s">
        <v>30</v>
      </c>
      <c r="D722" s="77" t="s">
        <v>514</v>
      </c>
      <c r="E722" s="77" t="s">
        <v>1449</v>
      </c>
      <c r="F722" s="77" t="s">
        <v>762</v>
      </c>
      <c r="G722" s="77" t="s">
        <v>1294</v>
      </c>
      <c r="H722" s="77">
        <f>STOCK[[#This Row],[Precio Final]]</f>
        <v>35</v>
      </c>
      <c r="I722" s="77">
        <f>STOCK[[#This Row],[Precio Venta Ideal (x1.5)]]</f>
        <v>38.985</v>
      </c>
      <c r="J722" s="92">
        <v>1</v>
      </c>
      <c r="K722" s="92">
        <f>SUMIFS(VENTAS[Cantidad],VENTAS[Código del producto Vendido],STOCK[[#This Row],[Code]])</f>
        <v>1</v>
      </c>
      <c r="L722" s="92">
        <f>STOCK[[#This Row],[Entradas]]-STOCK[[#This Row],[Salidas]]</f>
        <v>0</v>
      </c>
      <c r="M722" s="77">
        <f>STOCK[[#This Row],[Precio Final]]*10%</f>
        <v>3.5</v>
      </c>
      <c r="N722" s="77">
        <v>0</v>
      </c>
      <c r="O722" s="77">
        <v>22.5</v>
      </c>
      <c r="P722" s="77">
        <v>12.49</v>
      </c>
      <c r="Q722" s="92">
        <v>0</v>
      </c>
      <c r="R722" s="77">
        <v>0</v>
      </c>
      <c r="S722" s="77">
        <v>10</v>
      </c>
      <c r="T722" s="76">
        <f>STOCK[[#This Row],[Costo Unitario (USD)]]+STOCK[[#This Row],[Costo Envío (USD)]]+STOCK[[#This Row],[Comisión 10%]]</f>
        <v>25.99</v>
      </c>
      <c r="U722" s="77">
        <f>STOCK[[#This Row],[Costo total]]*1.5</f>
        <v>38.985</v>
      </c>
      <c r="V722" s="77">
        <v>35</v>
      </c>
      <c r="W722" s="77">
        <f>STOCK[[#This Row],[Precio Final]]-STOCK[[#This Row],[Costo total]]</f>
        <v>9.01</v>
      </c>
      <c r="X722" s="77">
        <f>STOCK[[#This Row],[Ganancia Unitaria]]*STOCK[[#This Row],[Salidas]]</f>
        <v>9.01</v>
      </c>
      <c r="Y722" s="77" t="s">
        <v>1429</v>
      </c>
      <c r="AA722" s="77">
        <f>STOCK[[#This Row],[Costo total]]*STOCK[[#This Row],[Entradas]]</f>
        <v>25.99</v>
      </c>
      <c r="AB722" s="77">
        <f>STOCK[[#This Row],[Stock Actual]]*STOCK[[#This Row],[Costo total]]</f>
        <v>0</v>
      </c>
    </row>
    <row r="723" s="76" customFormat="1" ht="50" customHeight="1" spans="1:28">
      <c r="A723" s="76" t="s">
        <v>1450</v>
      </c>
      <c r="B723" s="6"/>
      <c r="C723" s="76" t="s">
        <v>30</v>
      </c>
      <c r="D723" s="76" t="s">
        <v>514</v>
      </c>
      <c r="E723" s="76" t="s">
        <v>1449</v>
      </c>
      <c r="F723" s="76" t="s">
        <v>1451</v>
      </c>
      <c r="G723" s="76" t="s">
        <v>1294</v>
      </c>
      <c r="H723" s="76">
        <f>STOCK[[#This Row],[Precio Final]]</f>
        <v>35</v>
      </c>
      <c r="I723" s="76">
        <f>STOCK[[#This Row],[Precio Venta Ideal (x1.5)]]</f>
        <v>38.985</v>
      </c>
      <c r="J723" s="91">
        <v>2</v>
      </c>
      <c r="K723" s="91">
        <f>SUMIFS(VENTAS[Cantidad],VENTAS[Código del producto Vendido],STOCK[[#This Row],[Code]])</f>
        <v>2</v>
      </c>
      <c r="L723" s="91">
        <f>STOCK[[#This Row],[Entradas]]-STOCK[[#This Row],[Salidas]]</f>
        <v>0</v>
      </c>
      <c r="M723" s="76">
        <f>STOCK[[#This Row],[Precio Final]]*10%</f>
        <v>3.5</v>
      </c>
      <c r="N723" s="76">
        <v>0</v>
      </c>
      <c r="O723" s="76">
        <v>22.5</v>
      </c>
      <c r="P723" s="76">
        <v>12.49</v>
      </c>
      <c r="Q723" s="91">
        <v>0</v>
      </c>
      <c r="R723" s="76">
        <v>0</v>
      </c>
      <c r="S723" s="76">
        <v>10</v>
      </c>
      <c r="T723" s="76">
        <f>STOCK[[#This Row],[Costo Unitario (USD)]]+STOCK[[#This Row],[Costo Envío (USD)]]+STOCK[[#This Row],[Comisión 10%]]</f>
        <v>25.99</v>
      </c>
      <c r="U723" s="76">
        <f>STOCK[[#This Row],[Costo total]]*1.5</f>
        <v>38.985</v>
      </c>
      <c r="V723" s="76">
        <v>35</v>
      </c>
      <c r="W723" s="76">
        <f>STOCK[[#This Row],[Precio Final]]-STOCK[[#This Row],[Costo total]]</f>
        <v>9.01</v>
      </c>
      <c r="X723" s="76">
        <f>STOCK[[#This Row],[Ganancia Unitaria]]*STOCK[[#This Row],[Salidas]]</f>
        <v>18.02</v>
      </c>
      <c r="Y723" s="76" t="s">
        <v>1429</v>
      </c>
      <c r="AA723" s="76">
        <f>STOCK[[#This Row],[Costo total]]*STOCK[[#This Row],[Entradas]]</f>
        <v>51.98</v>
      </c>
      <c r="AB723" s="76">
        <f>STOCK[[#This Row],[Stock Actual]]*STOCK[[#This Row],[Costo total]]</f>
        <v>0</v>
      </c>
    </row>
    <row r="724" s="77" customFormat="1" ht="50" customHeight="1" spans="1:28">
      <c r="A724" s="77" t="s">
        <v>1452</v>
      </c>
      <c r="B724" s="6"/>
      <c r="C724" s="77" t="s">
        <v>30</v>
      </c>
      <c r="D724" s="77" t="s">
        <v>514</v>
      </c>
      <c r="E724" s="77" t="s">
        <v>1449</v>
      </c>
      <c r="F724" s="77" t="s">
        <v>38</v>
      </c>
      <c r="G724" s="77" t="s">
        <v>1294</v>
      </c>
      <c r="H724" s="77">
        <f>STOCK[[#This Row],[Precio Final]]</f>
        <v>35</v>
      </c>
      <c r="I724" s="77">
        <f>STOCK[[#This Row],[Precio Venta Ideal (x1.5)]]</f>
        <v>38.985</v>
      </c>
      <c r="J724" s="92">
        <v>1</v>
      </c>
      <c r="K724" s="92">
        <f>SUMIFS(VENTAS[Cantidad],VENTAS[Código del producto Vendido],STOCK[[#This Row],[Code]])</f>
        <v>1</v>
      </c>
      <c r="L724" s="92">
        <f>STOCK[[#This Row],[Entradas]]-STOCK[[#This Row],[Salidas]]</f>
        <v>0</v>
      </c>
      <c r="M724" s="77">
        <f>STOCK[[#This Row],[Precio Final]]*10%</f>
        <v>3.5</v>
      </c>
      <c r="N724" s="77">
        <v>0</v>
      </c>
      <c r="O724" s="77">
        <v>0</v>
      </c>
      <c r="P724" s="77">
        <v>12.49</v>
      </c>
      <c r="Q724" s="92">
        <v>0</v>
      </c>
      <c r="R724" s="77">
        <v>0</v>
      </c>
      <c r="S724" s="77">
        <v>10</v>
      </c>
      <c r="T724" s="76">
        <f>STOCK[[#This Row],[Costo Unitario (USD)]]+STOCK[[#This Row],[Costo Envío (USD)]]+STOCK[[#This Row],[Comisión 10%]]</f>
        <v>25.99</v>
      </c>
      <c r="U724" s="77">
        <f>STOCK[[#This Row],[Costo total]]*1.5</f>
        <v>38.985</v>
      </c>
      <c r="V724" s="77">
        <v>35</v>
      </c>
      <c r="W724" s="77">
        <f>STOCK[[#This Row],[Precio Final]]-STOCK[[#This Row],[Costo total]]</f>
        <v>9.01</v>
      </c>
      <c r="X724" s="77">
        <f>STOCK[[#This Row],[Ganancia Unitaria]]*STOCK[[#This Row],[Salidas]]</f>
        <v>9.01</v>
      </c>
      <c r="Y724" s="77" t="s">
        <v>1429</v>
      </c>
      <c r="AA724" s="77">
        <f>STOCK[[#This Row],[Costo total]]*STOCK[[#This Row],[Entradas]]</f>
        <v>25.99</v>
      </c>
      <c r="AB724" s="77">
        <f>STOCK[[#This Row],[Stock Actual]]*STOCK[[#This Row],[Costo total]]</f>
        <v>0</v>
      </c>
    </row>
    <row r="725" s="76" customFormat="1" ht="50" customHeight="1" spans="1:28">
      <c r="A725" s="76" t="s">
        <v>1453</v>
      </c>
      <c r="B725" s="6"/>
      <c r="C725" s="76" t="s">
        <v>30</v>
      </c>
      <c r="D725" s="76" t="s">
        <v>215</v>
      </c>
      <c r="E725" s="76" t="s">
        <v>1454</v>
      </c>
      <c r="F725" s="76" t="s">
        <v>60</v>
      </c>
      <c r="G725" s="76" t="s">
        <v>1294</v>
      </c>
      <c r="H725" s="76">
        <f>STOCK[[#This Row],[Precio Final]]</f>
        <v>28</v>
      </c>
      <c r="I725" s="76">
        <f>STOCK[[#This Row],[Precio Venta Ideal (x1.5)]]</f>
        <v>22.95</v>
      </c>
      <c r="J725" s="91">
        <v>2</v>
      </c>
      <c r="K725" s="91">
        <f>SUMIFS(VENTAS[Cantidad],VENTAS[Código del producto Vendido],STOCK[[#This Row],[Code]])</f>
        <v>0</v>
      </c>
      <c r="L725" s="91">
        <f>STOCK[[#This Row],[Entradas]]-STOCK[[#This Row],[Salidas]]</f>
        <v>2</v>
      </c>
      <c r="M725" s="76">
        <f>STOCK[[#This Row],[Precio Final]]*10%</f>
        <v>2.8</v>
      </c>
      <c r="N725" s="76">
        <v>0</v>
      </c>
      <c r="O725" s="76">
        <v>23</v>
      </c>
      <c r="P725" s="76">
        <v>7.5</v>
      </c>
      <c r="Q725" s="91">
        <v>0</v>
      </c>
      <c r="R725" s="76">
        <v>0</v>
      </c>
      <c r="S725" s="76">
        <v>5</v>
      </c>
      <c r="T725" s="76">
        <f>STOCK[[#This Row],[Costo Unitario (USD)]]+STOCK[[#This Row],[Costo Envío (USD)]]+STOCK[[#This Row],[Comisión 10%]]</f>
        <v>15.3</v>
      </c>
      <c r="U725" s="76">
        <f>STOCK[[#This Row],[Costo total]]*1.5</f>
        <v>22.95</v>
      </c>
      <c r="V725" s="76">
        <v>28</v>
      </c>
      <c r="W725" s="76">
        <f>STOCK[[#This Row],[Precio Final]]-STOCK[[#This Row],[Costo total]]</f>
        <v>12.7</v>
      </c>
      <c r="X725" s="76">
        <f>STOCK[[#This Row],[Ganancia Unitaria]]*STOCK[[#This Row],[Salidas]]</f>
        <v>0</v>
      </c>
      <c r="Y725" s="76" t="s">
        <v>1429</v>
      </c>
      <c r="AA725" s="76">
        <f>STOCK[[#This Row],[Costo total]]*STOCK[[#This Row],[Entradas]]</f>
        <v>30.6</v>
      </c>
      <c r="AB725" s="76">
        <f>STOCK[[#This Row],[Stock Actual]]*STOCK[[#This Row],[Costo total]]</f>
        <v>30.6</v>
      </c>
    </row>
    <row r="726" s="77" customFormat="1" ht="50" customHeight="1" spans="1:28">
      <c r="A726" s="77" t="s">
        <v>1455</v>
      </c>
      <c r="B726" s="6"/>
      <c r="C726" s="77" t="s">
        <v>30</v>
      </c>
      <c r="D726" s="77" t="s">
        <v>202</v>
      </c>
      <c r="E726" s="76" t="s">
        <v>1454</v>
      </c>
      <c r="F726" s="77" t="s">
        <v>44</v>
      </c>
      <c r="G726" s="77" t="s">
        <v>1294</v>
      </c>
      <c r="H726" s="77">
        <f>STOCK[[#This Row],[Precio Final]]</f>
        <v>28</v>
      </c>
      <c r="I726" s="77">
        <f>STOCK[[#This Row],[Precio Venta Ideal (x1.5)]]</f>
        <v>22.95</v>
      </c>
      <c r="J726" s="92">
        <v>2</v>
      </c>
      <c r="K726" s="92">
        <f>SUMIFS(VENTAS[Cantidad],VENTAS[Código del producto Vendido],STOCK[[#This Row],[Code]])</f>
        <v>0</v>
      </c>
      <c r="L726" s="92">
        <f>STOCK[[#This Row],[Entradas]]-STOCK[[#This Row],[Salidas]]</f>
        <v>2</v>
      </c>
      <c r="M726" s="77">
        <f>STOCK[[#This Row],[Precio Final]]*10%</f>
        <v>2.8</v>
      </c>
      <c r="N726" s="77">
        <v>0</v>
      </c>
      <c r="O726" s="77">
        <v>23</v>
      </c>
      <c r="P726" s="77">
        <v>7.5</v>
      </c>
      <c r="Q726" s="92">
        <v>0</v>
      </c>
      <c r="R726" s="77">
        <v>0</v>
      </c>
      <c r="S726" s="77">
        <v>5</v>
      </c>
      <c r="T726" s="76">
        <f>STOCK[[#This Row],[Costo Unitario (USD)]]+STOCK[[#This Row],[Costo Envío (USD)]]+STOCK[[#This Row],[Comisión 10%]]</f>
        <v>15.3</v>
      </c>
      <c r="U726" s="77">
        <f>STOCK[[#This Row],[Costo total]]*1.5</f>
        <v>22.95</v>
      </c>
      <c r="V726" s="77">
        <v>28</v>
      </c>
      <c r="W726" s="77">
        <f>STOCK[[#This Row],[Precio Final]]-STOCK[[#This Row],[Costo total]]</f>
        <v>12.7</v>
      </c>
      <c r="X726" s="77">
        <f>STOCK[[#This Row],[Ganancia Unitaria]]*STOCK[[#This Row],[Salidas]]</f>
        <v>0</v>
      </c>
      <c r="Y726" s="77" t="s">
        <v>1429</v>
      </c>
      <c r="AA726" s="77">
        <f>STOCK[[#This Row],[Costo total]]*STOCK[[#This Row],[Entradas]]</f>
        <v>30.6</v>
      </c>
      <c r="AB726" s="77">
        <f>STOCK[[#This Row],[Stock Actual]]*STOCK[[#This Row],[Costo total]]</f>
        <v>30.6</v>
      </c>
    </row>
    <row r="727" s="76" customFormat="1" ht="50" customHeight="1" spans="1:28">
      <c r="A727" s="76" t="s">
        <v>1456</v>
      </c>
      <c r="B727" s="6"/>
      <c r="C727" s="76" t="s">
        <v>30</v>
      </c>
      <c r="D727" s="76" t="s">
        <v>1012</v>
      </c>
      <c r="E727" s="76" t="s">
        <v>1454</v>
      </c>
      <c r="F727" s="76" t="s">
        <v>38</v>
      </c>
      <c r="G727" s="76" t="s">
        <v>1294</v>
      </c>
      <c r="H727" s="76">
        <f>STOCK[[#This Row],[Precio Final]]</f>
        <v>28</v>
      </c>
      <c r="I727" s="76">
        <f>STOCK[[#This Row],[Precio Venta Ideal (x1.5)]]</f>
        <v>22.95</v>
      </c>
      <c r="J727" s="91">
        <v>2</v>
      </c>
      <c r="K727" s="91">
        <f>SUMIFS(VENTAS[Cantidad],VENTAS[Código del producto Vendido],STOCK[[#This Row],[Code]])</f>
        <v>0</v>
      </c>
      <c r="L727" s="91">
        <f>STOCK[[#This Row],[Entradas]]-STOCK[[#This Row],[Salidas]]</f>
        <v>2</v>
      </c>
      <c r="M727" s="76">
        <f>STOCK[[#This Row],[Precio Final]]*10%</f>
        <v>2.8</v>
      </c>
      <c r="N727" s="76">
        <v>0</v>
      </c>
      <c r="O727" s="76">
        <v>11.5</v>
      </c>
      <c r="P727" s="76">
        <v>7.5</v>
      </c>
      <c r="Q727" s="91">
        <v>0</v>
      </c>
      <c r="R727" s="76">
        <v>0</v>
      </c>
      <c r="S727" s="76">
        <v>5</v>
      </c>
      <c r="T727" s="76">
        <f>STOCK[[#This Row],[Costo Unitario (USD)]]+STOCK[[#This Row],[Costo Envío (USD)]]+STOCK[[#This Row],[Comisión 10%]]</f>
        <v>15.3</v>
      </c>
      <c r="U727" s="76">
        <f>STOCK[[#This Row],[Costo total]]*1.5</f>
        <v>22.95</v>
      </c>
      <c r="V727" s="76">
        <v>28</v>
      </c>
      <c r="W727" s="76">
        <f>STOCK[[#This Row],[Precio Final]]-STOCK[[#This Row],[Costo total]]</f>
        <v>12.7</v>
      </c>
      <c r="X727" s="76">
        <f>STOCK[[#This Row],[Ganancia Unitaria]]*STOCK[[#This Row],[Salidas]]</f>
        <v>0</v>
      </c>
      <c r="Y727" s="76" t="s">
        <v>1429</v>
      </c>
      <c r="AA727" s="76">
        <f>STOCK[[#This Row],[Costo total]]*STOCK[[#This Row],[Entradas]]</f>
        <v>30.6</v>
      </c>
      <c r="AB727" s="76">
        <f>STOCK[[#This Row],[Stock Actual]]*STOCK[[#This Row],[Costo total]]</f>
        <v>30.6</v>
      </c>
    </row>
    <row r="728" s="77" customFormat="1" ht="50" customHeight="1" spans="1:28">
      <c r="A728" s="77" t="s">
        <v>1457</v>
      </c>
      <c r="B728" s="6"/>
      <c r="C728" s="77" t="s">
        <v>30</v>
      </c>
      <c r="D728" s="77" t="s">
        <v>1386</v>
      </c>
      <c r="E728" s="77" t="s">
        <v>1458</v>
      </c>
      <c r="F728" s="77" t="s">
        <v>38</v>
      </c>
      <c r="G728" s="77" t="s">
        <v>702</v>
      </c>
      <c r="H728" s="77">
        <f>STOCK[[#This Row],[Precio Final]]</f>
        <v>32</v>
      </c>
      <c r="I728" s="77">
        <f>STOCK[[#This Row],[Precio Venta Ideal (x1.5)]]</f>
        <v>29.085</v>
      </c>
      <c r="J728" s="92">
        <v>1</v>
      </c>
      <c r="K728" s="92">
        <f>SUMIFS(VENTAS[Cantidad],VENTAS[Código del producto Vendido],STOCK[[#This Row],[Code]])</f>
        <v>0</v>
      </c>
      <c r="L728" s="92">
        <f>STOCK[[#This Row],[Entradas]]-STOCK[[#This Row],[Salidas]]</f>
        <v>1</v>
      </c>
      <c r="M728" s="77">
        <f>STOCK[[#This Row],[Precio Final]]*10%</f>
        <v>3.2</v>
      </c>
      <c r="N728" s="77">
        <v>0</v>
      </c>
      <c r="O728" s="77">
        <v>19.5</v>
      </c>
      <c r="P728" s="77">
        <v>11.19</v>
      </c>
      <c r="Q728" s="92">
        <v>0</v>
      </c>
      <c r="R728" s="77">
        <v>0</v>
      </c>
      <c r="S728" s="77">
        <v>5</v>
      </c>
      <c r="T728" s="76">
        <f>STOCK[[#This Row],[Costo Unitario (USD)]]+STOCK[[#This Row],[Costo Envío (USD)]]+STOCK[[#This Row],[Comisión 10%]]</f>
        <v>19.39</v>
      </c>
      <c r="U728" s="77">
        <f>STOCK[[#This Row],[Costo total]]*1.5</f>
        <v>29.085</v>
      </c>
      <c r="V728" s="77">
        <v>32</v>
      </c>
      <c r="W728" s="77">
        <f>STOCK[[#This Row],[Precio Final]]-STOCK[[#This Row],[Costo total]]</f>
        <v>12.61</v>
      </c>
      <c r="X728" s="77">
        <f>STOCK[[#This Row],[Ganancia Unitaria]]*STOCK[[#This Row],[Salidas]]</f>
        <v>0</v>
      </c>
      <c r="AA728" s="77">
        <f>STOCK[[#This Row],[Costo total]]*STOCK[[#This Row],[Entradas]]</f>
        <v>19.39</v>
      </c>
      <c r="AB728" s="77">
        <f>STOCK[[#This Row],[Stock Actual]]*STOCK[[#This Row],[Costo total]]</f>
        <v>19.39</v>
      </c>
    </row>
    <row r="729" s="76" customFormat="1" ht="50" customHeight="1" spans="1:28">
      <c r="A729" s="76" t="s">
        <v>1459</v>
      </c>
      <c r="B729" s="6"/>
      <c r="C729" s="76" t="s">
        <v>30</v>
      </c>
      <c r="D729" s="77" t="s">
        <v>1386</v>
      </c>
      <c r="E729" s="76" t="s">
        <v>1458</v>
      </c>
      <c r="F729" s="76" t="s">
        <v>47</v>
      </c>
      <c r="G729" s="76" t="s">
        <v>702</v>
      </c>
      <c r="H729" s="76">
        <f>STOCK[[#This Row],[Precio Final]]</f>
        <v>32</v>
      </c>
      <c r="I729" s="76">
        <f>STOCK[[#This Row],[Precio Venta Ideal (x1.5)]]</f>
        <v>29.085</v>
      </c>
      <c r="J729" s="91">
        <v>3</v>
      </c>
      <c r="K729" s="91">
        <f>SUMIFS(VENTAS[Cantidad],VENTAS[Código del producto Vendido],STOCK[[#This Row],[Code]])</f>
        <v>1</v>
      </c>
      <c r="L729" s="91">
        <f>STOCK[[#This Row],[Entradas]]-STOCK[[#This Row],[Salidas]]</f>
        <v>2</v>
      </c>
      <c r="M729" s="76">
        <f>STOCK[[#This Row],[Precio Final]]*10%</f>
        <v>3.2</v>
      </c>
      <c r="N729" s="76">
        <v>0</v>
      </c>
      <c r="O729" s="76">
        <v>39</v>
      </c>
      <c r="P729" s="76">
        <v>11.19</v>
      </c>
      <c r="Q729" s="91">
        <v>0</v>
      </c>
      <c r="R729" s="76">
        <v>0</v>
      </c>
      <c r="S729" s="76">
        <v>5</v>
      </c>
      <c r="T729" s="76">
        <f>STOCK[[#This Row],[Costo Unitario (USD)]]+STOCK[[#This Row],[Costo Envío (USD)]]+STOCK[[#This Row],[Comisión 10%]]</f>
        <v>19.39</v>
      </c>
      <c r="U729" s="76">
        <f>STOCK[[#This Row],[Costo total]]*1.5</f>
        <v>29.085</v>
      </c>
      <c r="V729" s="76">
        <v>32</v>
      </c>
      <c r="W729" s="76">
        <f>STOCK[[#This Row],[Precio Final]]-STOCK[[#This Row],[Costo total]]</f>
        <v>12.61</v>
      </c>
      <c r="X729" s="76">
        <f>STOCK[[#This Row],[Ganancia Unitaria]]*STOCK[[#This Row],[Salidas]]</f>
        <v>12.61</v>
      </c>
      <c r="AA729" s="76">
        <f>STOCK[[#This Row],[Costo total]]*STOCK[[#This Row],[Entradas]]</f>
        <v>58.17</v>
      </c>
      <c r="AB729" s="76">
        <f>STOCK[[#This Row],[Stock Actual]]*STOCK[[#This Row],[Costo total]]</f>
        <v>38.78</v>
      </c>
    </row>
    <row r="730" s="77" customFormat="1" ht="50" customHeight="1" spans="1:28">
      <c r="A730" s="77" t="s">
        <v>1460</v>
      </c>
      <c r="B730" s="6"/>
      <c r="C730" s="77" t="s">
        <v>30</v>
      </c>
      <c r="D730" s="77" t="s">
        <v>1386</v>
      </c>
      <c r="E730" s="77" t="s">
        <v>1458</v>
      </c>
      <c r="F730" s="77" t="s">
        <v>44</v>
      </c>
      <c r="G730" s="77" t="s">
        <v>702</v>
      </c>
      <c r="H730" s="77">
        <f>STOCK[[#This Row],[Precio Final]]</f>
        <v>32</v>
      </c>
      <c r="I730" s="77">
        <f>STOCK[[#This Row],[Precio Venta Ideal (x1.5)]]</f>
        <v>29.085</v>
      </c>
      <c r="J730" s="92">
        <v>2</v>
      </c>
      <c r="K730" s="92">
        <f>SUMIFS(VENTAS[Cantidad],VENTAS[Código del producto Vendido],STOCK[[#This Row],[Code]])</f>
        <v>1</v>
      </c>
      <c r="L730" s="92">
        <f>STOCK[[#This Row],[Entradas]]-STOCK[[#This Row],[Salidas]]</f>
        <v>1</v>
      </c>
      <c r="M730" s="77">
        <f>STOCK[[#This Row],[Precio Final]]*10%</f>
        <v>3.2</v>
      </c>
      <c r="N730" s="77">
        <v>0</v>
      </c>
      <c r="O730" s="77">
        <v>58.5</v>
      </c>
      <c r="P730" s="77">
        <v>11.19</v>
      </c>
      <c r="Q730" s="92">
        <v>0</v>
      </c>
      <c r="R730" s="77">
        <v>0</v>
      </c>
      <c r="S730" s="77">
        <v>5</v>
      </c>
      <c r="T730" s="76">
        <f>STOCK[[#This Row],[Costo Unitario (USD)]]+STOCK[[#This Row],[Costo Envío (USD)]]+STOCK[[#This Row],[Comisión 10%]]</f>
        <v>19.39</v>
      </c>
      <c r="U730" s="77">
        <f>STOCK[[#This Row],[Costo total]]*1.5</f>
        <v>29.085</v>
      </c>
      <c r="V730" s="77">
        <v>32</v>
      </c>
      <c r="W730" s="77">
        <f>STOCK[[#This Row],[Precio Final]]-STOCK[[#This Row],[Costo total]]</f>
        <v>12.61</v>
      </c>
      <c r="X730" s="77">
        <f>STOCK[[#This Row],[Ganancia Unitaria]]*STOCK[[#This Row],[Salidas]]</f>
        <v>12.61</v>
      </c>
      <c r="AA730" s="77">
        <f>STOCK[[#This Row],[Costo total]]*STOCK[[#This Row],[Entradas]]</f>
        <v>38.78</v>
      </c>
      <c r="AB730" s="77">
        <f>STOCK[[#This Row],[Stock Actual]]*STOCK[[#This Row],[Costo total]]</f>
        <v>19.39</v>
      </c>
    </row>
    <row r="731" s="76" customFormat="1" ht="50" customHeight="1" spans="1:28">
      <c r="A731" s="76" t="s">
        <v>1461</v>
      </c>
      <c r="B731" s="6"/>
      <c r="C731" s="76" t="s">
        <v>30</v>
      </c>
      <c r="D731" s="77" t="s">
        <v>1386</v>
      </c>
      <c r="E731" s="76" t="s">
        <v>1458</v>
      </c>
      <c r="F731" s="76" t="s">
        <v>60</v>
      </c>
      <c r="G731" s="76" t="s">
        <v>702</v>
      </c>
      <c r="H731" s="76">
        <f>STOCK[[#This Row],[Precio Final]]</f>
        <v>32</v>
      </c>
      <c r="I731" s="76">
        <f>STOCK[[#This Row],[Precio Venta Ideal (x1.5)]]</f>
        <v>29.085</v>
      </c>
      <c r="J731" s="91">
        <v>3</v>
      </c>
      <c r="K731" s="91">
        <f>SUMIFS(VENTAS[Cantidad],VENTAS[Código del producto Vendido],STOCK[[#This Row],[Code]])</f>
        <v>2</v>
      </c>
      <c r="L731" s="91">
        <f>STOCK[[#This Row],[Entradas]]-STOCK[[#This Row],[Salidas]]</f>
        <v>1</v>
      </c>
      <c r="M731" s="76">
        <f>STOCK[[#This Row],[Precio Final]]*10%</f>
        <v>3.2</v>
      </c>
      <c r="N731" s="76">
        <v>0</v>
      </c>
      <c r="O731" s="76">
        <v>39</v>
      </c>
      <c r="P731" s="76">
        <v>11.19</v>
      </c>
      <c r="Q731" s="91">
        <v>0</v>
      </c>
      <c r="R731" s="76">
        <v>0</v>
      </c>
      <c r="S731" s="76">
        <v>5</v>
      </c>
      <c r="T731" s="76">
        <f>STOCK[[#This Row],[Costo Unitario (USD)]]+STOCK[[#This Row],[Costo Envío (USD)]]+STOCK[[#This Row],[Comisión 10%]]</f>
        <v>19.39</v>
      </c>
      <c r="U731" s="76">
        <f>STOCK[[#This Row],[Costo total]]*1.5</f>
        <v>29.085</v>
      </c>
      <c r="V731" s="76">
        <v>32</v>
      </c>
      <c r="W731" s="76">
        <f>STOCK[[#This Row],[Precio Final]]-STOCK[[#This Row],[Costo total]]</f>
        <v>12.61</v>
      </c>
      <c r="X731" s="76">
        <f>STOCK[[#This Row],[Ganancia Unitaria]]*STOCK[[#This Row],[Salidas]]</f>
        <v>25.22</v>
      </c>
      <c r="AA731" s="76">
        <f>STOCK[[#This Row],[Costo total]]*STOCK[[#This Row],[Entradas]]</f>
        <v>58.17</v>
      </c>
      <c r="AB731" s="76">
        <f>STOCK[[#This Row],[Stock Actual]]*STOCK[[#This Row],[Costo total]]</f>
        <v>19.39</v>
      </c>
    </row>
    <row r="732" s="77" customFormat="1" ht="50" customHeight="1" spans="1:28">
      <c r="A732" s="77" t="s">
        <v>1462</v>
      </c>
      <c r="B732" s="6"/>
      <c r="C732" s="77" t="s">
        <v>30</v>
      </c>
      <c r="D732" s="77" t="s">
        <v>1386</v>
      </c>
      <c r="E732" s="77" t="s">
        <v>1463</v>
      </c>
      <c r="F732" s="77" t="s">
        <v>60</v>
      </c>
      <c r="G732" s="77" t="s">
        <v>702</v>
      </c>
      <c r="H732" s="77">
        <f>STOCK[[#This Row],[Precio Final]]</f>
        <v>35</v>
      </c>
      <c r="I732" s="77">
        <f>STOCK[[#This Row],[Precio Venta Ideal (x1.5)]]</f>
        <v>35.25</v>
      </c>
      <c r="J732" s="92">
        <v>1</v>
      </c>
      <c r="K732" s="92">
        <f>SUMIFS(VENTAS[Cantidad],VENTAS[Código del producto Vendido],STOCK[[#This Row],[Code]])</f>
        <v>0</v>
      </c>
      <c r="L732" s="92">
        <f>STOCK[[#This Row],[Entradas]]-STOCK[[#This Row],[Salidas]]</f>
        <v>1</v>
      </c>
      <c r="M732" s="77">
        <f>STOCK[[#This Row],[Precio Final]]*10%</f>
        <v>3.5</v>
      </c>
      <c r="N732" s="77">
        <v>0</v>
      </c>
      <c r="O732" s="77">
        <v>0</v>
      </c>
      <c r="P732" s="77">
        <v>15</v>
      </c>
      <c r="Q732" s="92">
        <v>0</v>
      </c>
      <c r="R732" s="77">
        <v>0</v>
      </c>
      <c r="S732" s="77">
        <v>5</v>
      </c>
      <c r="T732" s="76">
        <f>STOCK[[#This Row],[Costo Unitario (USD)]]+STOCK[[#This Row],[Costo Envío (USD)]]+STOCK[[#This Row],[Comisión 10%]]</f>
        <v>23.5</v>
      </c>
      <c r="U732" s="77">
        <f>STOCK[[#This Row],[Costo total]]*1.5</f>
        <v>35.25</v>
      </c>
      <c r="V732" s="77">
        <v>35</v>
      </c>
      <c r="W732" s="77">
        <f>STOCK[[#This Row],[Precio Final]]-STOCK[[#This Row],[Costo total]]</f>
        <v>11.5</v>
      </c>
      <c r="X732" s="77">
        <f>STOCK[[#This Row],[Ganancia Unitaria]]*STOCK[[#This Row],[Salidas]]</f>
        <v>0</v>
      </c>
      <c r="AA732" s="77">
        <f>STOCK[[#This Row],[Costo total]]*STOCK[[#This Row],[Entradas]]</f>
        <v>23.5</v>
      </c>
      <c r="AB732" s="77">
        <f>STOCK[[#This Row],[Stock Actual]]*STOCK[[#This Row],[Costo total]]</f>
        <v>23.5</v>
      </c>
    </row>
    <row r="733" s="76" customFormat="1" ht="50" customHeight="1" spans="1:28">
      <c r="A733" s="76" t="s">
        <v>1464</v>
      </c>
      <c r="B733" s="6"/>
      <c r="C733" s="76" t="s">
        <v>30</v>
      </c>
      <c r="D733" s="77" t="s">
        <v>1386</v>
      </c>
      <c r="E733" s="76" t="s">
        <v>1465</v>
      </c>
      <c r="F733" s="76" t="s">
        <v>1466</v>
      </c>
      <c r="G733" s="76" t="s">
        <v>702</v>
      </c>
      <c r="H733" s="76">
        <f>STOCK[[#This Row],[Precio Final]]</f>
        <v>20</v>
      </c>
      <c r="I733" s="76">
        <f>STOCK[[#This Row],[Precio Venta Ideal (x1.5)]]</f>
        <v>28.5</v>
      </c>
      <c r="J733" s="91">
        <v>5</v>
      </c>
      <c r="K733" s="91">
        <f>SUMIFS(VENTAS[Cantidad],VENTAS[Código del producto Vendido],STOCK[[#This Row],[Code]])</f>
        <v>2</v>
      </c>
      <c r="L733" s="91">
        <f>STOCK[[#This Row],[Entradas]]-STOCK[[#This Row],[Salidas]]</f>
        <v>3</v>
      </c>
      <c r="M733" s="76">
        <f>STOCK[[#This Row],[Precio Final]]*10%</f>
        <v>2</v>
      </c>
      <c r="N733" s="76">
        <v>0</v>
      </c>
      <c r="O733" s="76">
        <v>17</v>
      </c>
      <c r="P733" s="76">
        <v>12</v>
      </c>
      <c r="Q733" s="91">
        <v>0</v>
      </c>
      <c r="R733" s="76">
        <v>0</v>
      </c>
      <c r="S733" s="76">
        <v>5</v>
      </c>
      <c r="T733" s="76">
        <f>STOCK[[#This Row],[Costo Unitario (USD)]]+STOCK[[#This Row],[Costo Envío (USD)]]+STOCK[[#This Row],[Comisión 10%]]</f>
        <v>19</v>
      </c>
      <c r="U733" s="76">
        <f>STOCK[[#This Row],[Costo total]]*1.5</f>
        <v>28.5</v>
      </c>
      <c r="V733" s="76">
        <v>20</v>
      </c>
      <c r="W733" s="76">
        <f>STOCK[[#This Row],[Precio Final]]-STOCK[[#This Row],[Costo total]]</f>
        <v>1</v>
      </c>
      <c r="X733" s="76">
        <f>STOCK[[#This Row],[Ganancia Unitaria]]*STOCK[[#This Row],[Salidas]]</f>
        <v>2</v>
      </c>
      <c r="AA733" s="76">
        <f>STOCK[[#This Row],[Costo total]]*STOCK[[#This Row],[Entradas]]</f>
        <v>95</v>
      </c>
      <c r="AB733" s="76">
        <f>STOCK[[#This Row],[Stock Actual]]*STOCK[[#This Row],[Costo total]]</f>
        <v>57</v>
      </c>
    </row>
    <row r="734" s="77" customFormat="1" ht="50" customHeight="1" spans="1:28">
      <c r="A734" s="77" t="s">
        <v>1467</v>
      </c>
      <c r="B734" s="6"/>
      <c r="C734" s="77" t="s">
        <v>30</v>
      </c>
      <c r="D734" s="77" t="s">
        <v>514</v>
      </c>
      <c r="E734" s="77" t="s">
        <v>1468</v>
      </c>
      <c r="F734" s="77" t="s">
        <v>1469</v>
      </c>
      <c r="G734" s="77" t="s">
        <v>34</v>
      </c>
      <c r="H734" s="77">
        <f>STOCK[[#This Row],[Precio Final]]</f>
        <v>35</v>
      </c>
      <c r="I734" s="77">
        <f>STOCK[[#This Row],[Precio Venta Ideal (x1.5)]]</f>
        <v>41.25</v>
      </c>
      <c r="J734" s="92">
        <v>1</v>
      </c>
      <c r="K734" s="92">
        <f>SUMIFS(VENTAS[Cantidad],VENTAS[Código del producto Vendido],STOCK[[#This Row],[Code]])</f>
        <v>1</v>
      </c>
      <c r="L734" s="92">
        <f>STOCK[[#This Row],[Entradas]]-STOCK[[#This Row],[Salidas]]</f>
        <v>0</v>
      </c>
      <c r="M734" s="77">
        <f>STOCK[[#This Row],[Precio Final]]*10%</f>
        <v>3.5</v>
      </c>
      <c r="N734" s="77">
        <v>0</v>
      </c>
      <c r="O734" s="77">
        <v>0</v>
      </c>
      <c r="P734" s="77">
        <v>19</v>
      </c>
      <c r="Q734" s="92">
        <v>0</v>
      </c>
      <c r="R734" s="77">
        <v>0</v>
      </c>
      <c r="S734" s="77">
        <v>5</v>
      </c>
      <c r="T734" s="76">
        <f>STOCK[[#This Row],[Costo Unitario (USD)]]+STOCK[[#This Row],[Costo Envío (USD)]]+STOCK[[#This Row],[Comisión 10%]]</f>
        <v>27.5</v>
      </c>
      <c r="U734" s="77">
        <f>STOCK[[#This Row],[Costo total]]*1.5</f>
        <v>41.25</v>
      </c>
      <c r="V734" s="77">
        <v>35</v>
      </c>
      <c r="W734" s="77">
        <f>STOCK[[#This Row],[Precio Final]]-STOCK[[#This Row],[Costo total]]</f>
        <v>7.5</v>
      </c>
      <c r="X734" s="77">
        <f>STOCK[[#This Row],[Ganancia Unitaria]]*STOCK[[#This Row],[Salidas]]</f>
        <v>7.5</v>
      </c>
      <c r="Y734" s="77" t="s">
        <v>1470</v>
      </c>
      <c r="AA734" s="77">
        <f>STOCK[[#This Row],[Costo total]]*STOCK[[#This Row],[Entradas]]</f>
        <v>27.5</v>
      </c>
      <c r="AB734" s="77">
        <f>STOCK[[#This Row],[Stock Actual]]*STOCK[[#This Row],[Costo total]]</f>
        <v>0</v>
      </c>
    </row>
    <row r="735" s="76" customFormat="1" ht="50" customHeight="1" spans="1:28">
      <c r="A735" s="76" t="s">
        <v>1471</v>
      </c>
      <c r="B735" s="6"/>
      <c r="C735" s="76" t="s">
        <v>30</v>
      </c>
      <c r="D735" s="76" t="s">
        <v>151</v>
      </c>
      <c r="E735" s="76" t="s">
        <v>1472</v>
      </c>
      <c r="F735" s="76" t="s">
        <v>60</v>
      </c>
      <c r="G735" s="76" t="s">
        <v>34</v>
      </c>
      <c r="H735" s="76">
        <f>STOCK[[#This Row],[Precio Final]]</f>
        <v>13</v>
      </c>
      <c r="I735" s="76">
        <f>STOCK[[#This Row],[Precio Venta Ideal (x1.5)]]</f>
        <v>18.45</v>
      </c>
      <c r="J735" s="91">
        <v>1</v>
      </c>
      <c r="K735" s="91">
        <f>SUMIFS(VENTAS[Cantidad],VENTAS[Código del producto Vendido],STOCK[[#This Row],[Code]])</f>
        <v>1</v>
      </c>
      <c r="L735" s="91">
        <f>STOCK[[#This Row],[Entradas]]-STOCK[[#This Row],[Salidas]]</f>
        <v>0</v>
      </c>
      <c r="M735" s="76">
        <f>STOCK[[#This Row],[Precio Final]]*10%</f>
        <v>1.3</v>
      </c>
      <c r="N735" s="76">
        <v>0</v>
      </c>
      <c r="O735" s="76">
        <v>0</v>
      </c>
      <c r="P735" s="76">
        <v>6</v>
      </c>
      <c r="Q735" s="91">
        <v>0</v>
      </c>
      <c r="R735" s="76">
        <v>0</v>
      </c>
      <c r="S735" s="76">
        <v>5</v>
      </c>
      <c r="T735" s="76">
        <f>STOCK[[#This Row],[Costo Unitario (USD)]]+STOCK[[#This Row],[Costo Envío (USD)]]+STOCK[[#This Row],[Comisión 10%]]</f>
        <v>12.3</v>
      </c>
      <c r="U735" s="76">
        <f>STOCK[[#This Row],[Costo total]]*1.5</f>
        <v>18.45</v>
      </c>
      <c r="V735" s="76">
        <v>13</v>
      </c>
      <c r="W735" s="76">
        <f>STOCK[[#This Row],[Precio Final]]-STOCK[[#This Row],[Costo total]]</f>
        <v>0.699999999999999</v>
      </c>
      <c r="X735" s="76">
        <f>STOCK[[#This Row],[Ganancia Unitaria]]*STOCK[[#This Row],[Salidas]]</f>
        <v>0.699999999999999</v>
      </c>
      <c r="Y735" s="76" t="s">
        <v>1470</v>
      </c>
      <c r="AA735" s="76">
        <f>STOCK[[#This Row],[Costo total]]*STOCK[[#This Row],[Entradas]]</f>
        <v>12.3</v>
      </c>
      <c r="AB735" s="76">
        <f>STOCK[[#This Row],[Stock Actual]]*STOCK[[#This Row],[Costo total]]</f>
        <v>0</v>
      </c>
    </row>
    <row r="736" s="77" customFormat="1" ht="50" customHeight="1" spans="1:28">
      <c r="A736" s="77" t="s">
        <v>1473</v>
      </c>
      <c r="B736" s="6"/>
      <c r="C736" s="77" t="s">
        <v>30</v>
      </c>
      <c r="D736" s="77" t="s">
        <v>151</v>
      </c>
      <c r="E736" s="77" t="s">
        <v>1474</v>
      </c>
      <c r="F736" s="77" t="s">
        <v>60</v>
      </c>
      <c r="G736" s="77" t="s">
        <v>34</v>
      </c>
      <c r="H736" s="77">
        <f>STOCK[[#This Row],[Precio Final]]</f>
        <v>25</v>
      </c>
      <c r="I736" s="77">
        <f>STOCK[[#This Row],[Precio Venta Ideal (x1.5)]]</f>
        <v>36.75</v>
      </c>
      <c r="J736" s="92">
        <v>0</v>
      </c>
      <c r="K736" s="92">
        <f>SUMIFS(VENTAS[Cantidad],VENTAS[Código del producto Vendido],STOCK[[#This Row],[Code]])</f>
        <v>0</v>
      </c>
      <c r="L736" s="92">
        <f>STOCK[[#This Row],[Entradas]]-STOCK[[#This Row],[Salidas]]</f>
        <v>0</v>
      </c>
      <c r="M736" s="77">
        <f>STOCK[[#This Row],[Precio Final]]*10%</f>
        <v>2.5</v>
      </c>
      <c r="N736" s="77">
        <v>0</v>
      </c>
      <c r="O736" s="77">
        <v>0</v>
      </c>
      <c r="P736" s="77">
        <v>17</v>
      </c>
      <c r="Q736" s="92">
        <v>0</v>
      </c>
      <c r="R736" s="77">
        <v>0</v>
      </c>
      <c r="S736" s="77">
        <v>5</v>
      </c>
      <c r="T736" s="76">
        <f>STOCK[[#This Row],[Costo Unitario (USD)]]+STOCK[[#This Row],[Costo Envío (USD)]]+STOCK[[#This Row],[Comisión 10%]]</f>
        <v>24.5</v>
      </c>
      <c r="U736" s="77">
        <f>STOCK[[#This Row],[Costo total]]*1.5</f>
        <v>36.75</v>
      </c>
      <c r="V736" s="77">
        <v>25</v>
      </c>
      <c r="W736" s="77">
        <f>STOCK[[#This Row],[Precio Final]]-STOCK[[#This Row],[Costo total]]</f>
        <v>0.5</v>
      </c>
      <c r="X736" s="77">
        <f>STOCK[[#This Row],[Ganancia Unitaria]]*STOCK[[#This Row],[Salidas]]</f>
        <v>0</v>
      </c>
      <c r="Y736" s="77" t="s">
        <v>1470</v>
      </c>
      <c r="AA736" s="77">
        <f>STOCK[[#This Row],[Costo total]]*STOCK[[#This Row],[Entradas]]</f>
        <v>0</v>
      </c>
      <c r="AB736" s="77">
        <f>STOCK[[#This Row],[Stock Actual]]*STOCK[[#This Row],[Costo total]]</f>
        <v>0</v>
      </c>
    </row>
    <row r="737" s="76" customFormat="1" ht="50" customHeight="1" spans="1:28">
      <c r="A737" s="76" t="s">
        <v>1475</v>
      </c>
      <c r="B737" s="6"/>
      <c r="C737" s="76" t="s">
        <v>30</v>
      </c>
      <c r="D737" s="76" t="s">
        <v>151</v>
      </c>
      <c r="E737" s="76" t="s">
        <v>1476</v>
      </c>
      <c r="F737" s="76" t="s">
        <v>60</v>
      </c>
      <c r="G737" s="76" t="s">
        <v>34</v>
      </c>
      <c r="H737" s="76">
        <f>STOCK[[#This Row],[Precio Final]]</f>
        <v>12</v>
      </c>
      <c r="I737" s="76">
        <f>STOCK[[#This Row],[Precio Venta Ideal (x1.5)]]</f>
        <v>18.3</v>
      </c>
      <c r="J737" s="91">
        <v>1</v>
      </c>
      <c r="K737" s="91">
        <f>SUMIFS(VENTAS[Cantidad],VENTAS[Código del producto Vendido],STOCK[[#This Row],[Code]])</f>
        <v>1</v>
      </c>
      <c r="L737" s="91">
        <f>STOCK[[#This Row],[Entradas]]-STOCK[[#This Row],[Salidas]]</f>
        <v>0</v>
      </c>
      <c r="M737" s="76">
        <f>STOCK[[#This Row],[Precio Final]]*10%</f>
        <v>1.2</v>
      </c>
      <c r="N737" s="76">
        <v>0</v>
      </c>
      <c r="O737" s="76">
        <v>0</v>
      </c>
      <c r="P737" s="76">
        <v>6</v>
      </c>
      <c r="Q737" s="91">
        <v>0</v>
      </c>
      <c r="R737" s="76">
        <v>0</v>
      </c>
      <c r="S737" s="76">
        <v>5</v>
      </c>
      <c r="T737" s="76">
        <f>STOCK[[#This Row],[Costo Unitario (USD)]]+STOCK[[#This Row],[Costo Envío (USD)]]+STOCK[[#This Row],[Comisión 10%]]</f>
        <v>12.2</v>
      </c>
      <c r="U737" s="76">
        <f>STOCK[[#This Row],[Costo total]]*1.5</f>
        <v>18.3</v>
      </c>
      <c r="V737" s="76">
        <v>12</v>
      </c>
      <c r="W737" s="76">
        <f>STOCK[[#This Row],[Precio Final]]-STOCK[[#This Row],[Costo total]]</f>
        <v>-0.199999999999999</v>
      </c>
      <c r="X737" s="76">
        <f>STOCK[[#This Row],[Ganancia Unitaria]]*STOCK[[#This Row],[Salidas]]</f>
        <v>-0.199999999999999</v>
      </c>
      <c r="Y737" s="76" t="s">
        <v>1470</v>
      </c>
      <c r="AA737" s="76">
        <f>STOCK[[#This Row],[Costo total]]*STOCK[[#This Row],[Entradas]]</f>
        <v>12.2</v>
      </c>
      <c r="AB737" s="76">
        <f>STOCK[[#This Row],[Stock Actual]]*STOCK[[#This Row],[Costo total]]</f>
        <v>0</v>
      </c>
    </row>
    <row r="738" s="77" customFormat="1" ht="50" customHeight="1" spans="1:28">
      <c r="A738" s="77" t="s">
        <v>1477</v>
      </c>
      <c r="B738" s="6"/>
      <c r="C738" s="77" t="s">
        <v>30</v>
      </c>
      <c r="D738" s="77" t="s">
        <v>151</v>
      </c>
      <c r="E738" s="77" t="s">
        <v>1478</v>
      </c>
      <c r="F738" s="77" t="s">
        <v>47</v>
      </c>
      <c r="G738" s="77" t="s">
        <v>34</v>
      </c>
      <c r="H738" s="77">
        <f>STOCK[[#This Row],[Precio Final]]</f>
        <v>30</v>
      </c>
      <c r="I738" s="77">
        <f>STOCK[[#This Row],[Precio Venta Ideal (x1.5)]]</f>
        <v>32.25</v>
      </c>
      <c r="J738" s="92">
        <v>1</v>
      </c>
      <c r="K738" s="92">
        <f>SUMIFS(VENTAS[Cantidad],VENTAS[Código del producto Vendido],STOCK[[#This Row],[Code]])</f>
        <v>1</v>
      </c>
      <c r="L738" s="92">
        <f>STOCK[[#This Row],[Entradas]]-STOCK[[#This Row],[Salidas]]</f>
        <v>0</v>
      </c>
      <c r="M738" s="77">
        <f>STOCK[[#This Row],[Precio Final]]*10%</f>
        <v>3</v>
      </c>
      <c r="N738" s="77">
        <v>0</v>
      </c>
      <c r="O738" s="77">
        <v>0</v>
      </c>
      <c r="P738" s="77">
        <v>13.5</v>
      </c>
      <c r="Q738" s="92">
        <v>0</v>
      </c>
      <c r="R738" s="77">
        <v>0</v>
      </c>
      <c r="S738" s="77">
        <v>5</v>
      </c>
      <c r="T738" s="76">
        <f>STOCK[[#This Row],[Costo Unitario (USD)]]+STOCK[[#This Row],[Costo Envío (USD)]]+STOCK[[#This Row],[Comisión 10%]]</f>
        <v>21.5</v>
      </c>
      <c r="U738" s="77">
        <f>STOCK[[#This Row],[Costo total]]*1.5</f>
        <v>32.25</v>
      </c>
      <c r="V738" s="77">
        <v>30</v>
      </c>
      <c r="W738" s="77">
        <f>STOCK[[#This Row],[Precio Final]]-STOCK[[#This Row],[Costo total]]</f>
        <v>8.5</v>
      </c>
      <c r="X738" s="77">
        <f>STOCK[[#This Row],[Ganancia Unitaria]]*STOCK[[#This Row],[Salidas]]</f>
        <v>8.5</v>
      </c>
      <c r="Y738" s="77" t="s">
        <v>1470</v>
      </c>
      <c r="AA738" s="77">
        <f>STOCK[[#This Row],[Costo total]]*STOCK[[#This Row],[Entradas]]</f>
        <v>21.5</v>
      </c>
      <c r="AB738" s="77">
        <f>STOCK[[#This Row],[Stock Actual]]*STOCK[[#This Row],[Costo total]]</f>
        <v>0</v>
      </c>
    </row>
    <row r="739" s="76" customFormat="1" ht="50" customHeight="1" spans="1:28">
      <c r="A739" s="76" t="s">
        <v>1479</v>
      </c>
      <c r="B739" s="6"/>
      <c r="C739" s="76" t="s">
        <v>30</v>
      </c>
      <c r="D739" s="76" t="s">
        <v>1480</v>
      </c>
      <c r="E739" s="76" t="s">
        <v>1481</v>
      </c>
      <c r="F739" s="76" t="s">
        <v>1482</v>
      </c>
      <c r="G739" s="76" t="s">
        <v>34</v>
      </c>
      <c r="H739" s="76">
        <f>STOCK[[#This Row],[Precio Final]]</f>
        <v>50</v>
      </c>
      <c r="I739" s="76">
        <f>STOCK[[#This Row],[Precio Venta Ideal (x1.5)]]</f>
        <v>52.5</v>
      </c>
      <c r="J739" s="91">
        <v>1</v>
      </c>
      <c r="K739" s="91">
        <f>SUMIFS(VENTAS[Cantidad],VENTAS[Código del producto Vendido],STOCK[[#This Row],[Code]])</f>
        <v>1</v>
      </c>
      <c r="L739" s="91">
        <f>STOCK[[#This Row],[Entradas]]-STOCK[[#This Row],[Salidas]]</f>
        <v>0</v>
      </c>
      <c r="M739" s="76">
        <f>STOCK[[#This Row],[Precio Final]]*10%</f>
        <v>5</v>
      </c>
      <c r="N739" s="76">
        <v>0</v>
      </c>
      <c r="O739" s="76">
        <v>0</v>
      </c>
      <c r="P739" s="76">
        <v>25</v>
      </c>
      <c r="Q739" s="91">
        <v>0</v>
      </c>
      <c r="R739" s="76">
        <v>0</v>
      </c>
      <c r="S739" s="76">
        <v>5</v>
      </c>
      <c r="T739" s="76">
        <f>STOCK[[#This Row],[Costo Unitario (USD)]]+STOCK[[#This Row],[Costo Envío (USD)]]+STOCK[[#This Row],[Comisión 10%]]</f>
        <v>35</v>
      </c>
      <c r="U739" s="76">
        <f>STOCK[[#This Row],[Costo total]]*1.5</f>
        <v>52.5</v>
      </c>
      <c r="V739" s="76">
        <v>50</v>
      </c>
      <c r="W739" s="76">
        <f>STOCK[[#This Row],[Precio Final]]-STOCK[[#This Row],[Costo total]]</f>
        <v>15</v>
      </c>
      <c r="X739" s="76">
        <f>STOCK[[#This Row],[Ganancia Unitaria]]*STOCK[[#This Row],[Salidas]]</f>
        <v>15</v>
      </c>
      <c r="Y739" s="76" t="s">
        <v>1470</v>
      </c>
      <c r="AA739" s="76">
        <f>STOCK[[#This Row],[Costo total]]*STOCK[[#This Row],[Entradas]]</f>
        <v>35</v>
      </c>
      <c r="AB739" s="76">
        <f>STOCK[[#This Row],[Stock Actual]]*STOCK[[#This Row],[Costo total]]</f>
        <v>0</v>
      </c>
    </row>
    <row r="740" s="77" customFormat="1" ht="50" customHeight="1" spans="1:28">
      <c r="A740" s="77" t="s">
        <v>1483</v>
      </c>
      <c r="B740" s="6"/>
      <c r="C740" s="77" t="s">
        <v>30</v>
      </c>
      <c r="D740" s="77" t="s">
        <v>514</v>
      </c>
      <c r="E740" s="77" t="s">
        <v>1484</v>
      </c>
      <c r="F740" s="77" t="s">
        <v>539</v>
      </c>
      <c r="G740" s="77" t="s">
        <v>34</v>
      </c>
      <c r="H740" s="77">
        <f>STOCK[[#This Row],[Precio Final]]</f>
        <v>40</v>
      </c>
      <c r="I740" s="77">
        <f>STOCK[[#This Row],[Precio Venta Ideal (x1.5)]]</f>
        <v>41.25</v>
      </c>
      <c r="J740" s="92">
        <v>1</v>
      </c>
      <c r="K740" s="92">
        <f>SUMIFS(VENTAS[Cantidad],VENTAS[Código del producto Vendido],STOCK[[#This Row],[Code]])</f>
        <v>1</v>
      </c>
      <c r="L740" s="92">
        <f>STOCK[[#This Row],[Entradas]]-STOCK[[#This Row],[Salidas]]</f>
        <v>0</v>
      </c>
      <c r="M740" s="77">
        <f>STOCK[[#This Row],[Precio Final]]*10%</f>
        <v>4</v>
      </c>
      <c r="N740" s="77">
        <v>0</v>
      </c>
      <c r="O740" s="77">
        <v>0</v>
      </c>
      <c r="P740" s="77">
        <v>18.5</v>
      </c>
      <c r="Q740" s="92">
        <v>0</v>
      </c>
      <c r="R740" s="77">
        <v>0</v>
      </c>
      <c r="S740" s="77">
        <v>5</v>
      </c>
      <c r="T740" s="76">
        <f>STOCK[[#This Row],[Costo Unitario (USD)]]+STOCK[[#This Row],[Costo Envío (USD)]]+STOCK[[#This Row],[Comisión 10%]]</f>
        <v>27.5</v>
      </c>
      <c r="U740" s="77">
        <f>STOCK[[#This Row],[Costo total]]*1.5</f>
        <v>41.25</v>
      </c>
      <c r="V740" s="77">
        <v>40</v>
      </c>
      <c r="W740" s="77">
        <f>STOCK[[#This Row],[Precio Final]]-STOCK[[#This Row],[Costo total]]</f>
        <v>12.5</v>
      </c>
      <c r="X740" s="77">
        <f>STOCK[[#This Row],[Ganancia Unitaria]]*STOCK[[#This Row],[Salidas]]</f>
        <v>12.5</v>
      </c>
      <c r="Y740" s="77" t="s">
        <v>1470</v>
      </c>
      <c r="AA740" s="77">
        <f>STOCK[[#This Row],[Costo total]]*STOCK[[#This Row],[Entradas]]</f>
        <v>27.5</v>
      </c>
      <c r="AB740" s="77">
        <f>STOCK[[#This Row],[Stock Actual]]*STOCK[[#This Row],[Costo total]]</f>
        <v>0</v>
      </c>
    </row>
    <row r="741" s="76" customFormat="1" ht="50" customHeight="1" spans="1:28">
      <c r="A741" s="76" t="s">
        <v>1485</v>
      </c>
      <c r="B741" s="6"/>
      <c r="C741" s="76" t="s">
        <v>30</v>
      </c>
      <c r="D741" s="76" t="s">
        <v>151</v>
      </c>
      <c r="E741" s="76" t="s">
        <v>1486</v>
      </c>
      <c r="F741" s="76" t="s">
        <v>44</v>
      </c>
      <c r="G741" s="76" t="s">
        <v>34</v>
      </c>
      <c r="H741" s="76">
        <f>STOCK[[#This Row],[Precio Final]]</f>
        <v>35</v>
      </c>
      <c r="I741" s="76">
        <f>STOCK[[#This Row],[Precio Venta Ideal (x1.5)]]</f>
        <v>36.15</v>
      </c>
      <c r="J741" s="91">
        <v>1</v>
      </c>
      <c r="K741" s="91">
        <f>SUMIFS(VENTAS[Cantidad],VENTAS[Código del producto Vendido],STOCK[[#This Row],[Code]])</f>
        <v>1</v>
      </c>
      <c r="L741" s="91">
        <f>STOCK[[#This Row],[Entradas]]-STOCK[[#This Row],[Salidas]]</f>
        <v>0</v>
      </c>
      <c r="M741" s="76">
        <f>STOCK[[#This Row],[Precio Final]]*10%</f>
        <v>3.5</v>
      </c>
      <c r="N741" s="76">
        <v>0</v>
      </c>
      <c r="O741" s="76">
        <v>0</v>
      </c>
      <c r="P741" s="76">
        <v>15.6</v>
      </c>
      <c r="Q741" s="91">
        <v>0</v>
      </c>
      <c r="R741" s="76">
        <v>0</v>
      </c>
      <c r="S741" s="76">
        <v>5</v>
      </c>
      <c r="T741" s="76">
        <f>STOCK[[#This Row],[Costo Unitario (USD)]]+STOCK[[#This Row],[Costo Envío (USD)]]+STOCK[[#This Row],[Comisión 10%]]</f>
        <v>24.1</v>
      </c>
      <c r="U741" s="76">
        <f>STOCK[[#This Row],[Costo total]]*1.5</f>
        <v>36.15</v>
      </c>
      <c r="V741" s="76">
        <v>35</v>
      </c>
      <c r="W741" s="76">
        <f>STOCK[[#This Row],[Precio Final]]-STOCK[[#This Row],[Costo total]]</f>
        <v>10.9</v>
      </c>
      <c r="X741" s="76">
        <f>STOCK[[#This Row],[Ganancia Unitaria]]*STOCK[[#This Row],[Salidas]]</f>
        <v>10.9</v>
      </c>
      <c r="Y741" s="76" t="s">
        <v>1470</v>
      </c>
      <c r="AA741" s="76">
        <f>STOCK[[#This Row],[Costo total]]*STOCK[[#This Row],[Entradas]]</f>
        <v>24.1</v>
      </c>
      <c r="AB741" s="76">
        <f>STOCK[[#This Row],[Stock Actual]]*STOCK[[#This Row],[Costo total]]</f>
        <v>0</v>
      </c>
    </row>
    <row r="742" s="77" customFormat="1" ht="50" customHeight="1" spans="1:28">
      <c r="A742" s="77" t="s">
        <v>1487</v>
      </c>
      <c r="B742" s="6"/>
      <c r="C742" s="77" t="s">
        <v>30</v>
      </c>
      <c r="D742" s="77" t="s">
        <v>151</v>
      </c>
      <c r="E742" s="77" t="s">
        <v>1488</v>
      </c>
      <c r="F742" s="77" t="s">
        <v>1045</v>
      </c>
      <c r="G742" s="77" t="s">
        <v>34</v>
      </c>
      <c r="H742" s="77">
        <f>STOCK[[#This Row],[Precio Final]]</f>
        <v>20</v>
      </c>
      <c r="I742" s="77">
        <f>STOCK[[#This Row],[Precio Venta Ideal (x1.5)]]</f>
        <v>25.5</v>
      </c>
      <c r="J742" s="92">
        <v>1</v>
      </c>
      <c r="K742" s="92">
        <f>SUMIFS(VENTAS[Cantidad],VENTAS[Código del producto Vendido],STOCK[[#This Row],[Code]])</f>
        <v>2</v>
      </c>
      <c r="L742" s="92">
        <f>STOCK[[#This Row],[Entradas]]-STOCK[[#This Row],[Salidas]]</f>
        <v>-1</v>
      </c>
      <c r="M742" s="77">
        <f>STOCK[[#This Row],[Precio Final]]*10%</f>
        <v>2</v>
      </c>
      <c r="N742" s="77">
        <v>0</v>
      </c>
      <c r="O742" s="77">
        <v>0</v>
      </c>
      <c r="P742" s="77">
        <v>13.5</v>
      </c>
      <c r="Q742" s="92">
        <v>0</v>
      </c>
      <c r="R742" s="77">
        <v>0</v>
      </c>
      <c r="S742" s="77">
        <v>1.5</v>
      </c>
      <c r="T742" s="76">
        <f>STOCK[[#This Row],[Costo Unitario (USD)]]+STOCK[[#This Row],[Costo Envío (USD)]]+STOCK[[#This Row],[Comisión 10%]]</f>
        <v>17</v>
      </c>
      <c r="U742" s="77">
        <f>STOCK[[#This Row],[Costo total]]*1.5</f>
        <v>25.5</v>
      </c>
      <c r="V742" s="77">
        <v>20</v>
      </c>
      <c r="W742" s="77">
        <f>STOCK[[#This Row],[Precio Final]]-STOCK[[#This Row],[Costo total]]</f>
        <v>3</v>
      </c>
      <c r="X742" s="77">
        <f>STOCK[[#This Row],[Ganancia Unitaria]]*STOCK[[#This Row],[Salidas]]</f>
        <v>6</v>
      </c>
      <c r="Y742" s="77" t="s">
        <v>1470</v>
      </c>
      <c r="AA742" s="77">
        <f>STOCK[[#This Row],[Costo total]]*STOCK[[#This Row],[Entradas]]</f>
        <v>17</v>
      </c>
      <c r="AB742" s="77">
        <f>STOCK[[#This Row],[Stock Actual]]*STOCK[[#This Row],[Costo total]]</f>
        <v>-17</v>
      </c>
    </row>
    <row r="743" s="76" customFormat="1" ht="50" customHeight="1" spans="1:28">
      <c r="A743" s="76" t="s">
        <v>1489</v>
      </c>
      <c r="B743" s="6"/>
      <c r="C743" s="76" t="s">
        <v>30</v>
      </c>
      <c r="D743" s="76" t="s">
        <v>151</v>
      </c>
      <c r="E743" s="76" t="s">
        <v>1490</v>
      </c>
      <c r="F743" s="76" t="s">
        <v>47</v>
      </c>
      <c r="G743" s="76" t="s">
        <v>34</v>
      </c>
      <c r="H743" s="76">
        <f>STOCK[[#This Row],[Precio Final]]</f>
        <v>13</v>
      </c>
      <c r="I743" s="76">
        <f>STOCK[[#This Row],[Precio Venta Ideal (x1.5)]]</f>
        <v>13.2</v>
      </c>
      <c r="J743" s="91">
        <v>1</v>
      </c>
      <c r="K743" s="91">
        <f>SUMIFS(VENTAS[Cantidad],VENTAS[Código del producto Vendido],STOCK[[#This Row],[Code]])</f>
        <v>1</v>
      </c>
      <c r="L743" s="91">
        <f>STOCK[[#This Row],[Entradas]]-STOCK[[#This Row],[Salidas]]</f>
        <v>0</v>
      </c>
      <c r="M743" s="76">
        <f>STOCK[[#This Row],[Precio Final]]*10%</f>
        <v>1.3</v>
      </c>
      <c r="N743" s="76">
        <v>0</v>
      </c>
      <c r="O743" s="76">
        <v>0</v>
      </c>
      <c r="P743" s="76">
        <v>6</v>
      </c>
      <c r="Q743" s="91">
        <v>0</v>
      </c>
      <c r="R743" s="76">
        <v>0</v>
      </c>
      <c r="S743" s="76">
        <v>1.5</v>
      </c>
      <c r="T743" s="76">
        <f>STOCK[[#This Row],[Costo Unitario (USD)]]+STOCK[[#This Row],[Costo Envío (USD)]]+STOCK[[#This Row],[Comisión 10%]]</f>
        <v>8.8</v>
      </c>
      <c r="U743" s="76">
        <f>STOCK[[#This Row],[Costo total]]*1.5</f>
        <v>13.2</v>
      </c>
      <c r="V743" s="76">
        <v>13</v>
      </c>
      <c r="W743" s="76">
        <f>STOCK[[#This Row],[Precio Final]]-STOCK[[#This Row],[Costo total]]</f>
        <v>4.2</v>
      </c>
      <c r="X743" s="76">
        <f>STOCK[[#This Row],[Ganancia Unitaria]]*STOCK[[#This Row],[Salidas]]</f>
        <v>4.2</v>
      </c>
      <c r="Y743" s="76" t="s">
        <v>1470</v>
      </c>
      <c r="AA743" s="76">
        <f>STOCK[[#This Row],[Costo total]]*STOCK[[#This Row],[Entradas]]</f>
        <v>8.8</v>
      </c>
      <c r="AB743" s="76">
        <f>STOCK[[#This Row],[Stock Actual]]*STOCK[[#This Row],[Costo total]]</f>
        <v>0</v>
      </c>
    </row>
    <row r="744" s="77" customFormat="1" ht="50" customHeight="1" spans="1:28">
      <c r="A744" s="77" t="s">
        <v>1491</v>
      </c>
      <c r="B744" s="6"/>
      <c r="C744" s="77" t="s">
        <v>30</v>
      </c>
      <c r="D744" s="77" t="s">
        <v>173</v>
      </c>
      <c r="E744" s="77" t="s">
        <v>1492</v>
      </c>
      <c r="F744" s="77" t="s">
        <v>60</v>
      </c>
      <c r="G744" s="77" t="s">
        <v>34</v>
      </c>
      <c r="H744" s="77">
        <f>STOCK[[#This Row],[Precio Final]]</f>
        <v>12</v>
      </c>
      <c r="I744" s="77">
        <f>STOCK[[#This Row],[Precio Venta Ideal (x1.5)]]</f>
        <v>11.55</v>
      </c>
      <c r="J744" s="92">
        <v>2</v>
      </c>
      <c r="K744" s="92">
        <f>SUMIFS(VENTAS[Cantidad],VENTAS[Código del producto Vendido],STOCK[[#This Row],[Code]])</f>
        <v>0</v>
      </c>
      <c r="L744" s="92">
        <f>STOCK[[#This Row],[Entradas]]-STOCK[[#This Row],[Salidas]]</f>
        <v>2</v>
      </c>
      <c r="M744" s="77">
        <f>STOCK[[#This Row],[Precio Final]]*10%</f>
        <v>1.2</v>
      </c>
      <c r="N744" s="77">
        <v>0</v>
      </c>
      <c r="O744" s="77">
        <v>0</v>
      </c>
      <c r="P744" s="77">
        <v>5</v>
      </c>
      <c r="Q744" s="92">
        <v>0</v>
      </c>
      <c r="R744" s="77">
        <v>0</v>
      </c>
      <c r="S744" s="77">
        <v>1.5</v>
      </c>
      <c r="T744" s="76">
        <f>STOCK[[#This Row],[Costo Unitario (USD)]]+STOCK[[#This Row],[Costo Envío (USD)]]+STOCK[[#This Row],[Comisión 10%]]</f>
        <v>7.7</v>
      </c>
      <c r="U744" s="77">
        <f>STOCK[[#This Row],[Costo total]]*1.5</f>
        <v>11.55</v>
      </c>
      <c r="V744" s="77">
        <v>12</v>
      </c>
      <c r="W744" s="77">
        <f>STOCK[[#This Row],[Precio Final]]-STOCK[[#This Row],[Costo total]]</f>
        <v>4.3</v>
      </c>
      <c r="X744" s="77">
        <f>STOCK[[#This Row],[Ganancia Unitaria]]*STOCK[[#This Row],[Salidas]]</f>
        <v>0</v>
      </c>
      <c r="Y744" s="77" t="s">
        <v>1470</v>
      </c>
      <c r="AA744" s="77">
        <f>STOCK[[#This Row],[Costo total]]*STOCK[[#This Row],[Entradas]]</f>
        <v>15.4</v>
      </c>
      <c r="AB744" s="77">
        <f>STOCK[[#This Row],[Stock Actual]]*STOCK[[#This Row],[Costo total]]</f>
        <v>15.4</v>
      </c>
    </row>
    <row r="745" s="76" customFormat="1" ht="50" customHeight="1" spans="1:28">
      <c r="A745" s="76" t="s">
        <v>1493</v>
      </c>
      <c r="B745" s="6"/>
      <c r="C745" s="76" t="s">
        <v>30</v>
      </c>
      <c r="D745" s="76" t="s">
        <v>151</v>
      </c>
      <c r="E745" s="76" t="s">
        <v>1494</v>
      </c>
      <c r="F745" s="76" t="s">
        <v>40</v>
      </c>
      <c r="G745" s="76" t="s">
        <v>34</v>
      </c>
      <c r="H745" s="76">
        <f>STOCK[[#This Row],[Precio Final]]</f>
        <v>35</v>
      </c>
      <c r="I745" s="76">
        <f>STOCK[[#This Row],[Precio Venta Ideal (x1.5)]]</f>
        <v>40.5</v>
      </c>
      <c r="J745" s="91">
        <v>0</v>
      </c>
      <c r="K745" s="91">
        <f>SUMIFS(VENTAS[Cantidad],VENTAS[Código del producto Vendido],STOCK[[#This Row],[Code]])</f>
        <v>0</v>
      </c>
      <c r="L745" s="91">
        <f>STOCK[[#This Row],[Entradas]]-STOCK[[#This Row],[Salidas]]</f>
        <v>0</v>
      </c>
      <c r="M745" s="76">
        <f>STOCK[[#This Row],[Precio Final]]*10%</f>
        <v>3.5</v>
      </c>
      <c r="N745" s="76">
        <v>0</v>
      </c>
      <c r="O745" s="76">
        <v>0</v>
      </c>
      <c r="P745" s="76">
        <v>22</v>
      </c>
      <c r="Q745" s="91">
        <v>0</v>
      </c>
      <c r="R745" s="76">
        <v>0</v>
      </c>
      <c r="S745" s="76">
        <v>1.5</v>
      </c>
      <c r="T745" s="76">
        <f>STOCK[[#This Row],[Costo Unitario (USD)]]+STOCK[[#This Row],[Costo Envío (USD)]]+STOCK[[#This Row],[Comisión 10%]]</f>
        <v>27</v>
      </c>
      <c r="U745" s="76">
        <f>STOCK[[#This Row],[Costo total]]*1.5</f>
        <v>40.5</v>
      </c>
      <c r="V745" s="76">
        <v>35</v>
      </c>
      <c r="W745" s="76">
        <f>STOCK[[#This Row],[Precio Final]]-STOCK[[#This Row],[Costo total]]</f>
        <v>8</v>
      </c>
      <c r="X745" s="76">
        <f>STOCK[[#This Row],[Ganancia Unitaria]]*STOCK[[#This Row],[Salidas]]</f>
        <v>0</v>
      </c>
      <c r="Y745" s="76" t="s">
        <v>1470</v>
      </c>
      <c r="AA745" s="76">
        <f>STOCK[[#This Row],[Costo total]]*STOCK[[#This Row],[Entradas]]</f>
        <v>0</v>
      </c>
      <c r="AB745" s="76">
        <f>STOCK[[#This Row],[Stock Actual]]*STOCK[[#This Row],[Costo total]]</f>
        <v>0</v>
      </c>
    </row>
    <row r="746" s="77" customFormat="1" ht="50" customHeight="1" spans="1:28">
      <c r="A746" s="77" t="s">
        <v>1495</v>
      </c>
      <c r="B746" s="6"/>
      <c r="C746" s="77" t="s">
        <v>30</v>
      </c>
      <c r="D746" s="77" t="s">
        <v>151</v>
      </c>
      <c r="E746" s="77" t="s">
        <v>1496</v>
      </c>
      <c r="F746" s="77" t="s">
        <v>40</v>
      </c>
      <c r="G746" s="77" t="s">
        <v>34</v>
      </c>
      <c r="H746" s="77">
        <f>STOCK[[#This Row],[Precio Final]]</f>
        <v>40</v>
      </c>
      <c r="I746" s="77">
        <f>STOCK[[#This Row],[Precio Venta Ideal (x1.5)]]</f>
        <v>47.25</v>
      </c>
      <c r="J746" s="92">
        <v>0</v>
      </c>
      <c r="K746" s="92">
        <f>SUMIFS(VENTAS[Cantidad],VENTAS[Código del producto Vendido],STOCK[[#This Row],[Code]])</f>
        <v>0</v>
      </c>
      <c r="L746" s="92">
        <f>STOCK[[#This Row],[Entradas]]-STOCK[[#This Row],[Salidas]]</f>
        <v>0</v>
      </c>
      <c r="M746" s="77">
        <f>STOCK[[#This Row],[Precio Final]]*10%</f>
        <v>4</v>
      </c>
      <c r="N746" s="77">
        <v>0</v>
      </c>
      <c r="O746" s="77">
        <v>0</v>
      </c>
      <c r="P746" s="77">
        <v>26</v>
      </c>
      <c r="Q746" s="92">
        <v>0</v>
      </c>
      <c r="R746" s="77">
        <v>0</v>
      </c>
      <c r="S746" s="77">
        <v>1.5</v>
      </c>
      <c r="T746" s="76">
        <f>STOCK[[#This Row],[Costo Unitario (USD)]]+STOCK[[#This Row],[Costo Envío (USD)]]+STOCK[[#This Row],[Comisión 10%]]</f>
        <v>31.5</v>
      </c>
      <c r="U746" s="77">
        <f>STOCK[[#This Row],[Costo total]]*1.5</f>
        <v>47.25</v>
      </c>
      <c r="V746" s="77">
        <v>40</v>
      </c>
      <c r="W746" s="77">
        <f>STOCK[[#This Row],[Precio Final]]-STOCK[[#This Row],[Costo total]]</f>
        <v>8.5</v>
      </c>
      <c r="X746" s="77">
        <f>STOCK[[#This Row],[Ganancia Unitaria]]*STOCK[[#This Row],[Salidas]]</f>
        <v>0</v>
      </c>
      <c r="Y746" s="77" t="s">
        <v>1470</v>
      </c>
      <c r="AA746" s="77">
        <f>STOCK[[#This Row],[Costo total]]*STOCK[[#This Row],[Entradas]]</f>
        <v>0</v>
      </c>
      <c r="AB746" s="77">
        <f>STOCK[[#This Row],[Stock Actual]]*STOCK[[#This Row],[Costo total]]</f>
        <v>0</v>
      </c>
    </row>
    <row r="747" s="76" customFormat="1" ht="50" customHeight="1" spans="2:28">
      <c r="B747" s="6"/>
      <c r="H747" s="76">
        <f>STOCK[[#This Row],[Precio Final]]</f>
        <v>0</v>
      </c>
      <c r="I747" s="76">
        <f>STOCK[[#This Row],[Precio Venta Ideal (x1.5)]]</f>
        <v>0</v>
      </c>
      <c r="J747" s="91"/>
      <c r="K747" s="91">
        <f>SUMIFS(VENTAS[Cantidad],VENTAS[Código del producto Vendido],STOCK[[#This Row],[Code]])</f>
        <v>0</v>
      </c>
      <c r="L747" s="91">
        <f>STOCK[[#This Row],[Entradas]]-STOCK[[#This Row],[Salidas]]</f>
        <v>0</v>
      </c>
      <c r="M747" s="76">
        <f>STOCK[[#This Row],[Precio Final]]*10%</f>
        <v>0</v>
      </c>
      <c r="Q747" s="91">
        <v>0</v>
      </c>
      <c r="R747" s="76">
        <v>0</v>
      </c>
      <c r="T747" s="76">
        <f>STOCK[[#This Row],[Costo Unitario (USD)]]+STOCK[[#This Row],[Costo Envío (USD)]]+STOCK[[#This Row],[Comisión 10%]]</f>
        <v>0</v>
      </c>
      <c r="U747" s="76">
        <f>STOCK[[#This Row],[Costo total]]*1.5</f>
        <v>0</v>
      </c>
      <c r="W747" s="76">
        <f>STOCK[[#This Row],[Precio Final]]-STOCK[[#This Row],[Costo total]]</f>
        <v>0</v>
      </c>
      <c r="X747" s="76">
        <f>STOCK[[#This Row],[Ganancia Unitaria]]*STOCK[[#This Row],[Salidas]]</f>
        <v>0</v>
      </c>
      <c r="AA747" s="76">
        <f>STOCK[[#This Row],[Costo total]]*STOCK[[#This Row],[Entradas]]</f>
        <v>0</v>
      </c>
      <c r="AB747" s="76">
        <f>STOCK[[#This Row],[Stock Actual]]*STOCK[[#This Row],[Costo total]]</f>
        <v>0</v>
      </c>
    </row>
    <row r="748" s="77" customFormat="1" ht="50" customHeight="1" spans="1:28">
      <c r="A748" s="77" t="s">
        <v>1497</v>
      </c>
      <c r="B748" s="6"/>
      <c r="C748" s="77" t="s">
        <v>30</v>
      </c>
      <c r="D748" s="77" t="s">
        <v>246</v>
      </c>
      <c r="E748" s="77" t="s">
        <v>1498</v>
      </c>
      <c r="F748" s="77" t="s">
        <v>81</v>
      </c>
      <c r="G748" s="77" t="s">
        <v>34</v>
      </c>
      <c r="H748" s="77">
        <f>STOCK[[#This Row],[Precio Final]]</f>
        <v>13</v>
      </c>
      <c r="I748" s="77">
        <f>STOCK[[#This Row],[Precio Venta Ideal (x1.5)]]</f>
        <v>13.2</v>
      </c>
      <c r="J748" s="92">
        <v>1</v>
      </c>
      <c r="K748" s="92">
        <f>SUMIFS(VENTAS[Cantidad],VENTAS[Código del producto Vendido],STOCK[[#This Row],[Code]])</f>
        <v>1</v>
      </c>
      <c r="L748" s="92">
        <f>STOCK[[#This Row],[Entradas]]-STOCK[[#This Row],[Salidas]]</f>
        <v>0</v>
      </c>
      <c r="M748" s="77">
        <f>STOCK[[#This Row],[Precio Final]]*10%</f>
        <v>1.3</v>
      </c>
      <c r="N748" s="77">
        <v>0</v>
      </c>
      <c r="O748" s="77">
        <v>0</v>
      </c>
      <c r="P748" s="77">
        <v>6</v>
      </c>
      <c r="Q748" s="92">
        <v>0</v>
      </c>
      <c r="R748" s="77">
        <v>0</v>
      </c>
      <c r="S748" s="77">
        <v>1.5</v>
      </c>
      <c r="T748" s="76">
        <f>STOCK[[#This Row],[Costo Unitario (USD)]]+STOCK[[#This Row],[Costo Envío (USD)]]+STOCK[[#This Row],[Comisión 10%]]</f>
        <v>8.8</v>
      </c>
      <c r="U748" s="77">
        <f>STOCK[[#This Row],[Costo total]]*1.5</f>
        <v>13.2</v>
      </c>
      <c r="V748" s="77">
        <v>13</v>
      </c>
      <c r="W748" s="77">
        <f>STOCK[[#This Row],[Precio Final]]-STOCK[[#This Row],[Costo total]]</f>
        <v>4.2</v>
      </c>
      <c r="X748" s="77">
        <f>STOCK[[#This Row],[Ganancia Unitaria]]*STOCK[[#This Row],[Salidas]]</f>
        <v>4.2</v>
      </c>
      <c r="Y748" s="77" t="s">
        <v>1470</v>
      </c>
      <c r="AA748" s="77">
        <f>STOCK[[#This Row],[Costo total]]*STOCK[[#This Row],[Entradas]]</f>
        <v>8.8</v>
      </c>
      <c r="AB748" s="77">
        <f>STOCK[[#This Row],[Stock Actual]]*STOCK[[#This Row],[Costo total]]</f>
        <v>0</v>
      </c>
    </row>
    <row r="749" s="76" customFormat="1" ht="50" customHeight="1" spans="1:28">
      <c r="A749" s="76" t="s">
        <v>1499</v>
      </c>
      <c r="B749" s="6"/>
      <c r="C749" s="76" t="s">
        <v>30</v>
      </c>
      <c r="D749" s="76" t="s">
        <v>151</v>
      </c>
      <c r="E749" s="76" t="s">
        <v>1476</v>
      </c>
      <c r="F749" s="76" t="s">
        <v>539</v>
      </c>
      <c r="G749" s="76" t="s">
        <v>34</v>
      </c>
      <c r="H749" s="76">
        <f>STOCK[[#This Row],[Precio Final]]</f>
        <v>13</v>
      </c>
      <c r="I749" s="76">
        <f>STOCK[[#This Row],[Precio Venta Ideal (x1.5)]]</f>
        <v>13.2</v>
      </c>
      <c r="J749" s="91">
        <v>0</v>
      </c>
      <c r="K749" s="91">
        <f>SUMIFS(VENTAS[Cantidad],VENTAS[Código del producto Vendido],STOCK[[#This Row],[Code]])</f>
        <v>0</v>
      </c>
      <c r="L749" s="91">
        <f>STOCK[[#This Row],[Entradas]]-STOCK[[#This Row],[Salidas]]</f>
        <v>0</v>
      </c>
      <c r="M749" s="76">
        <f>STOCK[[#This Row],[Precio Final]]*10%</f>
        <v>1.3</v>
      </c>
      <c r="N749" s="76">
        <v>0</v>
      </c>
      <c r="O749" s="76">
        <v>0</v>
      </c>
      <c r="P749" s="76">
        <v>6</v>
      </c>
      <c r="Q749" s="91">
        <v>0</v>
      </c>
      <c r="R749" s="76">
        <v>0</v>
      </c>
      <c r="S749" s="76">
        <v>1.5</v>
      </c>
      <c r="T749" s="76">
        <f>STOCK[[#This Row],[Costo Unitario (USD)]]+STOCK[[#This Row],[Costo Envío (USD)]]+STOCK[[#This Row],[Comisión 10%]]</f>
        <v>8.8</v>
      </c>
      <c r="U749" s="76">
        <f>STOCK[[#This Row],[Costo total]]*1.5</f>
        <v>13.2</v>
      </c>
      <c r="V749" s="76">
        <v>13</v>
      </c>
      <c r="W749" s="76">
        <f>STOCK[[#This Row],[Precio Final]]-STOCK[[#This Row],[Costo total]]</f>
        <v>4.2</v>
      </c>
      <c r="X749" s="76">
        <f>STOCK[[#This Row],[Ganancia Unitaria]]*STOCK[[#This Row],[Salidas]]</f>
        <v>0</v>
      </c>
      <c r="Y749" s="76" t="s">
        <v>1470</v>
      </c>
      <c r="AA749" s="76">
        <f>STOCK[[#This Row],[Costo total]]*STOCK[[#This Row],[Entradas]]</f>
        <v>0</v>
      </c>
      <c r="AB749" s="76">
        <f>STOCK[[#This Row],[Stock Actual]]*STOCK[[#This Row],[Costo total]]</f>
        <v>0</v>
      </c>
    </row>
    <row r="750" s="77" customFormat="1" ht="50" customHeight="1" spans="1:28">
      <c r="A750" s="77" t="s">
        <v>1500</v>
      </c>
      <c r="B750" s="6"/>
      <c r="C750" s="77" t="s">
        <v>30</v>
      </c>
      <c r="D750" s="77" t="s">
        <v>151</v>
      </c>
      <c r="E750" s="77" t="s">
        <v>1501</v>
      </c>
      <c r="F750" s="77" t="s">
        <v>47</v>
      </c>
      <c r="G750" s="77" t="s">
        <v>34</v>
      </c>
      <c r="H750" s="77">
        <f>STOCK[[#This Row],[Precio Final]]</f>
        <v>25</v>
      </c>
      <c r="I750" s="77">
        <f>STOCK[[#This Row],[Precio Venta Ideal (x1.5)]]</f>
        <v>24</v>
      </c>
      <c r="J750" s="92">
        <v>1</v>
      </c>
      <c r="K750" s="92">
        <f>SUMIFS(VENTAS[Cantidad],VENTAS[Código del producto Vendido],STOCK[[#This Row],[Code]])</f>
        <v>1</v>
      </c>
      <c r="L750" s="92">
        <f>STOCK[[#This Row],[Entradas]]-STOCK[[#This Row],[Salidas]]</f>
        <v>0</v>
      </c>
      <c r="M750" s="77">
        <f>STOCK[[#This Row],[Precio Final]]*10%</f>
        <v>2.5</v>
      </c>
      <c r="N750" s="77">
        <v>0</v>
      </c>
      <c r="O750" s="77">
        <v>0</v>
      </c>
      <c r="P750" s="77">
        <v>12</v>
      </c>
      <c r="Q750" s="92">
        <v>0</v>
      </c>
      <c r="R750" s="77">
        <v>0</v>
      </c>
      <c r="S750" s="77">
        <v>1.5</v>
      </c>
      <c r="T750" s="76">
        <f>STOCK[[#This Row],[Costo Unitario (USD)]]+STOCK[[#This Row],[Costo Envío (USD)]]+STOCK[[#This Row],[Comisión 10%]]</f>
        <v>16</v>
      </c>
      <c r="U750" s="77">
        <f>STOCK[[#This Row],[Costo total]]*1.5</f>
        <v>24</v>
      </c>
      <c r="V750" s="77">
        <v>25</v>
      </c>
      <c r="W750" s="77">
        <f>STOCK[[#This Row],[Precio Final]]-STOCK[[#This Row],[Costo total]]</f>
        <v>9</v>
      </c>
      <c r="X750" s="77">
        <f>STOCK[[#This Row],[Ganancia Unitaria]]*STOCK[[#This Row],[Salidas]]</f>
        <v>9</v>
      </c>
      <c r="Y750" s="77" t="s">
        <v>1470</v>
      </c>
      <c r="AA750" s="77">
        <f>STOCK[[#This Row],[Costo total]]*STOCK[[#This Row],[Entradas]]</f>
        <v>16</v>
      </c>
      <c r="AB750" s="77">
        <f>STOCK[[#This Row],[Stock Actual]]*STOCK[[#This Row],[Costo total]]</f>
        <v>0</v>
      </c>
    </row>
    <row r="751" s="76" customFormat="1" ht="50" customHeight="1" spans="1:28">
      <c r="A751" s="76" t="s">
        <v>1502</v>
      </c>
      <c r="B751" s="6"/>
      <c r="C751" s="76" t="s">
        <v>30</v>
      </c>
      <c r="D751" s="76" t="s">
        <v>151</v>
      </c>
      <c r="E751" s="76" t="s">
        <v>1481</v>
      </c>
      <c r="F751" s="76" t="s">
        <v>38</v>
      </c>
      <c r="G751" s="76" t="s">
        <v>34</v>
      </c>
      <c r="H751" s="76">
        <f>STOCK[[#This Row],[Precio Final]]</f>
        <v>50</v>
      </c>
      <c r="I751" s="76">
        <f>STOCK[[#This Row],[Precio Venta Ideal (x1.5)]]</f>
        <v>47.25</v>
      </c>
      <c r="J751" s="91">
        <v>0</v>
      </c>
      <c r="K751" s="91">
        <f>SUMIFS(VENTAS[Cantidad],VENTAS[Código del producto Vendido],STOCK[[#This Row],[Code]])</f>
        <v>0</v>
      </c>
      <c r="L751" s="91">
        <f>STOCK[[#This Row],[Entradas]]-STOCK[[#This Row],[Salidas]]</f>
        <v>0</v>
      </c>
      <c r="M751" s="76">
        <f>STOCK[[#This Row],[Precio Final]]*10%</f>
        <v>5</v>
      </c>
      <c r="N751" s="76">
        <v>0</v>
      </c>
      <c r="O751" s="76">
        <v>0</v>
      </c>
      <c r="P751" s="76">
        <v>25</v>
      </c>
      <c r="Q751" s="91">
        <v>0</v>
      </c>
      <c r="R751" s="76">
        <v>0</v>
      </c>
      <c r="S751" s="76">
        <v>1.5</v>
      </c>
      <c r="T751" s="76">
        <f>STOCK[[#This Row],[Costo Unitario (USD)]]+STOCK[[#This Row],[Costo Envío (USD)]]+STOCK[[#This Row],[Comisión 10%]]</f>
        <v>31.5</v>
      </c>
      <c r="U751" s="76">
        <f>STOCK[[#This Row],[Costo total]]*1.5</f>
        <v>47.25</v>
      </c>
      <c r="V751" s="76">
        <v>50</v>
      </c>
      <c r="W751" s="76">
        <f>STOCK[[#This Row],[Precio Final]]-STOCK[[#This Row],[Costo total]]</f>
        <v>18.5</v>
      </c>
      <c r="X751" s="76">
        <f>STOCK[[#This Row],[Ganancia Unitaria]]*STOCK[[#This Row],[Salidas]]</f>
        <v>0</v>
      </c>
      <c r="Y751" s="76" t="s">
        <v>1470</v>
      </c>
      <c r="AA751" s="76">
        <f>STOCK[[#This Row],[Costo total]]*STOCK[[#This Row],[Entradas]]</f>
        <v>0</v>
      </c>
      <c r="AB751" s="76">
        <f>STOCK[[#This Row],[Stock Actual]]*STOCK[[#This Row],[Costo total]]</f>
        <v>0</v>
      </c>
    </row>
    <row r="752" s="77" customFormat="1" ht="50" customHeight="1" spans="1:28">
      <c r="A752" s="77" t="s">
        <v>1503</v>
      </c>
      <c r="B752" s="6"/>
      <c r="C752" s="77" t="s">
        <v>30</v>
      </c>
      <c r="D752" s="77" t="s">
        <v>173</v>
      </c>
      <c r="E752" s="77" t="s">
        <v>1169</v>
      </c>
      <c r="F752" s="77" t="s">
        <v>210</v>
      </c>
      <c r="G752" s="77" t="s">
        <v>34</v>
      </c>
      <c r="H752" s="77">
        <f>STOCK[[#This Row],[Precio Final]]</f>
        <v>13</v>
      </c>
      <c r="I752" s="77">
        <f>STOCK[[#This Row],[Precio Venta Ideal (x1.5)]]</f>
        <v>13.2</v>
      </c>
      <c r="J752" s="92">
        <v>3</v>
      </c>
      <c r="K752" s="92">
        <f>SUMIFS(VENTAS[Cantidad],VENTAS[Código del producto Vendido],STOCK[[#This Row],[Code]])</f>
        <v>3</v>
      </c>
      <c r="L752" s="92">
        <f>STOCK[[#This Row],[Entradas]]-STOCK[[#This Row],[Salidas]]</f>
        <v>0</v>
      </c>
      <c r="M752" s="77">
        <f>STOCK[[#This Row],[Precio Final]]*10%</f>
        <v>1.3</v>
      </c>
      <c r="N752" s="77">
        <v>0</v>
      </c>
      <c r="O752" s="77">
        <v>0</v>
      </c>
      <c r="P752" s="77">
        <v>6</v>
      </c>
      <c r="Q752" s="92">
        <v>0</v>
      </c>
      <c r="R752" s="77">
        <v>0</v>
      </c>
      <c r="S752" s="77">
        <v>1.5</v>
      </c>
      <c r="T752" s="76">
        <f>STOCK[[#This Row],[Costo Unitario (USD)]]+STOCK[[#This Row],[Costo Envío (USD)]]+STOCK[[#This Row],[Comisión 10%]]</f>
        <v>8.8</v>
      </c>
      <c r="U752" s="77">
        <f>STOCK[[#This Row],[Costo total]]*1.5</f>
        <v>13.2</v>
      </c>
      <c r="V752" s="77">
        <v>13</v>
      </c>
      <c r="W752" s="77">
        <f>STOCK[[#This Row],[Precio Final]]-STOCK[[#This Row],[Costo total]]</f>
        <v>4.2</v>
      </c>
      <c r="X752" s="77">
        <f>STOCK[[#This Row],[Ganancia Unitaria]]*STOCK[[#This Row],[Salidas]]</f>
        <v>12.6</v>
      </c>
      <c r="Y752" s="77" t="s">
        <v>1470</v>
      </c>
      <c r="AA752" s="77">
        <f>STOCK[[#This Row],[Costo total]]*STOCK[[#This Row],[Entradas]]</f>
        <v>26.4</v>
      </c>
      <c r="AB752" s="77">
        <f>STOCK[[#This Row],[Stock Actual]]*STOCK[[#This Row],[Costo total]]</f>
        <v>0</v>
      </c>
    </row>
    <row r="753" s="76" customFormat="1" ht="50" customHeight="1" spans="1:28">
      <c r="A753" s="76" t="s">
        <v>1504</v>
      </c>
      <c r="B753" s="6"/>
      <c r="C753" s="76" t="s">
        <v>30</v>
      </c>
      <c r="D753" s="76" t="s">
        <v>42</v>
      </c>
      <c r="E753" s="76" t="s">
        <v>1505</v>
      </c>
      <c r="F753" s="76" t="s">
        <v>38</v>
      </c>
      <c r="G753" s="76" t="s">
        <v>34</v>
      </c>
      <c r="H753" s="76">
        <f>STOCK[[#This Row],[Precio Final]]</f>
        <v>25</v>
      </c>
      <c r="I753" s="76">
        <f>STOCK[[#This Row],[Precio Venta Ideal (x1.5)]]</f>
        <v>21</v>
      </c>
      <c r="J753" s="91">
        <v>1</v>
      </c>
      <c r="K753" s="91">
        <f>SUMIFS(VENTAS[Cantidad],VENTAS[Código del producto Vendido],STOCK[[#This Row],[Code]])</f>
        <v>1</v>
      </c>
      <c r="L753" s="91">
        <f>STOCK[[#This Row],[Entradas]]-STOCK[[#This Row],[Salidas]]</f>
        <v>0</v>
      </c>
      <c r="M753" s="76">
        <f>STOCK[[#This Row],[Precio Final]]*10%</f>
        <v>2.5</v>
      </c>
      <c r="N753" s="76">
        <v>0</v>
      </c>
      <c r="O753" s="76">
        <v>0</v>
      </c>
      <c r="P753" s="76">
        <v>10</v>
      </c>
      <c r="Q753" s="91">
        <v>0</v>
      </c>
      <c r="R753" s="76">
        <v>0</v>
      </c>
      <c r="S753" s="76">
        <v>1.5</v>
      </c>
      <c r="T753" s="76">
        <f>STOCK[[#This Row],[Costo Unitario (USD)]]+STOCK[[#This Row],[Costo Envío (USD)]]+STOCK[[#This Row],[Comisión 10%]]</f>
        <v>14</v>
      </c>
      <c r="U753" s="76">
        <f>STOCK[[#This Row],[Costo total]]*1.5</f>
        <v>21</v>
      </c>
      <c r="V753" s="76">
        <v>25</v>
      </c>
      <c r="W753" s="76">
        <f>STOCK[[#This Row],[Precio Final]]-STOCK[[#This Row],[Costo total]]</f>
        <v>11</v>
      </c>
      <c r="X753" s="76">
        <f>STOCK[[#This Row],[Ganancia Unitaria]]*STOCK[[#This Row],[Salidas]]</f>
        <v>11</v>
      </c>
      <c r="Y753" s="76" t="s">
        <v>1470</v>
      </c>
      <c r="AA753" s="76">
        <f>STOCK[[#This Row],[Costo total]]*STOCK[[#This Row],[Entradas]]</f>
        <v>14</v>
      </c>
      <c r="AB753" s="76">
        <f>STOCK[[#This Row],[Stock Actual]]*STOCK[[#This Row],[Costo total]]</f>
        <v>0</v>
      </c>
    </row>
    <row r="754" s="77" customFormat="1" ht="50" customHeight="1" spans="1:28">
      <c r="A754" s="77" t="s">
        <v>1506</v>
      </c>
      <c r="B754" s="6"/>
      <c r="C754" s="77" t="s">
        <v>30</v>
      </c>
      <c r="D754" s="77" t="s">
        <v>173</v>
      </c>
      <c r="E754" s="77" t="s">
        <v>1476</v>
      </c>
      <c r="F754" s="77" t="s">
        <v>47</v>
      </c>
      <c r="G754" s="77" t="s">
        <v>34</v>
      </c>
      <c r="H754" s="77">
        <f>STOCK[[#This Row],[Precio Final]]</f>
        <v>6</v>
      </c>
      <c r="I754" s="77">
        <f>STOCK[[#This Row],[Precio Venta Ideal (x1.5)]]</f>
        <v>3.15</v>
      </c>
      <c r="J754" s="92">
        <v>1</v>
      </c>
      <c r="K754" s="92">
        <f>SUMIFS(VENTAS[Cantidad],VENTAS[Código del producto Vendido],STOCK[[#This Row],[Code]])</f>
        <v>1</v>
      </c>
      <c r="L754" s="92">
        <f>STOCK[[#This Row],[Entradas]]-STOCK[[#This Row],[Salidas]]</f>
        <v>0</v>
      </c>
      <c r="M754" s="77">
        <f>STOCK[[#This Row],[Precio Final]]*10%</f>
        <v>0.6</v>
      </c>
      <c r="N754" s="77">
        <v>0</v>
      </c>
      <c r="O754" s="77">
        <v>0</v>
      </c>
      <c r="P754" s="77">
        <v>0</v>
      </c>
      <c r="Q754" s="92">
        <v>0</v>
      </c>
      <c r="R754" s="77">
        <v>0</v>
      </c>
      <c r="S754" s="77">
        <v>1.5</v>
      </c>
      <c r="T754" s="76">
        <f>STOCK[[#This Row],[Costo Unitario (USD)]]+STOCK[[#This Row],[Costo Envío (USD)]]+STOCK[[#This Row],[Comisión 10%]]</f>
        <v>2.1</v>
      </c>
      <c r="U754" s="77">
        <f>STOCK[[#This Row],[Costo total]]*1.5</f>
        <v>3.15</v>
      </c>
      <c r="V754" s="77">
        <v>6</v>
      </c>
      <c r="W754" s="77">
        <f>STOCK[[#This Row],[Precio Final]]-STOCK[[#This Row],[Costo total]]</f>
        <v>3.9</v>
      </c>
      <c r="X754" s="77">
        <f>STOCK[[#This Row],[Ganancia Unitaria]]*STOCK[[#This Row],[Salidas]]</f>
        <v>3.9</v>
      </c>
      <c r="Y754" s="77" t="s">
        <v>1470</v>
      </c>
      <c r="AA754" s="77">
        <f>STOCK[[#This Row],[Costo total]]*STOCK[[#This Row],[Entradas]]</f>
        <v>2.1</v>
      </c>
      <c r="AB754" s="77">
        <f>STOCK[[#This Row],[Stock Actual]]*STOCK[[#This Row],[Costo total]]</f>
        <v>0</v>
      </c>
    </row>
    <row r="755" s="76" customFormat="1" ht="50" customHeight="1" spans="1:28">
      <c r="A755" s="76" t="s">
        <v>1507</v>
      </c>
      <c r="B755" s="6"/>
      <c r="C755" s="76" t="s">
        <v>30</v>
      </c>
      <c r="D755" s="76" t="s">
        <v>151</v>
      </c>
      <c r="E755" s="76" t="s">
        <v>1508</v>
      </c>
      <c r="F755" s="76" t="s">
        <v>210</v>
      </c>
      <c r="G755" s="76" t="s">
        <v>34</v>
      </c>
      <c r="H755" s="76">
        <f>STOCK[[#This Row],[Precio Final]]</f>
        <v>30</v>
      </c>
      <c r="I755" s="76">
        <f>STOCK[[#This Row],[Precio Venta Ideal (x1.5)]]</f>
        <v>29.25</v>
      </c>
      <c r="J755" s="91">
        <v>1</v>
      </c>
      <c r="K755" s="91">
        <f>SUMIFS(VENTAS[Cantidad],VENTAS[Código del producto Vendido],STOCK[[#This Row],[Code]])</f>
        <v>1</v>
      </c>
      <c r="L755" s="91">
        <f>STOCK[[#This Row],[Entradas]]-STOCK[[#This Row],[Salidas]]</f>
        <v>0</v>
      </c>
      <c r="M755" s="76">
        <f>STOCK[[#This Row],[Precio Final]]*10%</f>
        <v>3</v>
      </c>
      <c r="N755" s="76">
        <v>0</v>
      </c>
      <c r="O755" s="76">
        <v>0</v>
      </c>
      <c r="P755" s="76">
        <v>15</v>
      </c>
      <c r="Q755" s="91">
        <v>0</v>
      </c>
      <c r="R755" s="76">
        <v>0</v>
      </c>
      <c r="S755" s="76">
        <v>1.5</v>
      </c>
      <c r="T755" s="76">
        <f>STOCK[[#This Row],[Costo Unitario (USD)]]+STOCK[[#This Row],[Costo Envío (USD)]]+STOCK[[#This Row],[Comisión 10%]]</f>
        <v>19.5</v>
      </c>
      <c r="U755" s="76">
        <f>STOCK[[#This Row],[Costo total]]*1.5</f>
        <v>29.25</v>
      </c>
      <c r="V755" s="76">
        <v>30</v>
      </c>
      <c r="W755" s="76">
        <f>STOCK[[#This Row],[Precio Final]]-STOCK[[#This Row],[Costo total]]</f>
        <v>10.5</v>
      </c>
      <c r="X755" s="76">
        <f>STOCK[[#This Row],[Ganancia Unitaria]]*STOCK[[#This Row],[Salidas]]</f>
        <v>10.5</v>
      </c>
      <c r="Y755" s="76" t="s">
        <v>1470</v>
      </c>
      <c r="AA755" s="76">
        <f>STOCK[[#This Row],[Costo total]]*STOCK[[#This Row],[Entradas]]</f>
        <v>19.5</v>
      </c>
      <c r="AB755" s="76">
        <f>STOCK[[#This Row],[Stock Actual]]*STOCK[[#This Row],[Costo total]]</f>
        <v>0</v>
      </c>
    </row>
    <row r="756" s="77" customFormat="1" ht="50" customHeight="1" spans="1:28">
      <c r="A756" s="77" t="s">
        <v>1509</v>
      </c>
      <c r="B756" s="6"/>
      <c r="C756" s="77" t="s">
        <v>30</v>
      </c>
      <c r="D756" s="77" t="s">
        <v>151</v>
      </c>
      <c r="E756" s="77" t="s">
        <v>1508</v>
      </c>
      <c r="F756" s="77" t="s">
        <v>60</v>
      </c>
      <c r="G756" s="77" t="s">
        <v>34</v>
      </c>
      <c r="H756" s="77">
        <f>STOCK[[#This Row],[Precio Final]]</f>
        <v>30</v>
      </c>
      <c r="I756" s="77">
        <f>STOCK[[#This Row],[Precio Venta Ideal (x1.5)]]</f>
        <v>29.25</v>
      </c>
      <c r="J756" s="92">
        <v>1</v>
      </c>
      <c r="K756" s="92">
        <f>SUMIFS(VENTAS[Cantidad],VENTAS[Código del producto Vendido],STOCK[[#This Row],[Code]])</f>
        <v>1</v>
      </c>
      <c r="L756" s="92">
        <f>STOCK[[#This Row],[Entradas]]-STOCK[[#This Row],[Salidas]]</f>
        <v>0</v>
      </c>
      <c r="M756" s="77">
        <f>STOCK[[#This Row],[Precio Final]]*10%</f>
        <v>3</v>
      </c>
      <c r="N756" s="77">
        <v>0</v>
      </c>
      <c r="O756" s="77">
        <v>0</v>
      </c>
      <c r="P756" s="77">
        <v>15</v>
      </c>
      <c r="Q756" s="92">
        <v>0</v>
      </c>
      <c r="R756" s="77">
        <v>0</v>
      </c>
      <c r="S756" s="77">
        <v>1.5</v>
      </c>
      <c r="T756" s="76">
        <f>STOCK[[#This Row],[Costo Unitario (USD)]]+STOCK[[#This Row],[Costo Envío (USD)]]+STOCK[[#This Row],[Comisión 10%]]</f>
        <v>19.5</v>
      </c>
      <c r="U756" s="77">
        <f>STOCK[[#This Row],[Costo total]]*1.5</f>
        <v>29.25</v>
      </c>
      <c r="V756" s="77">
        <v>30</v>
      </c>
      <c r="W756" s="77">
        <f>STOCK[[#This Row],[Precio Final]]-STOCK[[#This Row],[Costo total]]</f>
        <v>10.5</v>
      </c>
      <c r="X756" s="77">
        <f>STOCK[[#This Row],[Ganancia Unitaria]]*STOCK[[#This Row],[Salidas]]</f>
        <v>10.5</v>
      </c>
      <c r="Y756" s="77" t="s">
        <v>1470</v>
      </c>
      <c r="AA756" s="77">
        <f>STOCK[[#This Row],[Costo total]]*STOCK[[#This Row],[Entradas]]</f>
        <v>19.5</v>
      </c>
      <c r="AB756" s="77">
        <f>STOCK[[#This Row],[Stock Actual]]*STOCK[[#This Row],[Costo total]]</f>
        <v>0</v>
      </c>
    </row>
    <row r="757" s="76" customFormat="1" ht="50" customHeight="1" spans="1:28">
      <c r="A757" s="76" t="s">
        <v>1510</v>
      </c>
      <c r="B757" s="6"/>
      <c r="C757" s="76" t="s">
        <v>30</v>
      </c>
      <c r="D757" s="76" t="s">
        <v>151</v>
      </c>
      <c r="E757" s="76" t="s">
        <v>1511</v>
      </c>
      <c r="F757" s="76" t="s">
        <v>47</v>
      </c>
      <c r="G757" s="76" t="s">
        <v>34</v>
      </c>
      <c r="H757" s="76">
        <f>STOCK[[#This Row],[Precio Final]]</f>
        <v>30</v>
      </c>
      <c r="I757" s="76">
        <f>STOCK[[#This Row],[Precio Venta Ideal (x1.5)]]</f>
        <v>29.25</v>
      </c>
      <c r="J757" s="91">
        <v>1</v>
      </c>
      <c r="K757" s="91">
        <f>SUMIFS(VENTAS[Cantidad],VENTAS[Código del producto Vendido],STOCK[[#This Row],[Code]])</f>
        <v>1</v>
      </c>
      <c r="L757" s="91">
        <f>STOCK[[#This Row],[Entradas]]-STOCK[[#This Row],[Salidas]]</f>
        <v>0</v>
      </c>
      <c r="M757" s="76">
        <f>STOCK[[#This Row],[Precio Final]]*10%</f>
        <v>3</v>
      </c>
      <c r="N757" s="76">
        <v>0</v>
      </c>
      <c r="O757" s="76">
        <v>0</v>
      </c>
      <c r="P757" s="76">
        <v>15</v>
      </c>
      <c r="Q757" s="91">
        <v>0</v>
      </c>
      <c r="R757" s="76">
        <v>0</v>
      </c>
      <c r="S757" s="76">
        <v>1.5</v>
      </c>
      <c r="T757" s="76">
        <f>STOCK[[#This Row],[Costo Unitario (USD)]]+STOCK[[#This Row],[Costo Envío (USD)]]+STOCK[[#This Row],[Comisión 10%]]</f>
        <v>19.5</v>
      </c>
      <c r="U757" s="76">
        <f>STOCK[[#This Row],[Costo total]]*1.5</f>
        <v>29.25</v>
      </c>
      <c r="V757" s="76">
        <v>30</v>
      </c>
      <c r="W757" s="76">
        <f>STOCK[[#This Row],[Precio Final]]-STOCK[[#This Row],[Costo total]]</f>
        <v>10.5</v>
      </c>
      <c r="X757" s="76">
        <f>STOCK[[#This Row],[Ganancia Unitaria]]*STOCK[[#This Row],[Salidas]]</f>
        <v>10.5</v>
      </c>
      <c r="Y757" s="76" t="s">
        <v>1470</v>
      </c>
      <c r="AA757" s="76">
        <f>STOCK[[#This Row],[Costo total]]*STOCK[[#This Row],[Entradas]]</f>
        <v>19.5</v>
      </c>
      <c r="AB757" s="76">
        <f>STOCK[[#This Row],[Stock Actual]]*STOCK[[#This Row],[Costo total]]</f>
        <v>0</v>
      </c>
    </row>
    <row r="758" s="77" customFormat="1" ht="50" customHeight="1" spans="1:28">
      <c r="A758" s="77" t="s">
        <v>1512</v>
      </c>
      <c r="B758" s="6"/>
      <c r="C758" s="77" t="s">
        <v>30</v>
      </c>
      <c r="D758" s="77" t="s">
        <v>173</v>
      </c>
      <c r="E758" s="77" t="s">
        <v>1513</v>
      </c>
      <c r="F758" s="77" t="s">
        <v>1514</v>
      </c>
      <c r="G758" s="77" t="s">
        <v>34</v>
      </c>
      <c r="H758" s="77">
        <f>STOCK[[#This Row],[Precio Final]]</f>
        <v>19</v>
      </c>
      <c r="I758" s="77">
        <f>STOCK[[#This Row],[Precio Venta Ideal (x1.5)]]</f>
        <v>24.9</v>
      </c>
      <c r="J758" s="92">
        <v>0</v>
      </c>
      <c r="K758" s="92">
        <f>SUMIFS(VENTAS[Cantidad],VENTAS[Código del producto Vendido],STOCK[[#This Row],[Code]])</f>
        <v>0</v>
      </c>
      <c r="L758" s="92">
        <f>STOCK[[#This Row],[Entradas]]-STOCK[[#This Row],[Salidas]]</f>
        <v>0</v>
      </c>
      <c r="M758" s="77">
        <f>STOCK[[#This Row],[Precio Final]]*10%</f>
        <v>1.9</v>
      </c>
      <c r="N758" s="77">
        <v>0</v>
      </c>
      <c r="O758" s="77">
        <v>0</v>
      </c>
      <c r="P758" s="77">
        <v>13.2</v>
      </c>
      <c r="Q758" s="92">
        <v>0</v>
      </c>
      <c r="R758" s="77">
        <v>0</v>
      </c>
      <c r="S758" s="77">
        <v>1.5</v>
      </c>
      <c r="T758" s="76">
        <f>STOCK[[#This Row],[Costo Unitario (USD)]]+STOCK[[#This Row],[Costo Envío (USD)]]+STOCK[[#This Row],[Comisión 10%]]</f>
        <v>16.6</v>
      </c>
      <c r="U758" s="77">
        <f>STOCK[[#This Row],[Costo total]]*1.5</f>
        <v>24.9</v>
      </c>
      <c r="V758" s="77">
        <v>19</v>
      </c>
      <c r="W758" s="77">
        <f>STOCK[[#This Row],[Precio Final]]-STOCK[[#This Row],[Costo total]]</f>
        <v>2.4</v>
      </c>
      <c r="X758" s="77">
        <f>STOCK[[#This Row],[Ganancia Unitaria]]*STOCK[[#This Row],[Salidas]]</f>
        <v>0</v>
      </c>
      <c r="Y758" s="77" t="s">
        <v>1470</v>
      </c>
      <c r="AA758" s="77">
        <f>STOCK[[#This Row],[Costo total]]*STOCK[[#This Row],[Entradas]]</f>
        <v>0</v>
      </c>
      <c r="AB758" s="77">
        <f>STOCK[[#This Row],[Stock Actual]]*STOCK[[#This Row],[Costo total]]</f>
        <v>0</v>
      </c>
    </row>
    <row r="759" s="76" customFormat="1" ht="50" customHeight="1" spans="1:28">
      <c r="A759" s="76" t="s">
        <v>1515</v>
      </c>
      <c r="B759" s="6"/>
      <c r="C759" s="76" t="s">
        <v>30</v>
      </c>
      <c r="D759" s="76" t="s">
        <v>151</v>
      </c>
      <c r="E759" s="76" t="s">
        <v>1472</v>
      </c>
      <c r="F759" s="76" t="s">
        <v>60</v>
      </c>
      <c r="G759" s="76" t="s">
        <v>34</v>
      </c>
      <c r="H759" s="76">
        <f>STOCK[[#This Row],[Precio Final]]</f>
        <v>12</v>
      </c>
      <c r="I759" s="76">
        <f>STOCK[[#This Row],[Precio Venta Ideal (x1.5)]]</f>
        <v>13.05</v>
      </c>
      <c r="J759" s="91">
        <v>0</v>
      </c>
      <c r="K759" s="91">
        <f>SUMIFS(VENTAS[Cantidad],VENTAS[Código del producto Vendido],STOCK[[#This Row],[Code]])</f>
        <v>0</v>
      </c>
      <c r="L759" s="91">
        <f>STOCK[[#This Row],[Entradas]]-STOCK[[#This Row],[Salidas]]</f>
        <v>0</v>
      </c>
      <c r="M759" s="76">
        <f>STOCK[[#This Row],[Precio Final]]*10%</f>
        <v>1.2</v>
      </c>
      <c r="N759" s="76">
        <v>0</v>
      </c>
      <c r="O759" s="76">
        <v>0</v>
      </c>
      <c r="P759" s="76">
        <v>6</v>
      </c>
      <c r="Q759" s="91">
        <v>0</v>
      </c>
      <c r="R759" s="76">
        <v>0</v>
      </c>
      <c r="S759" s="76">
        <v>1.5</v>
      </c>
      <c r="T759" s="76">
        <f>STOCK[[#This Row],[Costo Unitario (USD)]]+STOCK[[#This Row],[Costo Envío (USD)]]+STOCK[[#This Row],[Comisión 10%]]</f>
        <v>8.7</v>
      </c>
      <c r="U759" s="76">
        <f>STOCK[[#This Row],[Costo total]]*1.5</f>
        <v>13.05</v>
      </c>
      <c r="V759" s="76">
        <v>12</v>
      </c>
      <c r="W759" s="76">
        <f>STOCK[[#This Row],[Precio Final]]-STOCK[[#This Row],[Costo total]]</f>
        <v>3.3</v>
      </c>
      <c r="X759" s="76">
        <f>STOCK[[#This Row],[Ganancia Unitaria]]*STOCK[[#This Row],[Salidas]]</f>
        <v>0</v>
      </c>
      <c r="Y759" s="76" t="s">
        <v>1470</v>
      </c>
      <c r="AA759" s="76">
        <f>STOCK[[#This Row],[Costo total]]*STOCK[[#This Row],[Entradas]]</f>
        <v>0</v>
      </c>
      <c r="AB759" s="76">
        <f>STOCK[[#This Row],[Stock Actual]]*STOCK[[#This Row],[Costo total]]</f>
        <v>0</v>
      </c>
    </row>
    <row r="760" s="77" customFormat="1" ht="50" customHeight="1" spans="1:28">
      <c r="A760" s="77" t="s">
        <v>1516</v>
      </c>
      <c r="B760" s="6"/>
      <c r="C760" s="77" t="s">
        <v>30</v>
      </c>
      <c r="D760" s="77" t="s">
        <v>173</v>
      </c>
      <c r="E760" s="77" t="s">
        <v>1517</v>
      </c>
      <c r="F760" s="77" t="s">
        <v>38</v>
      </c>
      <c r="G760" s="77" t="s">
        <v>34</v>
      </c>
      <c r="H760" s="77">
        <f>STOCK[[#This Row],[Precio Final]]</f>
        <v>25</v>
      </c>
      <c r="I760" s="77">
        <f>STOCK[[#This Row],[Precio Venta Ideal (x1.5)]]</f>
        <v>24</v>
      </c>
      <c r="J760" s="92">
        <v>2</v>
      </c>
      <c r="K760" s="92">
        <f>SUMIFS(VENTAS[Cantidad],VENTAS[Código del producto Vendido],STOCK[[#This Row],[Code]])</f>
        <v>2</v>
      </c>
      <c r="L760" s="92">
        <f>STOCK[[#This Row],[Entradas]]-STOCK[[#This Row],[Salidas]]</f>
        <v>0</v>
      </c>
      <c r="M760" s="77">
        <f>STOCK[[#This Row],[Precio Final]]*10%</f>
        <v>2.5</v>
      </c>
      <c r="N760" s="77">
        <v>0</v>
      </c>
      <c r="O760" s="77">
        <v>0</v>
      </c>
      <c r="P760" s="77">
        <v>12</v>
      </c>
      <c r="Q760" s="92">
        <v>0</v>
      </c>
      <c r="R760" s="77">
        <v>0</v>
      </c>
      <c r="S760" s="77">
        <v>1.5</v>
      </c>
      <c r="T760" s="76">
        <f>STOCK[[#This Row],[Costo Unitario (USD)]]+STOCK[[#This Row],[Costo Envío (USD)]]+STOCK[[#This Row],[Comisión 10%]]</f>
        <v>16</v>
      </c>
      <c r="U760" s="77">
        <f>STOCK[[#This Row],[Costo total]]*1.5</f>
        <v>24</v>
      </c>
      <c r="V760" s="77">
        <v>25</v>
      </c>
      <c r="W760" s="77">
        <f>STOCK[[#This Row],[Precio Final]]-STOCK[[#This Row],[Costo total]]</f>
        <v>9</v>
      </c>
      <c r="X760" s="77">
        <f>STOCK[[#This Row],[Ganancia Unitaria]]*STOCK[[#This Row],[Salidas]]</f>
        <v>18</v>
      </c>
      <c r="Y760" s="77" t="s">
        <v>1470</v>
      </c>
      <c r="AA760" s="77">
        <f>STOCK[[#This Row],[Costo total]]*STOCK[[#This Row],[Entradas]]</f>
        <v>32</v>
      </c>
      <c r="AB760" s="77">
        <f>STOCK[[#This Row],[Stock Actual]]*STOCK[[#This Row],[Costo total]]</f>
        <v>0</v>
      </c>
    </row>
    <row r="761" s="76" customFormat="1" ht="50" customHeight="1" spans="1:28">
      <c r="A761" s="76" t="s">
        <v>1518</v>
      </c>
      <c r="B761" s="6"/>
      <c r="C761" s="76" t="s">
        <v>30</v>
      </c>
      <c r="D761" s="76" t="s">
        <v>173</v>
      </c>
      <c r="E761" s="76" t="s">
        <v>1517</v>
      </c>
      <c r="F761" s="76" t="s">
        <v>47</v>
      </c>
      <c r="G761" s="76" t="s">
        <v>34</v>
      </c>
      <c r="H761" s="76">
        <f>STOCK[[#This Row],[Precio Final]]</f>
        <v>25</v>
      </c>
      <c r="I761" s="76">
        <f>STOCK[[#This Row],[Precio Venta Ideal (x1.5)]]</f>
        <v>24</v>
      </c>
      <c r="J761" s="91">
        <v>1</v>
      </c>
      <c r="K761" s="91">
        <f>SUMIFS(VENTAS[Cantidad],VENTAS[Código del producto Vendido],STOCK[[#This Row],[Code]])</f>
        <v>1</v>
      </c>
      <c r="L761" s="91">
        <f>STOCK[[#This Row],[Entradas]]-STOCK[[#This Row],[Salidas]]</f>
        <v>0</v>
      </c>
      <c r="M761" s="76">
        <f>STOCK[[#This Row],[Precio Final]]*10%</f>
        <v>2.5</v>
      </c>
      <c r="N761" s="76">
        <v>0</v>
      </c>
      <c r="O761" s="76">
        <v>0</v>
      </c>
      <c r="P761" s="76">
        <v>12</v>
      </c>
      <c r="Q761" s="91">
        <v>0</v>
      </c>
      <c r="R761" s="76">
        <v>0</v>
      </c>
      <c r="S761" s="76">
        <v>1.5</v>
      </c>
      <c r="T761" s="76">
        <f>STOCK[[#This Row],[Costo Unitario (USD)]]+STOCK[[#This Row],[Costo Envío (USD)]]+STOCK[[#This Row],[Comisión 10%]]</f>
        <v>16</v>
      </c>
      <c r="U761" s="76">
        <f>STOCK[[#This Row],[Costo total]]*1.5</f>
        <v>24</v>
      </c>
      <c r="V761" s="76">
        <v>25</v>
      </c>
      <c r="W761" s="76">
        <f>STOCK[[#This Row],[Precio Final]]-STOCK[[#This Row],[Costo total]]</f>
        <v>9</v>
      </c>
      <c r="X761" s="76">
        <f>STOCK[[#This Row],[Ganancia Unitaria]]*STOCK[[#This Row],[Salidas]]</f>
        <v>9</v>
      </c>
      <c r="Y761" s="76" t="s">
        <v>1470</v>
      </c>
      <c r="AA761" s="76">
        <f>STOCK[[#This Row],[Costo total]]*STOCK[[#This Row],[Entradas]]</f>
        <v>16</v>
      </c>
      <c r="AB761" s="76">
        <f>STOCK[[#This Row],[Stock Actual]]*STOCK[[#This Row],[Costo total]]</f>
        <v>0</v>
      </c>
    </row>
    <row r="762" s="77" customFormat="1" ht="50" customHeight="1" spans="1:28">
      <c r="A762" s="77" t="s">
        <v>1519</v>
      </c>
      <c r="B762" s="6"/>
      <c r="C762" s="77" t="s">
        <v>30</v>
      </c>
      <c r="D762" s="77" t="s">
        <v>151</v>
      </c>
      <c r="E762" s="77" t="s">
        <v>1520</v>
      </c>
      <c r="F762" s="77" t="s">
        <v>38</v>
      </c>
      <c r="G762" s="77" t="s">
        <v>34</v>
      </c>
      <c r="H762" s="77">
        <f>STOCK[[#This Row],[Precio Final]]</f>
        <v>35</v>
      </c>
      <c r="I762" s="77">
        <f>STOCK[[#This Row],[Precio Venta Ideal (x1.5)]]</f>
        <v>33</v>
      </c>
      <c r="J762" s="92">
        <v>1</v>
      </c>
      <c r="K762" s="92">
        <f>SUMIFS(VENTAS[Cantidad],VENTAS[Código del producto Vendido],STOCK[[#This Row],[Code]])</f>
        <v>1</v>
      </c>
      <c r="L762" s="92">
        <f>STOCK[[#This Row],[Entradas]]-STOCK[[#This Row],[Salidas]]</f>
        <v>0</v>
      </c>
      <c r="M762" s="77">
        <f>STOCK[[#This Row],[Precio Final]]*10%</f>
        <v>3.5</v>
      </c>
      <c r="N762" s="77">
        <v>0</v>
      </c>
      <c r="O762" s="77">
        <v>0</v>
      </c>
      <c r="P762" s="77">
        <v>17</v>
      </c>
      <c r="Q762" s="92">
        <v>0</v>
      </c>
      <c r="R762" s="77">
        <v>0</v>
      </c>
      <c r="S762" s="77">
        <v>1.5</v>
      </c>
      <c r="T762" s="76">
        <f>STOCK[[#This Row],[Costo Unitario (USD)]]+STOCK[[#This Row],[Costo Envío (USD)]]+STOCK[[#This Row],[Comisión 10%]]</f>
        <v>22</v>
      </c>
      <c r="U762" s="77">
        <f>STOCK[[#This Row],[Costo total]]*1.5</f>
        <v>33</v>
      </c>
      <c r="V762" s="77">
        <v>35</v>
      </c>
      <c r="W762" s="77">
        <f>STOCK[[#This Row],[Precio Final]]-STOCK[[#This Row],[Costo total]]</f>
        <v>13</v>
      </c>
      <c r="X762" s="77">
        <f>STOCK[[#This Row],[Ganancia Unitaria]]*STOCK[[#This Row],[Salidas]]</f>
        <v>13</v>
      </c>
      <c r="Y762" s="77" t="s">
        <v>1470</v>
      </c>
      <c r="AA762" s="77">
        <f>STOCK[[#This Row],[Costo total]]*STOCK[[#This Row],[Entradas]]</f>
        <v>22</v>
      </c>
      <c r="AB762" s="77">
        <f>STOCK[[#This Row],[Stock Actual]]*STOCK[[#This Row],[Costo total]]</f>
        <v>0</v>
      </c>
    </row>
    <row r="763" s="76" customFormat="1" ht="50" customHeight="1" spans="1:28">
      <c r="A763" s="76" t="s">
        <v>1521</v>
      </c>
      <c r="B763" s="6"/>
      <c r="C763" s="76" t="s">
        <v>30</v>
      </c>
      <c r="D763" s="76" t="s">
        <v>514</v>
      </c>
      <c r="E763" s="76" t="s">
        <v>1494</v>
      </c>
      <c r="F763" s="76" t="s">
        <v>757</v>
      </c>
      <c r="G763" s="76" t="s">
        <v>34</v>
      </c>
      <c r="H763" s="76">
        <f>STOCK[[#This Row],[Precio Final]]</f>
        <v>35</v>
      </c>
      <c r="I763" s="76">
        <f>STOCK[[#This Row],[Precio Venta Ideal (x1.5)]]</f>
        <v>39.75</v>
      </c>
      <c r="J763" s="91">
        <v>2</v>
      </c>
      <c r="K763" s="91">
        <f>SUMIFS(VENTAS[Cantidad],VENTAS[Código del producto Vendido],STOCK[[#This Row],[Code]])</f>
        <v>2</v>
      </c>
      <c r="L763" s="91">
        <f>STOCK[[#This Row],[Entradas]]-STOCK[[#This Row],[Salidas]]</f>
        <v>0</v>
      </c>
      <c r="M763" s="76">
        <f>STOCK[[#This Row],[Precio Final]]*10%</f>
        <v>3.5</v>
      </c>
      <c r="N763" s="76">
        <v>0</v>
      </c>
      <c r="O763" s="76">
        <v>0</v>
      </c>
      <c r="P763" s="76">
        <v>21.5</v>
      </c>
      <c r="Q763" s="91">
        <v>0</v>
      </c>
      <c r="R763" s="76">
        <v>0</v>
      </c>
      <c r="S763" s="76">
        <v>1.5</v>
      </c>
      <c r="T763" s="76">
        <f>STOCK[[#This Row],[Costo Unitario (USD)]]+STOCK[[#This Row],[Costo Envío (USD)]]+STOCK[[#This Row],[Comisión 10%]]</f>
        <v>26.5</v>
      </c>
      <c r="U763" s="76">
        <f>STOCK[[#This Row],[Costo total]]*1.5</f>
        <v>39.75</v>
      </c>
      <c r="V763" s="76">
        <v>35</v>
      </c>
      <c r="W763" s="76">
        <f>STOCK[[#This Row],[Precio Final]]-STOCK[[#This Row],[Costo total]]</f>
        <v>8.5</v>
      </c>
      <c r="X763" s="76">
        <f>STOCK[[#This Row],[Ganancia Unitaria]]*STOCK[[#This Row],[Salidas]]</f>
        <v>17</v>
      </c>
      <c r="Y763" s="76" t="s">
        <v>1470</v>
      </c>
      <c r="AA763" s="76">
        <f>STOCK[[#This Row],[Costo total]]*STOCK[[#This Row],[Entradas]]</f>
        <v>53</v>
      </c>
      <c r="AB763" s="76">
        <f>STOCK[[#This Row],[Stock Actual]]*STOCK[[#This Row],[Costo total]]</f>
        <v>0</v>
      </c>
    </row>
    <row r="764" s="77" customFormat="1" ht="50" customHeight="1" spans="1:28">
      <c r="A764" s="77" t="s">
        <v>1522</v>
      </c>
      <c r="B764" s="6"/>
      <c r="C764" s="77" t="s">
        <v>30</v>
      </c>
      <c r="D764" s="77" t="s">
        <v>514</v>
      </c>
      <c r="E764" s="77" t="s">
        <v>1523</v>
      </c>
      <c r="F764" s="77" t="s">
        <v>762</v>
      </c>
      <c r="G764" s="77" t="s">
        <v>34</v>
      </c>
      <c r="H764" s="77">
        <f>STOCK[[#This Row],[Precio Final]]</f>
        <v>45</v>
      </c>
      <c r="I764" s="77">
        <f>STOCK[[#This Row],[Precio Venta Ideal (x1.5)]]</f>
        <v>53.25</v>
      </c>
      <c r="J764" s="92">
        <v>1</v>
      </c>
      <c r="K764" s="92">
        <f>SUMIFS(VENTAS[Cantidad],VENTAS[Código del producto Vendido],STOCK[[#This Row],[Code]])</f>
        <v>1</v>
      </c>
      <c r="L764" s="92">
        <f>STOCK[[#This Row],[Entradas]]-STOCK[[#This Row],[Salidas]]</f>
        <v>0</v>
      </c>
      <c r="M764" s="77">
        <f>STOCK[[#This Row],[Precio Final]]*10%</f>
        <v>4.5</v>
      </c>
      <c r="N764" s="77">
        <v>0</v>
      </c>
      <c r="O764" s="77">
        <v>0</v>
      </c>
      <c r="P764" s="77">
        <v>26</v>
      </c>
      <c r="Q764" s="92">
        <v>0</v>
      </c>
      <c r="R764" s="77">
        <v>0</v>
      </c>
      <c r="S764" s="77">
        <v>5</v>
      </c>
      <c r="T764" s="76">
        <f>STOCK[[#This Row],[Costo Unitario (USD)]]+STOCK[[#This Row],[Costo Envío (USD)]]+STOCK[[#This Row],[Comisión 10%]]</f>
        <v>35.5</v>
      </c>
      <c r="U764" s="77">
        <f>STOCK[[#This Row],[Costo total]]*1.5</f>
        <v>53.25</v>
      </c>
      <c r="V764" s="77">
        <v>45</v>
      </c>
      <c r="W764" s="77">
        <f>STOCK[[#This Row],[Precio Final]]-STOCK[[#This Row],[Costo total]]</f>
        <v>9.5</v>
      </c>
      <c r="X764" s="77">
        <f>STOCK[[#This Row],[Ganancia Unitaria]]*STOCK[[#This Row],[Salidas]]</f>
        <v>9.5</v>
      </c>
      <c r="Y764" s="77" t="s">
        <v>1470</v>
      </c>
      <c r="AA764" s="77">
        <f>STOCK[[#This Row],[Costo total]]*STOCK[[#This Row],[Entradas]]</f>
        <v>35.5</v>
      </c>
      <c r="AB764" s="77">
        <f>STOCK[[#This Row],[Stock Actual]]*STOCK[[#This Row],[Costo total]]</f>
        <v>0</v>
      </c>
    </row>
    <row r="765" s="76" customFormat="1" ht="50" customHeight="1" spans="1:28">
      <c r="A765" s="76" t="s">
        <v>1524</v>
      </c>
      <c r="B765" s="6"/>
      <c r="C765" s="76" t="s">
        <v>30</v>
      </c>
      <c r="D765" s="76" t="s">
        <v>42</v>
      </c>
      <c r="E765" s="76" t="s">
        <v>1474</v>
      </c>
      <c r="F765" s="76" t="s">
        <v>210</v>
      </c>
      <c r="G765" s="76" t="s">
        <v>34</v>
      </c>
      <c r="H765" s="76">
        <f>STOCK[[#This Row],[Precio Final]]</f>
        <v>20</v>
      </c>
      <c r="I765" s="76">
        <f>STOCK[[#This Row],[Precio Venta Ideal (x1.5)]]</f>
        <v>30.75</v>
      </c>
      <c r="J765" s="91">
        <v>0</v>
      </c>
      <c r="K765" s="91">
        <f>SUMIFS(VENTAS[Cantidad],VENTAS[Código del producto Vendido],STOCK[[#This Row],[Code]])</f>
        <v>0</v>
      </c>
      <c r="L765" s="91">
        <f>STOCK[[#This Row],[Entradas]]-STOCK[[#This Row],[Salidas]]</f>
        <v>0</v>
      </c>
      <c r="M765" s="76">
        <f>STOCK[[#This Row],[Precio Final]]*10%</f>
        <v>2</v>
      </c>
      <c r="N765" s="76">
        <v>0</v>
      </c>
      <c r="O765" s="76">
        <v>0</v>
      </c>
      <c r="P765" s="76">
        <v>17</v>
      </c>
      <c r="Q765" s="91">
        <v>0</v>
      </c>
      <c r="R765" s="76">
        <v>0</v>
      </c>
      <c r="S765" s="76">
        <v>1.5</v>
      </c>
      <c r="T765" s="76">
        <f>STOCK[[#This Row],[Costo Unitario (USD)]]+STOCK[[#This Row],[Costo Envío (USD)]]+STOCK[[#This Row],[Comisión 10%]]</f>
        <v>20.5</v>
      </c>
      <c r="U765" s="76">
        <f>STOCK[[#This Row],[Costo total]]*1.5</f>
        <v>30.75</v>
      </c>
      <c r="V765" s="76">
        <v>20</v>
      </c>
      <c r="W765" s="76">
        <f>STOCK[[#This Row],[Precio Final]]-STOCK[[#This Row],[Costo total]]</f>
        <v>-0.5</v>
      </c>
      <c r="X765" s="76">
        <f>STOCK[[#This Row],[Ganancia Unitaria]]*STOCK[[#This Row],[Salidas]]</f>
        <v>0</v>
      </c>
      <c r="Y765" s="76" t="s">
        <v>1470</v>
      </c>
      <c r="AA765" s="76">
        <f>STOCK[[#This Row],[Costo total]]*STOCK[[#This Row],[Entradas]]</f>
        <v>0</v>
      </c>
      <c r="AB765" s="76">
        <f>STOCK[[#This Row],[Stock Actual]]*STOCK[[#This Row],[Costo total]]</f>
        <v>0</v>
      </c>
    </row>
    <row r="766" s="77" customFormat="1" ht="50" customHeight="1" spans="1:28">
      <c r="A766" s="77" t="s">
        <v>1525</v>
      </c>
      <c r="B766" s="6"/>
      <c r="C766" s="77" t="s">
        <v>30</v>
      </c>
      <c r="D766" s="77" t="s">
        <v>173</v>
      </c>
      <c r="E766" s="77" t="s">
        <v>1526</v>
      </c>
      <c r="F766" s="77" t="s">
        <v>38</v>
      </c>
      <c r="G766" s="77" t="s">
        <v>34</v>
      </c>
      <c r="H766" s="77">
        <f>STOCK[[#This Row],[Precio Final]]</f>
        <v>22</v>
      </c>
      <c r="I766" s="77">
        <f>STOCK[[#This Row],[Precio Venta Ideal (x1.5)]]</f>
        <v>25.35</v>
      </c>
      <c r="J766" s="92">
        <v>2</v>
      </c>
      <c r="K766" s="92">
        <f>SUMIFS(VENTAS[Cantidad],VENTAS[Código del producto Vendido],STOCK[[#This Row],[Code]])</f>
        <v>2</v>
      </c>
      <c r="L766" s="92">
        <f>STOCK[[#This Row],[Entradas]]-STOCK[[#This Row],[Salidas]]</f>
        <v>0</v>
      </c>
      <c r="M766" s="77">
        <f>STOCK[[#This Row],[Precio Final]]*10%</f>
        <v>2.2</v>
      </c>
      <c r="N766" s="77">
        <v>0</v>
      </c>
      <c r="O766" s="77">
        <v>0</v>
      </c>
      <c r="P766" s="77">
        <v>13.2</v>
      </c>
      <c r="Q766" s="92">
        <v>0</v>
      </c>
      <c r="R766" s="77">
        <v>0</v>
      </c>
      <c r="S766" s="77">
        <v>1.5</v>
      </c>
      <c r="T766" s="76">
        <f>STOCK[[#This Row],[Costo Unitario (USD)]]+STOCK[[#This Row],[Costo Envío (USD)]]+STOCK[[#This Row],[Comisión 10%]]</f>
        <v>16.9</v>
      </c>
      <c r="U766" s="77">
        <f>STOCK[[#This Row],[Costo total]]*1.5</f>
        <v>25.35</v>
      </c>
      <c r="V766" s="77">
        <v>22</v>
      </c>
      <c r="W766" s="77">
        <f>STOCK[[#This Row],[Precio Final]]-STOCK[[#This Row],[Costo total]]</f>
        <v>5.1</v>
      </c>
      <c r="X766" s="77">
        <f>STOCK[[#This Row],[Ganancia Unitaria]]*STOCK[[#This Row],[Salidas]]</f>
        <v>10.2</v>
      </c>
      <c r="Y766" s="77" t="s">
        <v>1470</v>
      </c>
      <c r="AA766" s="77">
        <f>STOCK[[#This Row],[Costo total]]*STOCK[[#This Row],[Entradas]]</f>
        <v>33.8</v>
      </c>
      <c r="AB766" s="77">
        <f>STOCK[[#This Row],[Stock Actual]]*STOCK[[#This Row],[Costo total]]</f>
        <v>0</v>
      </c>
    </row>
    <row r="767" s="76" customFormat="1" ht="50" customHeight="1" spans="1:28">
      <c r="A767" s="76" t="s">
        <v>1527</v>
      </c>
      <c r="B767" s="6"/>
      <c r="C767" s="76" t="s">
        <v>30</v>
      </c>
      <c r="D767" s="76" t="s">
        <v>151</v>
      </c>
      <c r="E767" s="76" t="s">
        <v>1484</v>
      </c>
      <c r="F767" s="76" t="s">
        <v>764</v>
      </c>
      <c r="G767" s="76" t="s">
        <v>34</v>
      </c>
      <c r="H767" s="76">
        <f>STOCK[[#This Row],[Precio Final]]</f>
        <v>35</v>
      </c>
      <c r="I767" s="76">
        <f>STOCK[[#This Row],[Precio Venta Ideal (x1.5)]]</f>
        <v>35.25</v>
      </c>
      <c r="J767" s="91">
        <v>1</v>
      </c>
      <c r="K767" s="91">
        <f>SUMIFS(VENTAS[Cantidad],VENTAS[Código del producto Vendido],STOCK[[#This Row],[Code]])</f>
        <v>1</v>
      </c>
      <c r="L767" s="91">
        <f>STOCK[[#This Row],[Entradas]]-STOCK[[#This Row],[Salidas]]</f>
        <v>0</v>
      </c>
      <c r="M767" s="76">
        <f>STOCK[[#This Row],[Precio Final]]*10%</f>
        <v>3.5</v>
      </c>
      <c r="N767" s="76">
        <v>0</v>
      </c>
      <c r="O767" s="76">
        <v>0</v>
      </c>
      <c r="P767" s="76">
        <v>18.5</v>
      </c>
      <c r="Q767" s="91">
        <v>0</v>
      </c>
      <c r="R767" s="76">
        <v>0</v>
      </c>
      <c r="S767" s="76">
        <v>1.5</v>
      </c>
      <c r="T767" s="76">
        <f>STOCK[[#This Row],[Costo Unitario (USD)]]+STOCK[[#This Row],[Costo Envío (USD)]]+STOCK[[#This Row],[Comisión 10%]]</f>
        <v>23.5</v>
      </c>
      <c r="U767" s="76">
        <f>STOCK[[#This Row],[Costo total]]*1.5</f>
        <v>35.25</v>
      </c>
      <c r="V767" s="76">
        <v>35</v>
      </c>
      <c r="W767" s="76">
        <f>STOCK[[#This Row],[Precio Final]]-STOCK[[#This Row],[Costo total]]</f>
        <v>11.5</v>
      </c>
      <c r="X767" s="76">
        <f>STOCK[[#This Row],[Ganancia Unitaria]]*STOCK[[#This Row],[Salidas]]</f>
        <v>11.5</v>
      </c>
      <c r="Y767" s="76" t="s">
        <v>1470</v>
      </c>
      <c r="AA767" s="76">
        <f>STOCK[[#This Row],[Costo total]]*STOCK[[#This Row],[Entradas]]</f>
        <v>23.5</v>
      </c>
      <c r="AB767" s="76">
        <f>STOCK[[#This Row],[Stock Actual]]*STOCK[[#This Row],[Costo total]]</f>
        <v>0</v>
      </c>
    </row>
    <row r="768" s="77" customFormat="1" ht="50" customHeight="1" spans="1:28">
      <c r="A768" s="77" t="s">
        <v>1528</v>
      </c>
      <c r="B768" s="6"/>
      <c r="C768" s="77" t="s">
        <v>30</v>
      </c>
      <c r="D768" s="77" t="s">
        <v>151</v>
      </c>
      <c r="E768" s="77" t="s">
        <v>1486</v>
      </c>
      <c r="F768" s="77" t="s">
        <v>38</v>
      </c>
      <c r="G768" s="77" t="s">
        <v>34</v>
      </c>
      <c r="H768" s="77">
        <f>STOCK[[#This Row],[Precio Final]]</f>
        <v>30</v>
      </c>
      <c r="I768" s="77">
        <f>STOCK[[#This Row],[Precio Venta Ideal (x1.5)]]</f>
        <v>30.15</v>
      </c>
      <c r="J768" s="92">
        <v>0</v>
      </c>
      <c r="K768" s="92">
        <f>SUMIFS(VENTAS[Cantidad],VENTAS[Código del producto Vendido],STOCK[[#This Row],[Code]])</f>
        <v>0</v>
      </c>
      <c r="L768" s="92">
        <f>STOCK[[#This Row],[Entradas]]-STOCK[[#This Row],[Salidas]]</f>
        <v>0</v>
      </c>
      <c r="M768" s="77">
        <f>STOCK[[#This Row],[Precio Final]]*10%</f>
        <v>3</v>
      </c>
      <c r="N768" s="77">
        <v>0</v>
      </c>
      <c r="O768" s="77">
        <v>0</v>
      </c>
      <c r="P768" s="77">
        <v>15.6</v>
      </c>
      <c r="Q768" s="92">
        <v>0</v>
      </c>
      <c r="R768" s="77">
        <v>0</v>
      </c>
      <c r="S768" s="77">
        <v>1.5</v>
      </c>
      <c r="T768" s="76">
        <f>STOCK[[#This Row],[Costo Unitario (USD)]]+STOCK[[#This Row],[Costo Envío (USD)]]+STOCK[[#This Row],[Comisión 10%]]</f>
        <v>20.1</v>
      </c>
      <c r="U768" s="77">
        <f>STOCK[[#This Row],[Costo total]]*1.5</f>
        <v>30.15</v>
      </c>
      <c r="V768" s="77">
        <v>30</v>
      </c>
      <c r="W768" s="77">
        <f>STOCK[[#This Row],[Precio Final]]-STOCK[[#This Row],[Costo total]]</f>
        <v>9.9</v>
      </c>
      <c r="X768" s="77">
        <f>STOCK[[#This Row],[Ganancia Unitaria]]*STOCK[[#This Row],[Salidas]]</f>
        <v>0</v>
      </c>
      <c r="Y768" s="77" t="s">
        <v>1470</v>
      </c>
      <c r="AA768" s="77">
        <f>STOCK[[#This Row],[Costo total]]*STOCK[[#This Row],[Entradas]]</f>
        <v>0</v>
      </c>
      <c r="AB768" s="77">
        <f>STOCK[[#This Row],[Stock Actual]]*STOCK[[#This Row],[Costo total]]</f>
        <v>0</v>
      </c>
    </row>
    <row r="769" s="76" customFormat="1" ht="50" customHeight="1" spans="1:28">
      <c r="A769" s="76" t="s">
        <v>1529</v>
      </c>
      <c r="B769" s="6"/>
      <c r="C769" s="76" t="s">
        <v>30</v>
      </c>
      <c r="D769" s="76" t="s">
        <v>1530</v>
      </c>
      <c r="E769" s="76" t="s">
        <v>1531</v>
      </c>
      <c r="F769" s="76" t="s">
        <v>1532</v>
      </c>
      <c r="G769" s="76" t="s">
        <v>34</v>
      </c>
      <c r="H769" s="76">
        <f>STOCK[[#This Row],[Precio Final]]</f>
        <v>22</v>
      </c>
      <c r="I769" s="76">
        <f>STOCK[[#This Row],[Precio Venta Ideal (x1.5)]]</f>
        <v>25.05</v>
      </c>
      <c r="J769" s="91">
        <v>2</v>
      </c>
      <c r="K769" s="91">
        <f>SUMIFS(VENTAS[Cantidad],VENTAS[Código del producto Vendido],STOCK[[#This Row],[Code]])</f>
        <v>2</v>
      </c>
      <c r="L769" s="91">
        <f>STOCK[[#This Row],[Entradas]]-STOCK[[#This Row],[Salidas]]</f>
        <v>0</v>
      </c>
      <c r="M769" s="76">
        <f>STOCK[[#This Row],[Precio Final]]*10%</f>
        <v>2.2</v>
      </c>
      <c r="N769" s="76">
        <v>0</v>
      </c>
      <c r="O769" s="76">
        <v>0</v>
      </c>
      <c r="P769" s="76">
        <v>13</v>
      </c>
      <c r="Q769" s="91">
        <v>0</v>
      </c>
      <c r="R769" s="76">
        <v>0</v>
      </c>
      <c r="S769" s="76">
        <v>1.5</v>
      </c>
      <c r="T769" s="76">
        <f>STOCK[[#This Row],[Costo Unitario (USD)]]+STOCK[[#This Row],[Costo Envío (USD)]]+STOCK[[#This Row],[Comisión 10%]]</f>
        <v>16.7</v>
      </c>
      <c r="U769" s="76">
        <f>STOCK[[#This Row],[Costo total]]*1.5</f>
        <v>25.05</v>
      </c>
      <c r="V769" s="76">
        <v>22</v>
      </c>
      <c r="W769" s="76">
        <f>STOCK[[#This Row],[Precio Final]]-STOCK[[#This Row],[Costo total]]</f>
        <v>5.3</v>
      </c>
      <c r="X769" s="76">
        <f>STOCK[[#This Row],[Ganancia Unitaria]]*STOCK[[#This Row],[Salidas]]</f>
        <v>10.6</v>
      </c>
      <c r="Y769" s="76" t="s">
        <v>1470</v>
      </c>
      <c r="AA769" s="76">
        <f>STOCK[[#This Row],[Costo total]]*STOCK[[#This Row],[Entradas]]</f>
        <v>33.4</v>
      </c>
      <c r="AB769" s="76">
        <f>STOCK[[#This Row],[Stock Actual]]*STOCK[[#This Row],[Costo total]]</f>
        <v>0</v>
      </c>
    </row>
    <row r="770" s="77" customFormat="1" ht="50" customHeight="1" spans="1:28">
      <c r="A770" s="77" t="s">
        <v>1533</v>
      </c>
      <c r="B770" s="6"/>
      <c r="C770" s="77" t="s">
        <v>30</v>
      </c>
      <c r="D770" s="77" t="s">
        <v>173</v>
      </c>
      <c r="E770" s="77" t="s">
        <v>1534</v>
      </c>
      <c r="F770" s="77" t="s">
        <v>47</v>
      </c>
      <c r="G770" s="77" t="s">
        <v>34</v>
      </c>
      <c r="H770" s="77">
        <f>STOCK[[#This Row],[Precio Final]]</f>
        <v>22</v>
      </c>
      <c r="I770" s="77">
        <f>STOCK[[#This Row],[Precio Venta Ideal (x1.5)]]</f>
        <v>25.35</v>
      </c>
      <c r="J770" s="92">
        <v>1</v>
      </c>
      <c r="K770" s="92">
        <f>SUMIFS(VENTAS[Cantidad],VENTAS[Código del producto Vendido],STOCK[[#This Row],[Code]])</f>
        <v>1</v>
      </c>
      <c r="L770" s="92">
        <f>STOCK[[#This Row],[Entradas]]-STOCK[[#This Row],[Salidas]]</f>
        <v>0</v>
      </c>
      <c r="M770" s="77">
        <f>STOCK[[#This Row],[Precio Final]]*10%</f>
        <v>2.2</v>
      </c>
      <c r="N770" s="77">
        <v>0</v>
      </c>
      <c r="O770" s="77">
        <v>0</v>
      </c>
      <c r="P770" s="77">
        <v>13.2</v>
      </c>
      <c r="Q770" s="92">
        <v>0</v>
      </c>
      <c r="R770" s="77">
        <v>0</v>
      </c>
      <c r="S770" s="77">
        <v>1.5</v>
      </c>
      <c r="T770" s="76">
        <f>STOCK[[#This Row],[Costo Unitario (USD)]]+STOCK[[#This Row],[Costo Envío (USD)]]+STOCK[[#This Row],[Comisión 10%]]</f>
        <v>16.9</v>
      </c>
      <c r="U770" s="77">
        <f>STOCK[[#This Row],[Costo total]]*1.5</f>
        <v>25.35</v>
      </c>
      <c r="V770" s="77">
        <v>22</v>
      </c>
      <c r="W770" s="77">
        <f>STOCK[[#This Row],[Precio Final]]-STOCK[[#This Row],[Costo total]]</f>
        <v>5.1</v>
      </c>
      <c r="X770" s="77">
        <f>STOCK[[#This Row],[Ganancia Unitaria]]*STOCK[[#This Row],[Salidas]]</f>
        <v>5.1</v>
      </c>
      <c r="Y770" s="77" t="s">
        <v>1470</v>
      </c>
      <c r="AA770" s="77">
        <f>STOCK[[#This Row],[Costo total]]*STOCK[[#This Row],[Entradas]]</f>
        <v>16.9</v>
      </c>
      <c r="AB770" s="77">
        <f>STOCK[[#This Row],[Stock Actual]]*STOCK[[#This Row],[Costo total]]</f>
        <v>0</v>
      </c>
    </row>
    <row r="771" s="76" customFormat="1" ht="50" customHeight="1" spans="1:28">
      <c r="A771" s="76" t="s">
        <v>1535</v>
      </c>
      <c r="B771" s="6"/>
      <c r="C771" s="76" t="s">
        <v>30</v>
      </c>
      <c r="D771" s="76" t="s">
        <v>514</v>
      </c>
      <c r="E771" s="76" t="s">
        <v>1481</v>
      </c>
      <c r="F771" s="76" t="s">
        <v>38</v>
      </c>
      <c r="G771" s="76" t="s">
        <v>34</v>
      </c>
      <c r="H771" s="76">
        <f>STOCK[[#This Row],[Precio Final]]</f>
        <v>50</v>
      </c>
      <c r="I771" s="76">
        <f>STOCK[[#This Row],[Precio Venta Ideal (x1.5)]]</f>
        <v>47.25</v>
      </c>
      <c r="J771" s="91">
        <v>0</v>
      </c>
      <c r="K771" s="91">
        <f>SUMIFS(VENTAS[Cantidad],VENTAS[Código del producto Vendido],STOCK[[#This Row],[Code]])</f>
        <v>0</v>
      </c>
      <c r="L771" s="91">
        <f>STOCK[[#This Row],[Entradas]]-STOCK[[#This Row],[Salidas]]</f>
        <v>0</v>
      </c>
      <c r="M771" s="76">
        <f>STOCK[[#This Row],[Precio Final]]*10%</f>
        <v>5</v>
      </c>
      <c r="N771" s="76">
        <v>0</v>
      </c>
      <c r="O771" s="76">
        <v>0</v>
      </c>
      <c r="P771" s="76">
        <v>25</v>
      </c>
      <c r="Q771" s="91">
        <v>0</v>
      </c>
      <c r="R771" s="76">
        <v>0</v>
      </c>
      <c r="S771" s="76">
        <v>1.5</v>
      </c>
      <c r="T771" s="76">
        <f>STOCK[[#This Row],[Costo Unitario (USD)]]+STOCK[[#This Row],[Costo Envío (USD)]]+STOCK[[#This Row],[Comisión 10%]]</f>
        <v>31.5</v>
      </c>
      <c r="U771" s="76">
        <f>STOCK[[#This Row],[Costo total]]*1.5</f>
        <v>47.25</v>
      </c>
      <c r="V771" s="76">
        <v>50</v>
      </c>
      <c r="W771" s="76">
        <f>STOCK[[#This Row],[Precio Final]]-STOCK[[#This Row],[Costo total]]</f>
        <v>18.5</v>
      </c>
      <c r="X771" s="76">
        <f>STOCK[[#This Row],[Ganancia Unitaria]]*STOCK[[#This Row],[Salidas]]</f>
        <v>0</v>
      </c>
      <c r="Y771" s="76" t="s">
        <v>1470</v>
      </c>
      <c r="AA771" s="76">
        <f>STOCK[[#This Row],[Costo total]]*STOCK[[#This Row],[Entradas]]</f>
        <v>0</v>
      </c>
      <c r="AB771" s="76">
        <f>STOCK[[#This Row],[Stock Actual]]*STOCK[[#This Row],[Costo total]]</f>
        <v>0</v>
      </c>
    </row>
    <row r="772" s="77" customFormat="1" ht="50" customHeight="1" spans="1:28">
      <c r="A772" s="77" t="s">
        <v>1536</v>
      </c>
      <c r="B772" s="6"/>
      <c r="C772" s="77" t="s">
        <v>30</v>
      </c>
      <c r="D772" s="77" t="s">
        <v>151</v>
      </c>
      <c r="E772" s="77" t="s">
        <v>1537</v>
      </c>
      <c r="F772" s="77" t="s">
        <v>38</v>
      </c>
      <c r="G772" s="77" t="s">
        <v>34</v>
      </c>
      <c r="H772" s="77">
        <f>STOCK[[#This Row],[Precio Final]]</f>
        <v>25</v>
      </c>
      <c r="I772" s="77">
        <f>STOCK[[#This Row],[Precio Venta Ideal (x1.5)]]</f>
        <v>26.25</v>
      </c>
      <c r="J772" s="92">
        <v>1</v>
      </c>
      <c r="K772" s="92">
        <f>SUMIFS(VENTAS[Cantidad],VENTAS[Código del producto Vendido],STOCK[[#This Row],[Code]])</f>
        <v>1</v>
      </c>
      <c r="L772" s="92">
        <f>STOCK[[#This Row],[Entradas]]-STOCK[[#This Row],[Salidas]]</f>
        <v>0</v>
      </c>
      <c r="M772" s="77">
        <f>STOCK[[#This Row],[Precio Final]]*10%</f>
        <v>2.5</v>
      </c>
      <c r="N772" s="77">
        <v>0</v>
      </c>
      <c r="O772" s="77">
        <v>0</v>
      </c>
      <c r="P772" s="77">
        <v>13.5</v>
      </c>
      <c r="Q772" s="92">
        <v>0</v>
      </c>
      <c r="R772" s="77">
        <v>0</v>
      </c>
      <c r="S772" s="77">
        <v>1.5</v>
      </c>
      <c r="T772" s="76">
        <f>STOCK[[#This Row],[Costo Unitario (USD)]]+STOCK[[#This Row],[Costo Envío (USD)]]+STOCK[[#This Row],[Comisión 10%]]</f>
        <v>17.5</v>
      </c>
      <c r="U772" s="77">
        <f>STOCK[[#This Row],[Costo total]]*1.5</f>
        <v>26.25</v>
      </c>
      <c r="V772" s="77">
        <v>25</v>
      </c>
      <c r="W772" s="77">
        <f>STOCK[[#This Row],[Precio Final]]-STOCK[[#This Row],[Costo total]]</f>
        <v>7.5</v>
      </c>
      <c r="X772" s="77">
        <f>STOCK[[#This Row],[Ganancia Unitaria]]*STOCK[[#This Row],[Salidas]]</f>
        <v>7.5</v>
      </c>
      <c r="Y772" s="77" t="s">
        <v>1470</v>
      </c>
      <c r="AA772" s="77">
        <f>STOCK[[#This Row],[Costo total]]*STOCK[[#This Row],[Entradas]]</f>
        <v>17.5</v>
      </c>
      <c r="AB772" s="77">
        <f>STOCK[[#This Row],[Stock Actual]]*STOCK[[#This Row],[Costo total]]</f>
        <v>0</v>
      </c>
    </row>
    <row r="773" s="76" customFormat="1" ht="50" customHeight="1" spans="1:28">
      <c r="A773" s="76" t="s">
        <v>1538</v>
      </c>
      <c r="B773" s="6"/>
      <c r="C773" s="76" t="s">
        <v>30</v>
      </c>
      <c r="D773" s="76" t="s">
        <v>350</v>
      </c>
      <c r="E773" s="76" t="s">
        <v>1539</v>
      </c>
      <c r="F773" s="76" t="s">
        <v>393</v>
      </c>
      <c r="G773" s="76" t="s">
        <v>34</v>
      </c>
      <c r="H773" s="76">
        <f>STOCK[[#This Row],[Precio Final]]</f>
        <v>5</v>
      </c>
      <c r="I773" s="76">
        <f>STOCK[[#This Row],[Precio Venta Ideal (x1.5)]]</f>
        <v>7.35</v>
      </c>
      <c r="J773" s="91">
        <v>1</v>
      </c>
      <c r="K773" s="91">
        <f>SUMIFS(VENTAS[Cantidad],VENTAS[Código del producto Vendido],STOCK[[#This Row],[Code]])</f>
        <v>1</v>
      </c>
      <c r="L773" s="91">
        <f>STOCK[[#This Row],[Entradas]]-STOCK[[#This Row],[Salidas]]</f>
        <v>0</v>
      </c>
      <c r="M773" s="76">
        <f>STOCK[[#This Row],[Precio Final]]*10%</f>
        <v>0.5</v>
      </c>
      <c r="N773" s="76">
        <v>0</v>
      </c>
      <c r="O773" s="76">
        <v>0</v>
      </c>
      <c r="P773" s="76">
        <v>2.9</v>
      </c>
      <c r="Q773" s="91">
        <v>0</v>
      </c>
      <c r="R773" s="76">
        <v>0</v>
      </c>
      <c r="S773" s="76">
        <v>1.5</v>
      </c>
      <c r="T773" s="76">
        <f>STOCK[[#This Row],[Costo Unitario (USD)]]+STOCK[[#This Row],[Costo Envío (USD)]]+STOCK[[#This Row],[Comisión 10%]]</f>
        <v>4.9</v>
      </c>
      <c r="U773" s="76">
        <f>STOCK[[#This Row],[Costo total]]*1.5</f>
        <v>7.35</v>
      </c>
      <c r="V773" s="76">
        <v>5</v>
      </c>
      <c r="W773" s="76">
        <f>STOCK[[#This Row],[Precio Final]]-STOCK[[#This Row],[Costo total]]</f>
        <v>0.0999999999999996</v>
      </c>
      <c r="X773" s="76">
        <f>STOCK[[#This Row],[Ganancia Unitaria]]*STOCK[[#This Row],[Salidas]]</f>
        <v>0.0999999999999996</v>
      </c>
      <c r="Y773" s="76" t="s">
        <v>1470</v>
      </c>
      <c r="AA773" s="76">
        <f>STOCK[[#This Row],[Costo total]]*STOCK[[#This Row],[Entradas]]</f>
        <v>4.9</v>
      </c>
      <c r="AB773" s="76">
        <f>STOCK[[#This Row],[Stock Actual]]*STOCK[[#This Row],[Costo total]]</f>
        <v>0</v>
      </c>
    </row>
    <row r="774" s="77" customFormat="1" ht="50" customHeight="1" spans="1:28">
      <c r="A774" s="77" t="s">
        <v>1540</v>
      </c>
      <c r="B774" s="6"/>
      <c r="C774" s="77" t="s">
        <v>30</v>
      </c>
      <c r="D774" s="77" t="s">
        <v>350</v>
      </c>
      <c r="E774" s="77" t="s">
        <v>1541</v>
      </c>
      <c r="F774" s="77" t="s">
        <v>393</v>
      </c>
      <c r="G774" s="77" t="s">
        <v>34</v>
      </c>
      <c r="H774" s="77">
        <f>STOCK[[#This Row],[Precio Final]]</f>
        <v>8</v>
      </c>
      <c r="I774" s="77">
        <f>STOCK[[#This Row],[Precio Venta Ideal (x1.5)]]</f>
        <v>10.5</v>
      </c>
      <c r="J774" s="92">
        <v>1</v>
      </c>
      <c r="K774" s="92">
        <f>SUMIFS(VENTAS[Cantidad],VENTAS[Código del producto Vendido],STOCK[[#This Row],[Code]])</f>
        <v>1</v>
      </c>
      <c r="L774" s="92">
        <f>STOCK[[#This Row],[Entradas]]-STOCK[[#This Row],[Salidas]]</f>
        <v>0</v>
      </c>
      <c r="M774" s="77">
        <f>STOCK[[#This Row],[Precio Final]]*10%</f>
        <v>0.8</v>
      </c>
      <c r="N774" s="77">
        <v>0</v>
      </c>
      <c r="O774" s="77">
        <v>0</v>
      </c>
      <c r="P774" s="77">
        <v>4.7</v>
      </c>
      <c r="Q774" s="92">
        <v>0</v>
      </c>
      <c r="R774" s="77">
        <v>0</v>
      </c>
      <c r="S774" s="77">
        <v>1.5</v>
      </c>
      <c r="T774" s="76">
        <f>STOCK[[#This Row],[Costo Unitario (USD)]]+STOCK[[#This Row],[Costo Envío (USD)]]+STOCK[[#This Row],[Comisión 10%]]</f>
        <v>7</v>
      </c>
      <c r="U774" s="77">
        <f>STOCK[[#This Row],[Costo total]]*1.5</f>
        <v>10.5</v>
      </c>
      <c r="V774" s="77">
        <v>8</v>
      </c>
      <c r="W774" s="77">
        <f>STOCK[[#This Row],[Precio Final]]-STOCK[[#This Row],[Costo total]]</f>
        <v>1</v>
      </c>
      <c r="X774" s="77">
        <f>STOCK[[#This Row],[Ganancia Unitaria]]*STOCK[[#This Row],[Salidas]]</f>
        <v>1</v>
      </c>
      <c r="Y774" s="77" t="s">
        <v>1470</v>
      </c>
      <c r="AA774" s="77">
        <f>STOCK[[#This Row],[Costo total]]*STOCK[[#This Row],[Entradas]]</f>
        <v>7</v>
      </c>
      <c r="AB774" s="77">
        <f>STOCK[[#This Row],[Stock Actual]]*STOCK[[#This Row],[Costo total]]</f>
        <v>0</v>
      </c>
    </row>
    <row r="775" s="76" customFormat="1" ht="50" customHeight="1" spans="1:28">
      <c r="A775" s="76" t="s">
        <v>1542</v>
      </c>
      <c r="B775" s="6"/>
      <c r="C775" s="76" t="s">
        <v>30</v>
      </c>
      <c r="D775" s="76" t="s">
        <v>350</v>
      </c>
      <c r="E775" s="76" t="s">
        <v>1543</v>
      </c>
      <c r="F775" s="76" t="s">
        <v>393</v>
      </c>
      <c r="G775" s="76" t="s">
        <v>34</v>
      </c>
      <c r="H775" s="76">
        <f>STOCK[[#This Row],[Precio Final]]</f>
        <v>5</v>
      </c>
      <c r="I775" s="76">
        <f>STOCK[[#This Row],[Precio Venta Ideal (x1.5)]]</f>
        <v>7.08</v>
      </c>
      <c r="J775" s="91">
        <v>1</v>
      </c>
      <c r="K775" s="91">
        <f>SUMIFS(VENTAS[Cantidad],VENTAS[Código del producto Vendido],STOCK[[#This Row],[Code]])</f>
        <v>1</v>
      </c>
      <c r="L775" s="91">
        <f>STOCK[[#This Row],[Entradas]]-STOCK[[#This Row],[Salidas]]</f>
        <v>0</v>
      </c>
      <c r="M775" s="76">
        <f>STOCK[[#This Row],[Precio Final]]*10%</f>
        <v>0.5</v>
      </c>
      <c r="N775" s="76">
        <v>0</v>
      </c>
      <c r="O775" s="76">
        <v>0</v>
      </c>
      <c r="P775" s="76">
        <v>2.72</v>
      </c>
      <c r="Q775" s="91">
        <v>0</v>
      </c>
      <c r="R775" s="76">
        <v>0</v>
      </c>
      <c r="S775" s="76">
        <v>1.5</v>
      </c>
      <c r="T775" s="76">
        <f>STOCK[[#This Row],[Costo Unitario (USD)]]+STOCK[[#This Row],[Costo Envío (USD)]]+STOCK[[#This Row],[Comisión 10%]]</f>
        <v>4.72</v>
      </c>
      <c r="U775" s="76">
        <f>STOCK[[#This Row],[Costo total]]*1.5</f>
        <v>7.08</v>
      </c>
      <c r="V775" s="76">
        <v>5</v>
      </c>
      <c r="W775" s="76">
        <f>STOCK[[#This Row],[Precio Final]]-STOCK[[#This Row],[Costo total]]</f>
        <v>0.279999999999999</v>
      </c>
      <c r="X775" s="76">
        <f>STOCK[[#This Row],[Ganancia Unitaria]]*STOCK[[#This Row],[Salidas]]</f>
        <v>0.279999999999999</v>
      </c>
      <c r="Y775" s="76" t="s">
        <v>1470</v>
      </c>
      <c r="AA775" s="76">
        <f>STOCK[[#This Row],[Costo total]]*STOCK[[#This Row],[Entradas]]</f>
        <v>4.72</v>
      </c>
      <c r="AB775" s="76">
        <f>STOCK[[#This Row],[Stock Actual]]*STOCK[[#This Row],[Costo total]]</f>
        <v>0</v>
      </c>
    </row>
    <row r="776" s="77" customFormat="1" ht="50" customHeight="1" spans="1:28">
      <c r="A776" s="77" t="s">
        <v>1544</v>
      </c>
      <c r="B776" s="6"/>
      <c r="C776" s="77" t="s">
        <v>30</v>
      </c>
      <c r="D776" s="77" t="s">
        <v>1545</v>
      </c>
      <c r="E776" s="77" t="s">
        <v>1539</v>
      </c>
      <c r="F776" s="77" t="s">
        <v>393</v>
      </c>
      <c r="G776" s="77" t="s">
        <v>34</v>
      </c>
      <c r="H776" s="77">
        <f>STOCK[[#This Row],[Precio Final]]</f>
        <v>7</v>
      </c>
      <c r="I776" s="77">
        <f>STOCK[[#This Row],[Precio Venta Ideal (x1.5)]]</f>
        <v>10.125</v>
      </c>
      <c r="J776" s="92">
        <v>1</v>
      </c>
      <c r="K776" s="92">
        <f>SUMIFS(VENTAS[Cantidad],VENTAS[Código del producto Vendido],STOCK[[#This Row],[Code]])</f>
        <v>1</v>
      </c>
      <c r="L776" s="92">
        <f>STOCK[[#This Row],[Entradas]]-STOCK[[#This Row],[Salidas]]</f>
        <v>0</v>
      </c>
      <c r="M776" s="77">
        <f>STOCK[[#This Row],[Precio Final]]*10%</f>
        <v>0.7</v>
      </c>
      <c r="N776" s="77">
        <v>0</v>
      </c>
      <c r="O776" s="77">
        <v>0</v>
      </c>
      <c r="P776" s="77">
        <v>4.55</v>
      </c>
      <c r="Q776" s="92">
        <v>0</v>
      </c>
      <c r="R776" s="77">
        <v>0</v>
      </c>
      <c r="S776" s="77">
        <v>1.5</v>
      </c>
      <c r="T776" s="76">
        <f>STOCK[[#This Row],[Costo Unitario (USD)]]+STOCK[[#This Row],[Costo Envío (USD)]]+STOCK[[#This Row],[Comisión 10%]]</f>
        <v>6.75</v>
      </c>
      <c r="U776" s="77">
        <f>STOCK[[#This Row],[Costo total]]*1.5</f>
        <v>10.125</v>
      </c>
      <c r="V776" s="77">
        <v>7</v>
      </c>
      <c r="W776" s="77">
        <f>STOCK[[#This Row],[Precio Final]]-STOCK[[#This Row],[Costo total]]</f>
        <v>0.25</v>
      </c>
      <c r="X776" s="77">
        <f>STOCK[[#This Row],[Ganancia Unitaria]]*STOCK[[#This Row],[Salidas]]</f>
        <v>0.25</v>
      </c>
      <c r="Y776" s="77" t="s">
        <v>1470</v>
      </c>
      <c r="AA776" s="77">
        <f>STOCK[[#This Row],[Costo total]]*STOCK[[#This Row],[Entradas]]</f>
        <v>6.75</v>
      </c>
      <c r="AB776" s="77">
        <f>STOCK[[#This Row],[Stock Actual]]*STOCK[[#This Row],[Costo total]]</f>
        <v>0</v>
      </c>
    </row>
    <row r="777" s="76" customFormat="1" ht="50" customHeight="1" spans="1:28">
      <c r="A777" s="76" t="s">
        <v>1546</v>
      </c>
      <c r="B777" s="6"/>
      <c r="C777" s="76" t="s">
        <v>30</v>
      </c>
      <c r="D777" s="76" t="s">
        <v>1547</v>
      </c>
      <c r="E777" s="76" t="s">
        <v>1548</v>
      </c>
      <c r="F777" s="76" t="s">
        <v>764</v>
      </c>
      <c r="G777" s="76" t="s">
        <v>34</v>
      </c>
      <c r="H777" s="76">
        <f>STOCK[[#This Row],[Precio Final]]</f>
        <v>3</v>
      </c>
      <c r="I777" s="76">
        <f>STOCK[[#This Row],[Precio Venta Ideal (x1.5)]]</f>
        <v>5.325</v>
      </c>
      <c r="J777" s="91">
        <v>1</v>
      </c>
      <c r="K777" s="91">
        <f>SUMIFS(VENTAS[Cantidad],VENTAS[Código del producto Vendido],STOCK[[#This Row],[Code]])</f>
        <v>1</v>
      </c>
      <c r="L777" s="91">
        <f>STOCK[[#This Row],[Entradas]]-STOCK[[#This Row],[Salidas]]</f>
        <v>0</v>
      </c>
      <c r="M777" s="76">
        <f>STOCK[[#This Row],[Precio Final]]*10%</f>
        <v>0.3</v>
      </c>
      <c r="N777" s="76">
        <v>0</v>
      </c>
      <c r="O777" s="76">
        <v>0</v>
      </c>
      <c r="P777" s="76">
        <v>1.75</v>
      </c>
      <c r="Q777" s="91">
        <v>0</v>
      </c>
      <c r="R777" s="76">
        <v>0</v>
      </c>
      <c r="S777" s="76">
        <v>1.5</v>
      </c>
      <c r="T777" s="76">
        <f>STOCK[[#This Row],[Costo Unitario (USD)]]+STOCK[[#This Row],[Costo Envío (USD)]]+STOCK[[#This Row],[Comisión 10%]]</f>
        <v>3.55</v>
      </c>
      <c r="U777" s="76">
        <f>STOCK[[#This Row],[Costo total]]*1.5</f>
        <v>5.325</v>
      </c>
      <c r="V777" s="76">
        <v>3</v>
      </c>
      <c r="W777" s="76">
        <f>STOCK[[#This Row],[Precio Final]]-STOCK[[#This Row],[Costo total]]</f>
        <v>-0.55</v>
      </c>
      <c r="X777" s="76">
        <f>STOCK[[#This Row],[Ganancia Unitaria]]*STOCK[[#This Row],[Salidas]]</f>
        <v>-0.55</v>
      </c>
      <c r="Y777" s="76" t="s">
        <v>1470</v>
      </c>
      <c r="AA777" s="76">
        <f>STOCK[[#This Row],[Costo total]]*STOCK[[#This Row],[Entradas]]</f>
        <v>3.55</v>
      </c>
      <c r="AB777" s="76">
        <f>STOCK[[#This Row],[Stock Actual]]*STOCK[[#This Row],[Costo total]]</f>
        <v>0</v>
      </c>
    </row>
    <row r="778" s="77" customFormat="1" ht="50" customHeight="1" spans="1:28">
      <c r="A778" s="77" t="s">
        <v>1549</v>
      </c>
      <c r="B778" s="6"/>
      <c r="C778" s="77" t="s">
        <v>30</v>
      </c>
      <c r="D778" s="77" t="s">
        <v>1547</v>
      </c>
      <c r="E778" s="77" t="s">
        <v>1550</v>
      </c>
      <c r="F778" s="77" t="s">
        <v>539</v>
      </c>
      <c r="G778" s="77" t="s">
        <v>34</v>
      </c>
      <c r="H778" s="77">
        <f>STOCK[[#This Row],[Precio Final]]</f>
        <v>3</v>
      </c>
      <c r="I778" s="77">
        <f>STOCK[[#This Row],[Precio Venta Ideal (x1.5)]]</f>
        <v>5.7</v>
      </c>
      <c r="J778" s="92">
        <v>1</v>
      </c>
      <c r="K778" s="92">
        <f>SUMIFS(VENTAS[Cantidad],VENTAS[Código del producto Vendido],STOCK[[#This Row],[Code]])</f>
        <v>1</v>
      </c>
      <c r="L778" s="92">
        <f>STOCK[[#This Row],[Entradas]]-STOCK[[#This Row],[Salidas]]</f>
        <v>0</v>
      </c>
      <c r="M778" s="77">
        <f>STOCK[[#This Row],[Precio Final]]*10%</f>
        <v>0.3</v>
      </c>
      <c r="N778" s="77">
        <v>0</v>
      </c>
      <c r="O778" s="77">
        <v>0</v>
      </c>
      <c r="P778" s="77">
        <v>2</v>
      </c>
      <c r="Q778" s="92">
        <v>0</v>
      </c>
      <c r="R778" s="77">
        <v>0</v>
      </c>
      <c r="S778" s="77">
        <v>1.5</v>
      </c>
      <c r="T778" s="76">
        <f>STOCK[[#This Row],[Costo Unitario (USD)]]+STOCK[[#This Row],[Costo Envío (USD)]]+STOCK[[#This Row],[Comisión 10%]]</f>
        <v>3.8</v>
      </c>
      <c r="U778" s="77">
        <f>STOCK[[#This Row],[Costo total]]*1.5</f>
        <v>5.7</v>
      </c>
      <c r="V778" s="77">
        <v>3</v>
      </c>
      <c r="W778" s="77">
        <f>STOCK[[#This Row],[Precio Final]]-STOCK[[#This Row],[Costo total]]</f>
        <v>-0.8</v>
      </c>
      <c r="X778" s="77">
        <f>STOCK[[#This Row],[Ganancia Unitaria]]*STOCK[[#This Row],[Salidas]]</f>
        <v>-0.8</v>
      </c>
      <c r="Y778" s="77" t="s">
        <v>1470</v>
      </c>
      <c r="AA778" s="77">
        <f>STOCK[[#This Row],[Costo total]]*STOCK[[#This Row],[Entradas]]</f>
        <v>3.8</v>
      </c>
      <c r="AB778" s="77">
        <f>STOCK[[#This Row],[Stock Actual]]*STOCK[[#This Row],[Costo total]]</f>
        <v>0</v>
      </c>
    </row>
    <row r="779" s="76" customFormat="1" ht="50" customHeight="1" spans="1:28">
      <c r="A779" s="76" t="s">
        <v>1551</v>
      </c>
      <c r="B779" s="6"/>
      <c r="C779" s="76" t="s">
        <v>30</v>
      </c>
      <c r="D779" s="76" t="s">
        <v>1552</v>
      </c>
      <c r="E779" s="76" t="s">
        <v>1553</v>
      </c>
      <c r="F779" s="76" t="s">
        <v>539</v>
      </c>
      <c r="G779" s="76" t="s">
        <v>702</v>
      </c>
      <c r="H779" s="76">
        <f>STOCK[[#This Row],[Precio Final]]</f>
        <v>55</v>
      </c>
      <c r="I779" s="76">
        <f>STOCK[[#This Row],[Precio Venta Ideal (x1.5)]]</f>
        <v>68.25</v>
      </c>
      <c r="J779" s="91">
        <v>1</v>
      </c>
      <c r="K779" s="91">
        <f>SUMIFS(VENTAS[Cantidad],VENTAS[Código del producto Vendido],STOCK[[#This Row],[Code]])</f>
        <v>0</v>
      </c>
      <c r="L779" s="91">
        <f>STOCK[[#This Row],[Entradas]]-STOCK[[#This Row],[Salidas]]</f>
        <v>1</v>
      </c>
      <c r="M779" s="76">
        <f>STOCK[[#This Row],[Precio Final]]*10%</f>
        <v>5.5</v>
      </c>
      <c r="N779" s="76">
        <v>0</v>
      </c>
      <c r="O779" s="76">
        <v>0</v>
      </c>
      <c r="P779" s="76">
        <v>32</v>
      </c>
      <c r="Q779" s="91">
        <v>0</v>
      </c>
      <c r="R779" s="76">
        <v>0</v>
      </c>
      <c r="S779" s="76">
        <v>8</v>
      </c>
      <c r="T779" s="76">
        <f>STOCK[[#This Row],[Costo Unitario (USD)]]+STOCK[[#This Row],[Costo Envío (USD)]]+STOCK[[#This Row],[Comisión 10%]]</f>
        <v>45.5</v>
      </c>
      <c r="U779" s="76">
        <f>STOCK[[#This Row],[Costo total]]*1.5</f>
        <v>68.25</v>
      </c>
      <c r="V779" s="76">
        <v>55</v>
      </c>
      <c r="W779" s="76">
        <f>STOCK[[#This Row],[Precio Final]]-STOCK[[#This Row],[Costo total]]</f>
        <v>9.5</v>
      </c>
      <c r="X779" s="76">
        <f>STOCK[[#This Row],[Ganancia Unitaria]]*STOCK[[#This Row],[Salidas]]</f>
        <v>0</v>
      </c>
      <c r="AA779" s="76">
        <f>STOCK[[#This Row],[Costo total]]*STOCK[[#This Row],[Entradas]]</f>
        <v>45.5</v>
      </c>
      <c r="AB779" s="76">
        <f>STOCK[[#This Row],[Stock Actual]]*STOCK[[#This Row],[Costo total]]</f>
        <v>45.5</v>
      </c>
    </row>
    <row r="780" s="77" customFormat="1" ht="50" customHeight="1" spans="1:28">
      <c r="A780" s="77" t="s">
        <v>1554</v>
      </c>
      <c r="B780" s="6"/>
      <c r="C780" s="77" t="s">
        <v>30</v>
      </c>
      <c r="D780" s="77" t="s">
        <v>514</v>
      </c>
      <c r="E780" s="77" t="s">
        <v>1555</v>
      </c>
      <c r="F780" s="77" t="s">
        <v>38</v>
      </c>
      <c r="G780" s="77" t="s">
        <v>702</v>
      </c>
      <c r="H780" s="77">
        <f>STOCK[[#This Row],[Precio Final]]</f>
        <v>90</v>
      </c>
      <c r="I780" s="77">
        <f>STOCK[[#This Row],[Precio Venta Ideal (x1.5)]]</f>
        <v>130.5</v>
      </c>
      <c r="J780" s="92">
        <v>1</v>
      </c>
      <c r="K780" s="92">
        <f>SUMIFS(VENTAS[Cantidad],VENTAS[Código del producto Vendido],STOCK[[#This Row],[Code]])</f>
        <v>1</v>
      </c>
      <c r="L780" s="92">
        <f>STOCK[[#This Row],[Entradas]]-STOCK[[#This Row],[Salidas]]</f>
        <v>0</v>
      </c>
      <c r="M780" s="77">
        <f>STOCK[[#This Row],[Precio Final]]*10%</f>
        <v>9</v>
      </c>
      <c r="N780" s="77">
        <v>0</v>
      </c>
      <c r="O780" s="77">
        <v>0</v>
      </c>
      <c r="P780" s="77">
        <v>63</v>
      </c>
      <c r="Q780" s="92">
        <v>0</v>
      </c>
      <c r="R780" s="77">
        <v>0</v>
      </c>
      <c r="S780" s="77">
        <v>15</v>
      </c>
      <c r="T780" s="76">
        <f>STOCK[[#This Row],[Costo Unitario (USD)]]+STOCK[[#This Row],[Costo Envío (USD)]]+STOCK[[#This Row],[Comisión 10%]]</f>
        <v>87</v>
      </c>
      <c r="U780" s="77">
        <f>STOCK[[#This Row],[Costo total]]*1.5</f>
        <v>130.5</v>
      </c>
      <c r="V780" s="77">
        <v>90</v>
      </c>
      <c r="W780" s="77">
        <f>STOCK[[#This Row],[Precio Final]]-STOCK[[#This Row],[Costo total]]</f>
        <v>3</v>
      </c>
      <c r="X780" s="77">
        <f>STOCK[[#This Row],[Ganancia Unitaria]]*STOCK[[#This Row],[Salidas]]</f>
        <v>3</v>
      </c>
      <c r="AA780" s="77">
        <f>STOCK[[#This Row],[Costo total]]*STOCK[[#This Row],[Entradas]]</f>
        <v>87</v>
      </c>
      <c r="AB780" s="77">
        <f>STOCK[[#This Row],[Stock Actual]]*STOCK[[#This Row],[Costo total]]</f>
        <v>0</v>
      </c>
    </row>
    <row r="781" s="76" customFormat="1" ht="50" customHeight="1" spans="1:28">
      <c r="A781" s="76" t="s">
        <v>1556</v>
      </c>
      <c r="B781" s="6"/>
      <c r="C781" s="76" t="s">
        <v>30</v>
      </c>
      <c r="D781" s="76" t="s">
        <v>778</v>
      </c>
      <c r="E781" s="76" t="s">
        <v>1557</v>
      </c>
      <c r="F781" s="76" t="s">
        <v>38</v>
      </c>
      <c r="G781" s="76" t="s">
        <v>702</v>
      </c>
      <c r="H781" s="76">
        <f>STOCK[[#This Row],[Precio Final]]</f>
        <v>20</v>
      </c>
      <c r="I781" s="76">
        <f>STOCK[[#This Row],[Precio Venta Ideal (x1.5)]]</f>
        <v>24.675</v>
      </c>
      <c r="J781" s="91">
        <v>1</v>
      </c>
      <c r="K781" s="91">
        <f>SUMIFS(VENTAS[Cantidad],VENTAS[Código del producto Vendido],STOCK[[#This Row],[Code]])</f>
        <v>0</v>
      </c>
      <c r="L781" s="91">
        <f>STOCK[[#This Row],[Entradas]]-STOCK[[#This Row],[Salidas]]</f>
        <v>1</v>
      </c>
      <c r="M781" s="76">
        <f>STOCK[[#This Row],[Precio Final]]*10%</f>
        <v>2</v>
      </c>
      <c r="N781" s="76">
        <v>0</v>
      </c>
      <c r="O781" s="76">
        <v>0</v>
      </c>
      <c r="P781" s="76">
        <v>12.45</v>
      </c>
      <c r="Q781" s="91">
        <v>0</v>
      </c>
      <c r="R781" s="76">
        <v>0</v>
      </c>
      <c r="S781" s="76">
        <v>2</v>
      </c>
      <c r="T781" s="76">
        <f>STOCK[[#This Row],[Costo Unitario (USD)]]+STOCK[[#This Row],[Costo Envío (USD)]]+STOCK[[#This Row],[Comisión 10%]]</f>
        <v>16.45</v>
      </c>
      <c r="U781" s="76">
        <f>STOCK[[#This Row],[Costo total]]*1.5</f>
        <v>24.675</v>
      </c>
      <c r="V781" s="76">
        <v>20</v>
      </c>
      <c r="W781" s="76">
        <f>STOCK[[#This Row],[Precio Final]]-STOCK[[#This Row],[Costo total]]</f>
        <v>3.55</v>
      </c>
      <c r="X781" s="76">
        <f>STOCK[[#This Row],[Ganancia Unitaria]]*STOCK[[#This Row],[Salidas]]</f>
        <v>0</v>
      </c>
      <c r="AA781" s="76">
        <f>STOCK[[#This Row],[Costo total]]*STOCK[[#This Row],[Entradas]]</f>
        <v>16.45</v>
      </c>
      <c r="AB781" s="76">
        <f>STOCK[[#This Row],[Stock Actual]]*STOCK[[#This Row],[Costo total]]</f>
        <v>16.45</v>
      </c>
    </row>
    <row r="782" s="77" customFormat="1" ht="50" customHeight="1" spans="1:28">
      <c r="A782" s="77" t="s">
        <v>1558</v>
      </c>
      <c r="B782" s="6"/>
      <c r="C782" s="77" t="s">
        <v>30</v>
      </c>
      <c r="D782" s="77" t="s">
        <v>1386</v>
      </c>
      <c r="E782" s="77" t="s">
        <v>1559</v>
      </c>
      <c r="F782" s="77" t="s">
        <v>38</v>
      </c>
      <c r="G782" s="77" t="s">
        <v>702</v>
      </c>
      <c r="H782" s="77">
        <f>STOCK[[#This Row],[Precio Final]]</f>
        <v>50</v>
      </c>
      <c r="I782" s="77">
        <f>STOCK[[#This Row],[Precio Venta Ideal (x1.5)]]</f>
        <v>67.5</v>
      </c>
      <c r="J782" s="92">
        <v>1</v>
      </c>
      <c r="K782" s="92">
        <f>SUMIFS(VENTAS[Cantidad],VENTAS[Código del producto Vendido],STOCK[[#This Row],[Code]])</f>
        <v>0</v>
      </c>
      <c r="L782" s="92">
        <f>STOCK[[#This Row],[Entradas]]-STOCK[[#This Row],[Salidas]]</f>
        <v>1</v>
      </c>
      <c r="M782" s="77">
        <f>STOCK[[#This Row],[Precio Final]]*10%</f>
        <v>5</v>
      </c>
      <c r="N782" s="77">
        <v>0</v>
      </c>
      <c r="O782" s="77">
        <v>0</v>
      </c>
      <c r="P782" s="77">
        <v>35</v>
      </c>
      <c r="Q782" s="92">
        <v>0</v>
      </c>
      <c r="R782" s="77">
        <v>0</v>
      </c>
      <c r="S782" s="77">
        <v>5</v>
      </c>
      <c r="T782" s="76">
        <f>STOCK[[#This Row],[Costo Unitario (USD)]]+STOCK[[#This Row],[Costo Envío (USD)]]+STOCK[[#This Row],[Comisión 10%]]</f>
        <v>45</v>
      </c>
      <c r="U782" s="77">
        <f>STOCK[[#This Row],[Costo total]]*1.5</f>
        <v>67.5</v>
      </c>
      <c r="V782" s="77">
        <v>50</v>
      </c>
      <c r="W782" s="77">
        <f>STOCK[[#This Row],[Precio Final]]-STOCK[[#This Row],[Costo total]]</f>
        <v>5</v>
      </c>
      <c r="X782" s="77">
        <f>STOCK[[#This Row],[Ganancia Unitaria]]*STOCK[[#This Row],[Salidas]]</f>
        <v>0</v>
      </c>
      <c r="AA782" s="77">
        <f>STOCK[[#This Row],[Costo total]]*STOCK[[#This Row],[Entradas]]</f>
        <v>45</v>
      </c>
      <c r="AB782" s="77">
        <f>STOCK[[#This Row],[Stock Actual]]*STOCK[[#This Row],[Costo total]]</f>
        <v>45</v>
      </c>
    </row>
    <row r="783" s="76" customFormat="1" ht="50" customHeight="1" spans="1:28">
      <c r="A783" s="76" t="s">
        <v>1560</v>
      </c>
      <c r="B783" s="6"/>
      <c r="C783" s="76" t="s">
        <v>30</v>
      </c>
      <c r="D783" s="76" t="s">
        <v>1012</v>
      </c>
      <c r="E783" s="76" t="s">
        <v>1561</v>
      </c>
      <c r="F783" s="76" t="s">
        <v>718</v>
      </c>
      <c r="G783" s="76" t="s">
        <v>702</v>
      </c>
      <c r="H783" s="76">
        <f>STOCK[[#This Row],[Precio Final]]</f>
        <v>35</v>
      </c>
      <c r="I783" s="76">
        <f>STOCK[[#This Row],[Precio Venta Ideal (x1.5)]]</f>
        <v>41.25</v>
      </c>
      <c r="J783" s="91">
        <v>1</v>
      </c>
      <c r="K783" s="91">
        <f>SUMIFS(VENTAS[Cantidad],VENTAS[Código del producto Vendido],STOCK[[#This Row],[Code]])</f>
        <v>1</v>
      </c>
      <c r="L783" s="91">
        <f>STOCK[[#This Row],[Entradas]]-STOCK[[#This Row],[Salidas]]</f>
        <v>0</v>
      </c>
      <c r="M783" s="76">
        <f>STOCK[[#This Row],[Precio Final]]*10%</f>
        <v>3.5</v>
      </c>
      <c r="N783" s="76">
        <v>0</v>
      </c>
      <c r="O783" s="76">
        <v>0</v>
      </c>
      <c r="P783" s="76">
        <v>22</v>
      </c>
      <c r="Q783" s="91">
        <v>0</v>
      </c>
      <c r="R783" s="76">
        <v>0</v>
      </c>
      <c r="S783" s="76">
        <v>2</v>
      </c>
      <c r="T783" s="76">
        <f>STOCK[[#This Row],[Costo Unitario (USD)]]+STOCK[[#This Row],[Costo Envío (USD)]]+STOCK[[#This Row],[Comisión 10%]]</f>
        <v>27.5</v>
      </c>
      <c r="U783" s="76">
        <f>STOCK[[#This Row],[Costo total]]*1.5</f>
        <v>41.25</v>
      </c>
      <c r="V783" s="76">
        <v>35</v>
      </c>
      <c r="W783" s="76">
        <f>STOCK[[#This Row],[Precio Final]]-STOCK[[#This Row],[Costo total]]</f>
        <v>7.5</v>
      </c>
      <c r="X783" s="76">
        <f>STOCK[[#This Row],[Ganancia Unitaria]]*STOCK[[#This Row],[Salidas]]</f>
        <v>7.5</v>
      </c>
      <c r="AA783" s="76">
        <f>STOCK[[#This Row],[Costo total]]*STOCK[[#This Row],[Entradas]]</f>
        <v>27.5</v>
      </c>
      <c r="AB783" s="76">
        <f>STOCK[[#This Row],[Stock Actual]]*STOCK[[#This Row],[Costo total]]</f>
        <v>0</v>
      </c>
    </row>
    <row r="784" s="77" customFormat="1" ht="50" customHeight="1" spans="1:28">
      <c r="A784" s="77" t="s">
        <v>1562</v>
      </c>
      <c r="B784" s="6"/>
      <c r="C784" s="77" t="s">
        <v>30</v>
      </c>
      <c r="D784" s="77" t="s">
        <v>1386</v>
      </c>
      <c r="E784" s="77" t="s">
        <v>1563</v>
      </c>
      <c r="F784" s="77" t="s">
        <v>38</v>
      </c>
      <c r="G784" s="77" t="s">
        <v>702</v>
      </c>
      <c r="H784" s="77">
        <f>STOCK[[#This Row],[Precio Final]]</f>
        <v>50</v>
      </c>
      <c r="I784" s="77">
        <f>STOCK[[#This Row],[Precio Venta Ideal (x1.5)]]</f>
        <v>58.275</v>
      </c>
      <c r="J784" s="92">
        <v>1</v>
      </c>
      <c r="K784" s="92">
        <f>SUMIFS(VENTAS[Cantidad],VENTAS[Código del producto Vendido],STOCK[[#This Row],[Code]])</f>
        <v>0</v>
      </c>
      <c r="L784" s="92">
        <f>STOCK[[#This Row],[Entradas]]-STOCK[[#This Row],[Salidas]]</f>
        <v>1</v>
      </c>
      <c r="M784" s="77">
        <f>STOCK[[#This Row],[Precio Final]]*10%</f>
        <v>5</v>
      </c>
      <c r="N784" s="77">
        <v>0</v>
      </c>
      <c r="O784" s="77">
        <v>0</v>
      </c>
      <c r="P784" s="77">
        <v>26.85</v>
      </c>
      <c r="Q784" s="92">
        <v>0</v>
      </c>
      <c r="R784" s="77">
        <v>0</v>
      </c>
      <c r="S784" s="77">
        <v>7</v>
      </c>
      <c r="T784" s="76">
        <f>STOCK[[#This Row],[Costo Unitario (USD)]]+STOCK[[#This Row],[Costo Envío (USD)]]+STOCK[[#This Row],[Comisión 10%]]</f>
        <v>38.85</v>
      </c>
      <c r="U784" s="77">
        <f>STOCK[[#This Row],[Costo total]]*1.5</f>
        <v>58.275</v>
      </c>
      <c r="V784" s="77">
        <v>50</v>
      </c>
      <c r="W784" s="77">
        <f>STOCK[[#This Row],[Precio Final]]-STOCK[[#This Row],[Costo total]]</f>
        <v>11.15</v>
      </c>
      <c r="X784" s="77">
        <f>STOCK[[#This Row],[Ganancia Unitaria]]*STOCK[[#This Row],[Salidas]]</f>
        <v>0</v>
      </c>
      <c r="AA784" s="77">
        <f>STOCK[[#This Row],[Costo total]]*STOCK[[#This Row],[Entradas]]</f>
        <v>38.85</v>
      </c>
      <c r="AB784" s="77">
        <f>STOCK[[#This Row],[Stock Actual]]*STOCK[[#This Row],[Costo total]]</f>
        <v>38.85</v>
      </c>
    </row>
    <row r="785" s="76" customFormat="1" ht="50" customHeight="1" spans="1:28">
      <c r="A785" s="76" t="s">
        <v>1564</v>
      </c>
      <c r="B785" s="6"/>
      <c r="C785" s="76" t="s">
        <v>30</v>
      </c>
      <c r="D785" s="76" t="s">
        <v>1386</v>
      </c>
      <c r="E785" s="76" t="s">
        <v>1565</v>
      </c>
      <c r="F785" s="76" t="s">
        <v>38</v>
      </c>
      <c r="G785" s="76" t="s">
        <v>702</v>
      </c>
      <c r="H785" s="76">
        <f>STOCK[[#This Row],[Precio Final]]</f>
        <v>15</v>
      </c>
      <c r="I785" s="76">
        <f>STOCK[[#This Row],[Precio Venta Ideal (x1.5)]]</f>
        <v>18.57</v>
      </c>
      <c r="J785" s="91">
        <v>4</v>
      </c>
      <c r="K785" s="91">
        <f>SUMIFS(VENTAS[Cantidad],VENTAS[Código del producto Vendido],STOCK[[#This Row],[Code]])</f>
        <v>0</v>
      </c>
      <c r="L785" s="91">
        <f>STOCK[[#This Row],[Entradas]]-STOCK[[#This Row],[Salidas]]</f>
        <v>4</v>
      </c>
      <c r="M785" s="76">
        <f>STOCK[[#This Row],[Precio Final]]*10%</f>
        <v>1.5</v>
      </c>
      <c r="N785" s="76">
        <v>0</v>
      </c>
      <c r="O785" s="76">
        <v>0</v>
      </c>
      <c r="P785" s="76">
        <v>8.88</v>
      </c>
      <c r="Q785" s="91">
        <v>0</v>
      </c>
      <c r="R785" s="76">
        <v>0</v>
      </c>
      <c r="S785" s="76">
        <v>2</v>
      </c>
      <c r="T785" s="76">
        <f>STOCK[[#This Row],[Costo Unitario (USD)]]+STOCK[[#This Row],[Costo Envío (USD)]]+STOCK[[#This Row],[Comisión 10%]]</f>
        <v>12.38</v>
      </c>
      <c r="U785" s="76">
        <f>STOCK[[#This Row],[Costo total]]*1.5</f>
        <v>18.57</v>
      </c>
      <c r="V785" s="76">
        <v>15</v>
      </c>
      <c r="W785" s="76">
        <f>STOCK[[#This Row],[Precio Final]]-STOCK[[#This Row],[Costo total]]</f>
        <v>2.62</v>
      </c>
      <c r="X785" s="76">
        <f>STOCK[[#This Row],[Ganancia Unitaria]]*STOCK[[#This Row],[Salidas]]</f>
        <v>0</v>
      </c>
      <c r="AA785" s="76">
        <f>STOCK[[#This Row],[Costo total]]*STOCK[[#This Row],[Entradas]]</f>
        <v>49.52</v>
      </c>
      <c r="AB785" s="76">
        <f>STOCK[[#This Row],[Stock Actual]]*STOCK[[#This Row],[Costo total]]</f>
        <v>49.52</v>
      </c>
    </row>
    <row r="786" s="77" customFormat="1" ht="50" customHeight="1" spans="1:28">
      <c r="A786" s="77" t="s">
        <v>1566</v>
      </c>
      <c r="B786" s="6"/>
      <c r="C786" s="77" t="s">
        <v>30</v>
      </c>
      <c r="D786" s="77" t="s">
        <v>173</v>
      </c>
      <c r="E786" s="77" t="s">
        <v>1567</v>
      </c>
      <c r="F786" s="77" t="s">
        <v>60</v>
      </c>
      <c r="G786" s="77" t="s">
        <v>1294</v>
      </c>
      <c r="H786" s="77">
        <f>STOCK[[#This Row],[Precio Final]]</f>
        <v>40</v>
      </c>
      <c r="I786" s="77">
        <f>STOCK[[#This Row],[Precio Venta Ideal (x1.5)]]</f>
        <v>36</v>
      </c>
      <c r="J786" s="92">
        <v>3</v>
      </c>
      <c r="K786" s="92">
        <f>SUMIFS(VENTAS[Cantidad],VENTAS[Código del producto Vendido],STOCK[[#This Row],[Code]])</f>
        <v>2</v>
      </c>
      <c r="L786" s="92">
        <f>STOCK[[#This Row],[Entradas]]-STOCK[[#This Row],[Salidas]]</f>
        <v>1</v>
      </c>
      <c r="M786" s="77">
        <f>STOCK[[#This Row],[Precio Final]]*10%</f>
        <v>4</v>
      </c>
      <c r="N786" s="77">
        <v>0</v>
      </c>
      <c r="O786" s="77">
        <v>0</v>
      </c>
      <c r="P786" s="77">
        <v>15</v>
      </c>
      <c r="Q786" s="92">
        <v>0</v>
      </c>
      <c r="R786" s="77">
        <v>0</v>
      </c>
      <c r="S786" s="77">
        <v>5</v>
      </c>
      <c r="T786" s="76">
        <f>STOCK[[#This Row],[Costo Unitario (USD)]]+STOCK[[#This Row],[Costo Envío (USD)]]+STOCK[[#This Row],[Comisión 10%]]</f>
        <v>24</v>
      </c>
      <c r="U786" s="77">
        <f>STOCK[[#This Row],[Costo total]]*1.5</f>
        <v>36</v>
      </c>
      <c r="V786" s="77">
        <v>40</v>
      </c>
      <c r="W786" s="77">
        <f>STOCK[[#This Row],[Precio Final]]-STOCK[[#This Row],[Costo total]]</f>
        <v>16</v>
      </c>
      <c r="X786" s="77">
        <f>STOCK[[#This Row],[Ganancia Unitaria]]*STOCK[[#This Row],[Salidas]]</f>
        <v>32</v>
      </c>
      <c r="AA786" s="77">
        <f>STOCK[[#This Row],[Costo total]]*STOCK[[#This Row],[Entradas]]</f>
        <v>72</v>
      </c>
      <c r="AB786" s="77">
        <f>STOCK[[#This Row],[Stock Actual]]*STOCK[[#This Row],[Costo total]]</f>
        <v>24</v>
      </c>
    </row>
    <row r="787" s="76" customFormat="1" ht="50" customHeight="1" spans="1:28">
      <c r="A787" s="76" t="s">
        <v>1568</v>
      </c>
      <c r="B787" s="6"/>
      <c r="C787" s="76" t="s">
        <v>30</v>
      </c>
      <c r="D787" s="76" t="s">
        <v>1569</v>
      </c>
      <c r="E787" s="76" t="s">
        <v>1570</v>
      </c>
      <c r="F787" s="76" t="s">
        <v>764</v>
      </c>
      <c r="G787" s="76" t="s">
        <v>1294</v>
      </c>
      <c r="H787" s="76">
        <f>STOCK[[#This Row],[Precio Final]]</f>
        <v>25</v>
      </c>
      <c r="I787" s="76">
        <f>STOCK[[#This Row],[Precio Venta Ideal (x1.5)]]</f>
        <v>24.75</v>
      </c>
      <c r="J787" s="91">
        <v>1</v>
      </c>
      <c r="K787" s="91">
        <f>SUMIFS(VENTAS[Cantidad],VENTAS[Código del producto Vendido],STOCK[[#This Row],[Code]])</f>
        <v>1</v>
      </c>
      <c r="L787" s="91">
        <f>STOCK[[#This Row],[Entradas]]-STOCK[[#This Row],[Salidas]]</f>
        <v>0</v>
      </c>
      <c r="M787" s="76">
        <f>STOCK[[#This Row],[Precio Final]]*10%</f>
        <v>2.5</v>
      </c>
      <c r="N787" s="76">
        <v>0</v>
      </c>
      <c r="O787" s="76">
        <v>0</v>
      </c>
      <c r="P787" s="76">
        <v>9</v>
      </c>
      <c r="Q787" s="91">
        <v>0</v>
      </c>
      <c r="R787" s="76">
        <v>0</v>
      </c>
      <c r="S787" s="76">
        <v>5</v>
      </c>
      <c r="T787" s="76">
        <f>STOCK[[#This Row],[Costo Unitario (USD)]]+STOCK[[#This Row],[Costo Envío (USD)]]+STOCK[[#This Row],[Comisión 10%]]</f>
        <v>16.5</v>
      </c>
      <c r="U787" s="76">
        <f>STOCK[[#This Row],[Costo total]]*1.5</f>
        <v>24.75</v>
      </c>
      <c r="V787" s="76">
        <v>25</v>
      </c>
      <c r="W787" s="76">
        <f>STOCK[[#This Row],[Precio Final]]-STOCK[[#This Row],[Costo total]]</f>
        <v>8.5</v>
      </c>
      <c r="X787" s="76">
        <f>STOCK[[#This Row],[Ganancia Unitaria]]*STOCK[[#This Row],[Salidas]]</f>
        <v>8.5</v>
      </c>
      <c r="AA787" s="76">
        <f>STOCK[[#This Row],[Costo total]]*STOCK[[#This Row],[Entradas]]</f>
        <v>16.5</v>
      </c>
      <c r="AB787" s="76">
        <f>STOCK[[#This Row],[Stock Actual]]*STOCK[[#This Row],[Costo total]]</f>
        <v>0</v>
      </c>
    </row>
    <row r="788" s="77" customFormat="1" ht="50" customHeight="1" spans="1:28">
      <c r="A788" s="77" t="s">
        <v>1571</v>
      </c>
      <c r="B788" s="6"/>
      <c r="C788" s="77" t="s">
        <v>30</v>
      </c>
      <c r="D788" s="77" t="s">
        <v>1569</v>
      </c>
      <c r="E788" s="77" t="s">
        <v>1570</v>
      </c>
      <c r="F788" s="77" t="s">
        <v>1572</v>
      </c>
      <c r="G788" s="77" t="s">
        <v>1294</v>
      </c>
      <c r="H788" s="77">
        <f>STOCK[[#This Row],[Precio Final]]</f>
        <v>25</v>
      </c>
      <c r="I788" s="77">
        <f>STOCK[[#This Row],[Precio Venta Ideal (x1.5)]]</f>
        <v>24.75</v>
      </c>
      <c r="J788" s="92">
        <v>3</v>
      </c>
      <c r="K788" s="92">
        <f>SUMIFS(VENTAS[Cantidad],VENTAS[Código del producto Vendido],STOCK[[#This Row],[Code]])</f>
        <v>3</v>
      </c>
      <c r="L788" s="92">
        <f>STOCK[[#This Row],[Entradas]]-STOCK[[#This Row],[Salidas]]</f>
        <v>0</v>
      </c>
      <c r="M788" s="77">
        <f>STOCK[[#This Row],[Precio Final]]*10%</f>
        <v>2.5</v>
      </c>
      <c r="N788" s="77">
        <v>0</v>
      </c>
      <c r="O788" s="77">
        <v>0</v>
      </c>
      <c r="P788" s="77">
        <v>9</v>
      </c>
      <c r="Q788" s="92">
        <v>0</v>
      </c>
      <c r="R788" s="77">
        <v>0</v>
      </c>
      <c r="S788" s="77">
        <v>5</v>
      </c>
      <c r="T788" s="76">
        <f>STOCK[[#This Row],[Costo Unitario (USD)]]+STOCK[[#This Row],[Costo Envío (USD)]]+STOCK[[#This Row],[Comisión 10%]]</f>
        <v>16.5</v>
      </c>
      <c r="U788" s="77">
        <f>STOCK[[#This Row],[Costo total]]*1.5</f>
        <v>24.75</v>
      </c>
      <c r="V788" s="77">
        <v>25</v>
      </c>
      <c r="W788" s="77">
        <f>STOCK[[#This Row],[Precio Final]]-STOCK[[#This Row],[Costo total]]</f>
        <v>8.5</v>
      </c>
      <c r="X788" s="77">
        <f>STOCK[[#This Row],[Ganancia Unitaria]]*STOCK[[#This Row],[Salidas]]</f>
        <v>25.5</v>
      </c>
      <c r="AA788" s="77">
        <f>STOCK[[#This Row],[Costo total]]*STOCK[[#This Row],[Entradas]]</f>
        <v>49.5</v>
      </c>
      <c r="AB788" s="77">
        <f>STOCK[[#This Row],[Stock Actual]]*STOCK[[#This Row],[Costo total]]</f>
        <v>0</v>
      </c>
    </row>
    <row r="789" s="76" customFormat="1" ht="50" customHeight="1" spans="1:28">
      <c r="A789" s="76" t="s">
        <v>1573</v>
      </c>
      <c r="B789" s="6"/>
      <c r="C789" s="76" t="s">
        <v>30</v>
      </c>
      <c r="D789" s="76" t="s">
        <v>1574</v>
      </c>
      <c r="E789" s="76" t="s">
        <v>1575</v>
      </c>
      <c r="F789" s="76" t="s">
        <v>1576</v>
      </c>
      <c r="G789" s="76" t="s">
        <v>1294</v>
      </c>
      <c r="H789" s="76">
        <f>STOCK[[#This Row],[Precio Final]]</f>
        <v>18</v>
      </c>
      <c r="I789" s="76">
        <f>STOCK[[#This Row],[Precio Venta Ideal (x1.5)]]</f>
        <v>19.2</v>
      </c>
      <c r="J789" s="91">
        <v>2</v>
      </c>
      <c r="K789" s="91">
        <f>SUMIFS(VENTAS[Cantidad],VENTAS[Código del producto Vendido],STOCK[[#This Row],[Code]])</f>
        <v>2</v>
      </c>
      <c r="L789" s="91">
        <f>STOCK[[#This Row],[Entradas]]-STOCK[[#This Row],[Salidas]]</f>
        <v>0</v>
      </c>
      <c r="M789" s="76">
        <f>STOCK[[#This Row],[Precio Final]]*10%</f>
        <v>1.8</v>
      </c>
      <c r="N789" s="76">
        <v>0</v>
      </c>
      <c r="O789" s="76">
        <v>0</v>
      </c>
      <c r="P789" s="76">
        <v>7</v>
      </c>
      <c r="Q789" s="91">
        <v>0</v>
      </c>
      <c r="R789" s="76">
        <v>0</v>
      </c>
      <c r="S789" s="76">
        <v>4</v>
      </c>
      <c r="T789" s="76">
        <f>STOCK[[#This Row],[Costo Unitario (USD)]]+STOCK[[#This Row],[Costo Envío (USD)]]+STOCK[[#This Row],[Comisión 10%]]</f>
        <v>12.8</v>
      </c>
      <c r="U789" s="76">
        <f>STOCK[[#This Row],[Costo total]]*1.5</f>
        <v>19.2</v>
      </c>
      <c r="V789" s="76">
        <v>18</v>
      </c>
      <c r="W789" s="76">
        <f>STOCK[[#This Row],[Precio Final]]-STOCK[[#This Row],[Costo total]]</f>
        <v>5.2</v>
      </c>
      <c r="X789" s="76">
        <f>STOCK[[#This Row],[Ganancia Unitaria]]*STOCK[[#This Row],[Salidas]]</f>
        <v>10.4</v>
      </c>
      <c r="AA789" s="76">
        <f>STOCK[[#This Row],[Costo total]]*STOCK[[#This Row],[Entradas]]</f>
        <v>25.6</v>
      </c>
      <c r="AB789" s="76">
        <f>STOCK[[#This Row],[Stock Actual]]*STOCK[[#This Row],[Costo total]]</f>
        <v>0</v>
      </c>
    </row>
    <row r="790" s="77" customFormat="1" ht="50" customHeight="1" spans="1:28">
      <c r="A790" s="77" t="s">
        <v>1577</v>
      </c>
      <c r="B790" s="6"/>
      <c r="C790" s="77" t="s">
        <v>30</v>
      </c>
      <c r="D790" s="77" t="s">
        <v>1574</v>
      </c>
      <c r="E790" s="77" t="s">
        <v>1575</v>
      </c>
      <c r="F790" s="77" t="s">
        <v>1572</v>
      </c>
      <c r="G790" s="77" t="s">
        <v>1294</v>
      </c>
      <c r="H790" s="77">
        <f>STOCK[[#This Row],[Precio Final]]</f>
        <v>18</v>
      </c>
      <c r="I790" s="77">
        <f>STOCK[[#This Row],[Precio Venta Ideal (x1.5)]]</f>
        <v>19.2</v>
      </c>
      <c r="J790" s="92">
        <v>1</v>
      </c>
      <c r="K790" s="92">
        <f>SUMIFS(VENTAS[Cantidad],VENTAS[Código del producto Vendido],STOCK[[#This Row],[Code]])</f>
        <v>1</v>
      </c>
      <c r="L790" s="92">
        <f>STOCK[[#This Row],[Entradas]]-STOCK[[#This Row],[Salidas]]</f>
        <v>0</v>
      </c>
      <c r="M790" s="77">
        <f>STOCK[[#This Row],[Precio Final]]*10%</f>
        <v>1.8</v>
      </c>
      <c r="N790" s="77">
        <v>0</v>
      </c>
      <c r="O790" s="77">
        <v>0</v>
      </c>
      <c r="P790" s="77">
        <v>7</v>
      </c>
      <c r="Q790" s="92">
        <v>0</v>
      </c>
      <c r="R790" s="77">
        <v>0</v>
      </c>
      <c r="S790" s="77">
        <v>4</v>
      </c>
      <c r="T790" s="76">
        <f>STOCK[[#This Row],[Costo Unitario (USD)]]+STOCK[[#This Row],[Costo Envío (USD)]]+STOCK[[#This Row],[Comisión 10%]]</f>
        <v>12.8</v>
      </c>
      <c r="U790" s="77">
        <f>STOCK[[#This Row],[Costo total]]*1.5</f>
        <v>19.2</v>
      </c>
      <c r="V790" s="77">
        <v>18</v>
      </c>
      <c r="W790" s="77">
        <f>STOCK[[#This Row],[Precio Final]]-STOCK[[#This Row],[Costo total]]</f>
        <v>5.2</v>
      </c>
      <c r="X790" s="77">
        <f>STOCK[[#This Row],[Ganancia Unitaria]]*STOCK[[#This Row],[Salidas]]</f>
        <v>5.2</v>
      </c>
      <c r="AA790" s="77">
        <f>STOCK[[#This Row],[Costo total]]*STOCK[[#This Row],[Entradas]]</f>
        <v>12.8</v>
      </c>
      <c r="AB790" s="77">
        <f>STOCK[[#This Row],[Stock Actual]]*STOCK[[#This Row],[Costo total]]</f>
        <v>0</v>
      </c>
    </row>
    <row r="791" s="76" customFormat="1" ht="50" customHeight="1" spans="1:28">
      <c r="A791" s="76" t="s">
        <v>1578</v>
      </c>
      <c r="B791" s="6"/>
      <c r="C791" s="76" t="s">
        <v>30</v>
      </c>
      <c r="D791" s="76" t="s">
        <v>1574</v>
      </c>
      <c r="E791" s="76" t="s">
        <v>1579</v>
      </c>
      <c r="F791" s="76" t="s">
        <v>1576</v>
      </c>
      <c r="G791" s="76" t="s">
        <v>1294</v>
      </c>
      <c r="H791" s="76">
        <f>STOCK[[#This Row],[Precio Final]]</f>
        <v>50</v>
      </c>
      <c r="I791" s="76">
        <f>STOCK[[#This Row],[Precio Venta Ideal (x1.5)]]</f>
        <v>49.5</v>
      </c>
      <c r="J791" s="91">
        <v>2</v>
      </c>
      <c r="K791" s="91">
        <f>SUMIFS(VENTAS[Cantidad],VENTAS[Código del producto Vendido],STOCK[[#This Row],[Code]])</f>
        <v>2</v>
      </c>
      <c r="L791" s="91">
        <f>STOCK[[#This Row],[Entradas]]-STOCK[[#This Row],[Salidas]]</f>
        <v>0</v>
      </c>
      <c r="M791" s="76">
        <f>STOCK[[#This Row],[Precio Final]]*10%</f>
        <v>5</v>
      </c>
      <c r="N791" s="76">
        <v>0</v>
      </c>
      <c r="O791" s="76">
        <v>0</v>
      </c>
      <c r="P791" s="76">
        <v>18</v>
      </c>
      <c r="Q791" s="91">
        <v>0</v>
      </c>
      <c r="R791" s="76">
        <v>0</v>
      </c>
      <c r="S791" s="76">
        <v>10</v>
      </c>
      <c r="T791" s="76">
        <f>STOCK[[#This Row],[Costo Unitario (USD)]]+STOCK[[#This Row],[Costo Envío (USD)]]+STOCK[[#This Row],[Comisión 10%]]</f>
        <v>33</v>
      </c>
      <c r="U791" s="76">
        <f>STOCK[[#This Row],[Costo total]]*1.5</f>
        <v>49.5</v>
      </c>
      <c r="V791" s="76">
        <v>50</v>
      </c>
      <c r="W791" s="76">
        <f>STOCK[[#This Row],[Precio Final]]-STOCK[[#This Row],[Costo total]]</f>
        <v>17</v>
      </c>
      <c r="X791" s="76">
        <f>STOCK[[#This Row],[Ganancia Unitaria]]*STOCK[[#This Row],[Salidas]]</f>
        <v>34</v>
      </c>
      <c r="AA791" s="76">
        <f>STOCK[[#This Row],[Costo total]]*STOCK[[#This Row],[Entradas]]</f>
        <v>66</v>
      </c>
      <c r="AB791" s="76">
        <f>STOCK[[#This Row],[Stock Actual]]*STOCK[[#This Row],[Costo total]]</f>
        <v>0</v>
      </c>
    </row>
    <row r="792" s="77" customFormat="1" ht="50" customHeight="1" spans="1:28">
      <c r="A792" s="77" t="s">
        <v>1580</v>
      </c>
      <c r="B792" s="6"/>
      <c r="C792" s="77" t="s">
        <v>30</v>
      </c>
      <c r="D792" s="77" t="s">
        <v>1574</v>
      </c>
      <c r="E792" s="77" t="s">
        <v>1581</v>
      </c>
      <c r="F792" s="77" t="s">
        <v>1572</v>
      </c>
      <c r="G792" s="77" t="s">
        <v>1294</v>
      </c>
      <c r="H792" s="77">
        <f>STOCK[[#This Row],[Precio Final]]</f>
        <v>50</v>
      </c>
      <c r="I792" s="77">
        <f>STOCK[[#This Row],[Precio Venta Ideal (x1.5)]]</f>
        <v>49.5</v>
      </c>
      <c r="J792" s="92">
        <v>1</v>
      </c>
      <c r="K792" s="92">
        <f>SUMIFS(VENTAS[Cantidad],VENTAS[Código del producto Vendido],STOCK[[#This Row],[Code]])</f>
        <v>1</v>
      </c>
      <c r="L792" s="92">
        <f>STOCK[[#This Row],[Entradas]]-STOCK[[#This Row],[Salidas]]</f>
        <v>0</v>
      </c>
      <c r="M792" s="77">
        <f>STOCK[[#This Row],[Precio Final]]*10%</f>
        <v>5</v>
      </c>
      <c r="N792" s="77">
        <v>0</v>
      </c>
      <c r="O792" s="77">
        <v>0</v>
      </c>
      <c r="P792" s="77">
        <v>18</v>
      </c>
      <c r="Q792" s="92">
        <v>0</v>
      </c>
      <c r="R792" s="77">
        <v>0</v>
      </c>
      <c r="S792" s="77">
        <v>10</v>
      </c>
      <c r="T792" s="76">
        <f>STOCK[[#This Row],[Costo Unitario (USD)]]+STOCK[[#This Row],[Costo Envío (USD)]]+STOCK[[#This Row],[Comisión 10%]]</f>
        <v>33</v>
      </c>
      <c r="U792" s="77">
        <f>STOCK[[#This Row],[Costo total]]*1.5</f>
        <v>49.5</v>
      </c>
      <c r="V792" s="77">
        <v>50</v>
      </c>
      <c r="W792" s="77">
        <f>STOCK[[#This Row],[Precio Final]]-STOCK[[#This Row],[Costo total]]</f>
        <v>17</v>
      </c>
      <c r="X792" s="77">
        <f>STOCK[[#This Row],[Ganancia Unitaria]]*STOCK[[#This Row],[Salidas]]</f>
        <v>17</v>
      </c>
      <c r="AA792" s="77">
        <f>STOCK[[#This Row],[Costo total]]*STOCK[[#This Row],[Entradas]]</f>
        <v>33</v>
      </c>
      <c r="AB792" s="77">
        <f>STOCK[[#This Row],[Stock Actual]]*STOCK[[#This Row],[Costo total]]</f>
        <v>0</v>
      </c>
    </row>
    <row r="793" s="76" customFormat="1" ht="50" customHeight="1" spans="1:28">
      <c r="A793" s="76" t="s">
        <v>1582</v>
      </c>
      <c r="B793" s="6"/>
      <c r="C793" s="76" t="s">
        <v>30</v>
      </c>
      <c r="D793" s="76" t="s">
        <v>514</v>
      </c>
      <c r="E793" s="76" t="s">
        <v>1583</v>
      </c>
      <c r="F793" s="76" t="s">
        <v>762</v>
      </c>
      <c r="G793" s="76" t="s">
        <v>1294</v>
      </c>
      <c r="H793" s="76">
        <f>STOCK[[#This Row],[Precio Final]]</f>
        <v>18</v>
      </c>
      <c r="I793" s="76">
        <f>STOCK[[#This Row],[Precio Venta Ideal (x1.5)]]</f>
        <v>19.2</v>
      </c>
      <c r="J793" s="91">
        <v>2</v>
      </c>
      <c r="K793" s="91">
        <f>SUMIFS(VENTAS[Cantidad],VENTAS[Código del producto Vendido],STOCK[[#This Row],[Code]])</f>
        <v>2</v>
      </c>
      <c r="L793" s="91">
        <f>STOCK[[#This Row],[Entradas]]-STOCK[[#This Row],[Salidas]]</f>
        <v>0</v>
      </c>
      <c r="M793" s="76">
        <f>STOCK[[#This Row],[Precio Final]]*10%</f>
        <v>1.8</v>
      </c>
      <c r="N793" s="76">
        <v>0</v>
      </c>
      <c r="O793" s="76">
        <v>0</v>
      </c>
      <c r="P793" s="76">
        <v>7</v>
      </c>
      <c r="Q793" s="91">
        <v>0</v>
      </c>
      <c r="R793" s="76">
        <v>0</v>
      </c>
      <c r="S793" s="76">
        <v>4</v>
      </c>
      <c r="T793" s="76">
        <f>STOCK[[#This Row],[Costo Unitario (USD)]]+STOCK[[#This Row],[Costo Envío (USD)]]+STOCK[[#This Row],[Comisión 10%]]</f>
        <v>12.8</v>
      </c>
      <c r="U793" s="76">
        <f>STOCK[[#This Row],[Costo total]]*1.5</f>
        <v>19.2</v>
      </c>
      <c r="V793" s="76">
        <v>18</v>
      </c>
      <c r="W793" s="76">
        <f>STOCK[[#This Row],[Precio Final]]-STOCK[[#This Row],[Costo total]]</f>
        <v>5.2</v>
      </c>
      <c r="X793" s="76">
        <f>STOCK[[#This Row],[Ganancia Unitaria]]*STOCK[[#This Row],[Salidas]]</f>
        <v>10.4</v>
      </c>
      <c r="AA793" s="76">
        <f>STOCK[[#This Row],[Costo total]]*STOCK[[#This Row],[Entradas]]</f>
        <v>25.6</v>
      </c>
      <c r="AB793" s="76">
        <f>STOCK[[#This Row],[Stock Actual]]*STOCK[[#This Row],[Costo total]]</f>
        <v>0</v>
      </c>
    </row>
    <row r="794" s="77" customFormat="1" ht="50" customHeight="1" spans="1:28">
      <c r="A794" s="77" t="s">
        <v>1584</v>
      </c>
      <c r="B794" s="6"/>
      <c r="C794" s="77" t="s">
        <v>30</v>
      </c>
      <c r="D794" s="76" t="s">
        <v>514</v>
      </c>
      <c r="E794" s="77" t="s">
        <v>1583</v>
      </c>
      <c r="F794" s="77" t="s">
        <v>762</v>
      </c>
      <c r="G794" s="77" t="s">
        <v>1294</v>
      </c>
      <c r="H794" s="77">
        <f>STOCK[[#This Row],[Precio Final]]</f>
        <v>18</v>
      </c>
      <c r="I794" s="77">
        <f>STOCK[[#This Row],[Precio Venta Ideal (x1.5)]]</f>
        <v>19.2</v>
      </c>
      <c r="J794" s="92">
        <v>1</v>
      </c>
      <c r="K794" s="92">
        <f>SUMIFS(VENTAS[Cantidad],VENTAS[Código del producto Vendido],STOCK[[#This Row],[Code]])</f>
        <v>1</v>
      </c>
      <c r="L794" s="92">
        <f>STOCK[[#This Row],[Entradas]]-STOCK[[#This Row],[Salidas]]</f>
        <v>0</v>
      </c>
      <c r="M794" s="77">
        <f>STOCK[[#This Row],[Precio Final]]*10%</f>
        <v>1.8</v>
      </c>
      <c r="N794" s="77">
        <v>0</v>
      </c>
      <c r="O794" s="77">
        <v>0</v>
      </c>
      <c r="P794" s="77">
        <v>7</v>
      </c>
      <c r="Q794" s="92">
        <v>0</v>
      </c>
      <c r="R794" s="77">
        <v>0</v>
      </c>
      <c r="S794" s="77">
        <v>4</v>
      </c>
      <c r="T794" s="76">
        <f>STOCK[[#This Row],[Costo Unitario (USD)]]+STOCK[[#This Row],[Costo Envío (USD)]]+STOCK[[#This Row],[Comisión 10%]]</f>
        <v>12.8</v>
      </c>
      <c r="U794" s="77">
        <f>STOCK[[#This Row],[Costo total]]*1.5</f>
        <v>19.2</v>
      </c>
      <c r="V794" s="77">
        <v>18</v>
      </c>
      <c r="W794" s="77">
        <f>STOCK[[#This Row],[Precio Final]]-STOCK[[#This Row],[Costo total]]</f>
        <v>5.2</v>
      </c>
      <c r="X794" s="77">
        <f>STOCK[[#This Row],[Ganancia Unitaria]]*STOCK[[#This Row],[Salidas]]</f>
        <v>5.2</v>
      </c>
      <c r="AA794" s="77">
        <f>STOCK[[#This Row],[Costo total]]*STOCK[[#This Row],[Entradas]]</f>
        <v>12.8</v>
      </c>
      <c r="AB794" s="77">
        <f>STOCK[[#This Row],[Stock Actual]]*STOCK[[#This Row],[Costo total]]</f>
        <v>0</v>
      </c>
    </row>
    <row r="795" s="76" customFormat="1" ht="50" customHeight="1" spans="1:28">
      <c r="A795" s="76" t="s">
        <v>1585</v>
      </c>
      <c r="B795" s="6"/>
      <c r="C795" s="76" t="s">
        <v>30</v>
      </c>
      <c r="D795" s="76" t="s">
        <v>514</v>
      </c>
      <c r="E795" s="76" t="s">
        <v>1586</v>
      </c>
      <c r="F795" s="76" t="s">
        <v>1587</v>
      </c>
      <c r="G795" s="76" t="s">
        <v>1294</v>
      </c>
      <c r="H795" s="76">
        <f>STOCK[[#This Row],[Precio Final]]</f>
        <v>15</v>
      </c>
      <c r="I795" s="76">
        <f>STOCK[[#This Row],[Precio Venta Ideal (x1.5)]]</f>
        <v>16.485</v>
      </c>
      <c r="J795" s="91">
        <v>1</v>
      </c>
      <c r="K795" s="91">
        <f>SUMIFS(VENTAS[Cantidad],VENTAS[Código del producto Vendido],STOCK[[#This Row],[Code]])</f>
        <v>0</v>
      </c>
      <c r="L795" s="91">
        <f>STOCK[[#This Row],[Entradas]]-STOCK[[#This Row],[Salidas]]</f>
        <v>1</v>
      </c>
      <c r="M795" s="76">
        <f>STOCK[[#This Row],[Precio Final]]*10%</f>
        <v>1.5</v>
      </c>
      <c r="N795" s="76">
        <v>0</v>
      </c>
      <c r="O795" s="76">
        <v>0</v>
      </c>
      <c r="P795" s="76">
        <v>6.49</v>
      </c>
      <c r="Q795" s="91">
        <v>0</v>
      </c>
      <c r="R795" s="76">
        <v>0</v>
      </c>
      <c r="S795" s="76">
        <v>3</v>
      </c>
      <c r="T795" s="76">
        <f>STOCK[[#This Row],[Costo Unitario (USD)]]+STOCK[[#This Row],[Costo Envío (USD)]]+STOCK[[#This Row],[Comisión 10%]]</f>
        <v>10.99</v>
      </c>
      <c r="U795" s="76">
        <f>STOCK[[#This Row],[Costo total]]*1.5</f>
        <v>16.485</v>
      </c>
      <c r="V795" s="76">
        <v>15</v>
      </c>
      <c r="W795" s="76">
        <f>STOCK[[#This Row],[Precio Final]]-STOCK[[#This Row],[Costo total]]</f>
        <v>4.01</v>
      </c>
      <c r="X795" s="76">
        <f>STOCK[[#This Row],[Ganancia Unitaria]]*STOCK[[#This Row],[Salidas]]</f>
        <v>0</v>
      </c>
      <c r="AA795" s="76">
        <f>STOCK[[#This Row],[Costo total]]*STOCK[[#This Row],[Entradas]]</f>
        <v>10.99</v>
      </c>
      <c r="AB795" s="76">
        <f>STOCK[[#This Row],[Stock Actual]]*STOCK[[#This Row],[Costo total]]</f>
        <v>10.99</v>
      </c>
    </row>
    <row r="796" s="77" customFormat="1" ht="50" customHeight="1" spans="1:28">
      <c r="A796" s="77" t="s">
        <v>1588</v>
      </c>
      <c r="B796" s="6"/>
      <c r="C796" s="77" t="s">
        <v>30</v>
      </c>
      <c r="D796" s="76" t="s">
        <v>514</v>
      </c>
      <c r="E796" s="77" t="s">
        <v>1589</v>
      </c>
      <c r="F796" s="77" t="s">
        <v>1590</v>
      </c>
      <c r="G796" s="77" t="s">
        <v>1294</v>
      </c>
      <c r="H796" s="77">
        <f>STOCK[[#This Row],[Precio Final]]</f>
        <v>15</v>
      </c>
      <c r="I796" s="77">
        <f>STOCK[[#This Row],[Precio Venta Ideal (x1.5)]]</f>
        <v>16.485</v>
      </c>
      <c r="J796" s="92">
        <v>2</v>
      </c>
      <c r="K796" s="92">
        <f>SUMIFS(VENTAS[Cantidad],VENTAS[Código del producto Vendido],STOCK[[#This Row],[Code]])</f>
        <v>1</v>
      </c>
      <c r="L796" s="92">
        <f>STOCK[[#This Row],[Entradas]]-STOCK[[#This Row],[Salidas]]</f>
        <v>1</v>
      </c>
      <c r="M796" s="77">
        <f>STOCK[[#This Row],[Precio Final]]*10%</f>
        <v>1.5</v>
      </c>
      <c r="N796" s="77">
        <v>0</v>
      </c>
      <c r="O796" s="77">
        <v>0</v>
      </c>
      <c r="P796" s="77">
        <v>6.49</v>
      </c>
      <c r="Q796" s="92">
        <v>0</v>
      </c>
      <c r="R796" s="77">
        <v>0</v>
      </c>
      <c r="S796" s="77">
        <v>3</v>
      </c>
      <c r="T796" s="76">
        <f>STOCK[[#This Row],[Costo Unitario (USD)]]+STOCK[[#This Row],[Costo Envío (USD)]]+STOCK[[#This Row],[Comisión 10%]]</f>
        <v>10.99</v>
      </c>
      <c r="U796" s="77">
        <f>STOCK[[#This Row],[Costo total]]*1.5</f>
        <v>16.485</v>
      </c>
      <c r="V796" s="77">
        <v>15</v>
      </c>
      <c r="W796" s="77">
        <f>STOCK[[#This Row],[Precio Final]]-STOCK[[#This Row],[Costo total]]</f>
        <v>4.01</v>
      </c>
      <c r="X796" s="77">
        <f>STOCK[[#This Row],[Ganancia Unitaria]]*STOCK[[#This Row],[Salidas]]</f>
        <v>4.01</v>
      </c>
      <c r="AA796" s="77">
        <f>STOCK[[#This Row],[Costo total]]*STOCK[[#This Row],[Entradas]]</f>
        <v>21.98</v>
      </c>
      <c r="AB796" s="77">
        <f>STOCK[[#This Row],[Stock Actual]]*STOCK[[#This Row],[Costo total]]</f>
        <v>10.99</v>
      </c>
    </row>
    <row r="797" s="76" customFormat="1" ht="50" customHeight="1" spans="1:28">
      <c r="A797" s="76" t="s">
        <v>1591</v>
      </c>
      <c r="B797" s="6"/>
      <c r="C797" s="76" t="s">
        <v>30</v>
      </c>
      <c r="D797" s="76" t="s">
        <v>514</v>
      </c>
      <c r="E797" s="76" t="s">
        <v>1589</v>
      </c>
      <c r="F797" s="76" t="s">
        <v>1592</v>
      </c>
      <c r="G797" s="76" t="s">
        <v>1294</v>
      </c>
      <c r="H797" s="76">
        <f>STOCK[[#This Row],[Precio Final]]</f>
        <v>15</v>
      </c>
      <c r="I797" s="76">
        <f>STOCK[[#This Row],[Precio Venta Ideal (x1.5)]]</f>
        <v>16.485</v>
      </c>
      <c r="J797" s="91">
        <v>1</v>
      </c>
      <c r="K797" s="91">
        <f>SUMIFS(VENTAS[Cantidad],VENTAS[Código del producto Vendido],STOCK[[#This Row],[Code]])</f>
        <v>0</v>
      </c>
      <c r="L797" s="91">
        <f>STOCK[[#This Row],[Entradas]]-STOCK[[#This Row],[Salidas]]</f>
        <v>1</v>
      </c>
      <c r="M797" s="76">
        <f>STOCK[[#This Row],[Precio Final]]*10%</f>
        <v>1.5</v>
      </c>
      <c r="N797" s="76">
        <v>0</v>
      </c>
      <c r="O797" s="76">
        <v>0</v>
      </c>
      <c r="P797" s="76">
        <v>6.49</v>
      </c>
      <c r="Q797" s="91">
        <v>0</v>
      </c>
      <c r="R797" s="76">
        <v>0</v>
      </c>
      <c r="S797" s="76">
        <v>3</v>
      </c>
      <c r="T797" s="76">
        <f>STOCK[[#This Row],[Costo Unitario (USD)]]+STOCK[[#This Row],[Costo Envío (USD)]]+STOCK[[#This Row],[Comisión 10%]]</f>
        <v>10.99</v>
      </c>
      <c r="U797" s="76">
        <f>STOCK[[#This Row],[Costo total]]*1.5</f>
        <v>16.485</v>
      </c>
      <c r="V797" s="76">
        <v>15</v>
      </c>
      <c r="W797" s="76">
        <f>STOCK[[#This Row],[Precio Final]]-STOCK[[#This Row],[Costo total]]</f>
        <v>4.01</v>
      </c>
      <c r="X797" s="76">
        <f>STOCK[[#This Row],[Ganancia Unitaria]]*STOCK[[#This Row],[Salidas]]</f>
        <v>0</v>
      </c>
      <c r="AA797" s="76">
        <f>STOCK[[#This Row],[Costo total]]*STOCK[[#This Row],[Entradas]]</f>
        <v>10.99</v>
      </c>
      <c r="AB797" s="76">
        <f>STOCK[[#This Row],[Stock Actual]]*STOCK[[#This Row],[Costo total]]</f>
        <v>10.99</v>
      </c>
    </row>
    <row r="798" s="77" customFormat="1" ht="50" customHeight="1" spans="1:28">
      <c r="A798" s="77" t="s">
        <v>1593</v>
      </c>
      <c r="B798" s="6"/>
      <c r="C798" s="77" t="s">
        <v>30</v>
      </c>
      <c r="D798" s="76" t="s">
        <v>514</v>
      </c>
      <c r="E798" s="77" t="s">
        <v>1594</v>
      </c>
      <c r="F798" s="77" t="s">
        <v>764</v>
      </c>
      <c r="G798" s="77" t="s">
        <v>1294</v>
      </c>
      <c r="H798" s="77">
        <f>STOCK[[#This Row],[Precio Final]]</f>
        <v>15</v>
      </c>
      <c r="I798" s="77">
        <f>STOCK[[#This Row],[Precio Venta Ideal (x1.5)]]</f>
        <v>16.485</v>
      </c>
      <c r="J798" s="92">
        <v>2</v>
      </c>
      <c r="K798" s="92">
        <f>SUMIFS(VENTAS[Cantidad],VENTAS[Código del producto Vendido],STOCK[[#This Row],[Code]])</f>
        <v>2</v>
      </c>
      <c r="L798" s="92">
        <f>STOCK[[#This Row],[Entradas]]-STOCK[[#This Row],[Salidas]]</f>
        <v>0</v>
      </c>
      <c r="M798" s="77">
        <f>STOCK[[#This Row],[Precio Final]]*10%</f>
        <v>1.5</v>
      </c>
      <c r="N798" s="77">
        <v>0</v>
      </c>
      <c r="O798" s="77">
        <v>0</v>
      </c>
      <c r="P798" s="77">
        <v>6.49</v>
      </c>
      <c r="Q798" s="92">
        <v>0</v>
      </c>
      <c r="R798" s="77">
        <v>0</v>
      </c>
      <c r="S798" s="77">
        <v>3</v>
      </c>
      <c r="T798" s="76">
        <f>STOCK[[#This Row],[Costo Unitario (USD)]]+STOCK[[#This Row],[Costo Envío (USD)]]+STOCK[[#This Row],[Comisión 10%]]</f>
        <v>10.99</v>
      </c>
      <c r="U798" s="77">
        <f>STOCK[[#This Row],[Costo total]]*1.5</f>
        <v>16.485</v>
      </c>
      <c r="V798" s="77">
        <v>15</v>
      </c>
      <c r="W798" s="77">
        <f>STOCK[[#This Row],[Precio Final]]-STOCK[[#This Row],[Costo total]]</f>
        <v>4.01</v>
      </c>
      <c r="X798" s="77">
        <f>STOCK[[#This Row],[Ganancia Unitaria]]*STOCK[[#This Row],[Salidas]]</f>
        <v>8.02</v>
      </c>
      <c r="AA798" s="77">
        <f>STOCK[[#This Row],[Costo total]]*STOCK[[#This Row],[Entradas]]</f>
        <v>21.98</v>
      </c>
      <c r="AB798" s="77">
        <f>STOCK[[#This Row],[Stock Actual]]*STOCK[[#This Row],[Costo total]]</f>
        <v>0</v>
      </c>
    </row>
    <row r="799" s="76" customFormat="1" ht="50" customHeight="1" spans="1:28">
      <c r="A799" s="76" t="s">
        <v>1595</v>
      </c>
      <c r="B799" s="6"/>
      <c r="C799" s="76" t="s">
        <v>30</v>
      </c>
      <c r="D799" s="76" t="s">
        <v>514</v>
      </c>
      <c r="E799" s="76" t="s">
        <v>1596</v>
      </c>
      <c r="F799" s="76" t="s">
        <v>762</v>
      </c>
      <c r="G799" s="76" t="s">
        <v>1294</v>
      </c>
      <c r="H799" s="76">
        <f>STOCK[[#This Row],[Precio Final]]</f>
        <v>15</v>
      </c>
      <c r="I799" s="76">
        <f>STOCK[[#This Row],[Precio Venta Ideal (x1.5)]]</f>
        <v>16.485</v>
      </c>
      <c r="J799" s="91">
        <v>1</v>
      </c>
      <c r="K799" s="91">
        <f>SUMIFS(VENTAS[Cantidad],VENTAS[Código del producto Vendido],STOCK[[#This Row],[Code]])</f>
        <v>1</v>
      </c>
      <c r="L799" s="91">
        <f>STOCK[[#This Row],[Entradas]]-STOCK[[#This Row],[Salidas]]</f>
        <v>0</v>
      </c>
      <c r="M799" s="76">
        <f>STOCK[[#This Row],[Precio Final]]*10%</f>
        <v>1.5</v>
      </c>
      <c r="N799" s="76">
        <v>0</v>
      </c>
      <c r="O799" s="76">
        <v>0</v>
      </c>
      <c r="P799" s="76">
        <v>6.49</v>
      </c>
      <c r="Q799" s="91">
        <v>0</v>
      </c>
      <c r="R799" s="76">
        <v>0</v>
      </c>
      <c r="S799" s="76">
        <v>3</v>
      </c>
      <c r="T799" s="76">
        <f>STOCK[[#This Row],[Costo Unitario (USD)]]+STOCK[[#This Row],[Costo Envío (USD)]]+STOCK[[#This Row],[Comisión 10%]]</f>
        <v>10.99</v>
      </c>
      <c r="U799" s="76">
        <f>STOCK[[#This Row],[Costo total]]*1.5</f>
        <v>16.485</v>
      </c>
      <c r="V799" s="76">
        <v>15</v>
      </c>
      <c r="W799" s="76">
        <f>STOCK[[#This Row],[Precio Final]]-STOCK[[#This Row],[Costo total]]</f>
        <v>4.01</v>
      </c>
      <c r="X799" s="76">
        <f>STOCK[[#This Row],[Ganancia Unitaria]]*STOCK[[#This Row],[Salidas]]</f>
        <v>4.01</v>
      </c>
      <c r="AA799" s="76">
        <f>STOCK[[#This Row],[Costo total]]*STOCK[[#This Row],[Entradas]]</f>
        <v>10.99</v>
      </c>
      <c r="AB799" s="76">
        <f>STOCK[[#This Row],[Stock Actual]]*STOCK[[#This Row],[Costo total]]</f>
        <v>0</v>
      </c>
    </row>
    <row r="800" s="77" customFormat="1" ht="50" customHeight="1" spans="1:28">
      <c r="A800" s="77" t="s">
        <v>1597</v>
      </c>
      <c r="B800" s="6"/>
      <c r="C800" s="77" t="s">
        <v>30</v>
      </c>
      <c r="D800" s="77" t="s">
        <v>246</v>
      </c>
      <c r="E800" s="77" t="s">
        <v>1598</v>
      </c>
      <c r="F800" s="77" t="s">
        <v>40</v>
      </c>
      <c r="G800" s="77" t="s">
        <v>1599</v>
      </c>
      <c r="H800" s="77">
        <f>STOCK[[#This Row],[Precio Final]]</f>
        <v>20</v>
      </c>
      <c r="I800" s="77">
        <f>STOCK[[#This Row],[Precio Venta Ideal (x1.5)]]</f>
        <v>20.7</v>
      </c>
      <c r="J800" s="92">
        <v>3</v>
      </c>
      <c r="K800" s="92">
        <f>SUMIFS(VENTAS[Cantidad],VENTAS[Código del producto Vendido],STOCK[[#This Row],[Code]])</f>
        <v>3</v>
      </c>
      <c r="L800" s="92">
        <f>STOCK[[#This Row],[Entradas]]-STOCK[[#This Row],[Salidas]]</f>
        <v>0</v>
      </c>
      <c r="M800" s="77">
        <f>STOCK[[#This Row],[Precio Final]]*10%</f>
        <v>2</v>
      </c>
      <c r="N800" s="77">
        <v>0</v>
      </c>
      <c r="O800" s="77">
        <v>0</v>
      </c>
      <c r="P800" s="77">
        <v>10.3</v>
      </c>
      <c r="Q800" s="92">
        <v>0</v>
      </c>
      <c r="R800" s="77">
        <v>0</v>
      </c>
      <c r="S800" s="77">
        <v>1.5</v>
      </c>
      <c r="T800" s="76">
        <f>STOCK[[#This Row],[Costo Unitario (USD)]]+STOCK[[#This Row],[Costo Envío (USD)]]+STOCK[[#This Row],[Comisión 10%]]</f>
        <v>13.8</v>
      </c>
      <c r="U800" s="77">
        <f>STOCK[[#This Row],[Costo total]]*1.5</f>
        <v>20.7</v>
      </c>
      <c r="V800" s="77">
        <v>20</v>
      </c>
      <c r="W800" s="77">
        <f>STOCK[[#This Row],[Precio Final]]-STOCK[[#This Row],[Costo total]]</f>
        <v>6.2</v>
      </c>
      <c r="X800" s="77">
        <f>STOCK[[#This Row],[Ganancia Unitaria]]*STOCK[[#This Row],[Salidas]]</f>
        <v>18.6</v>
      </c>
      <c r="Y800" s="77" t="s">
        <v>1600</v>
      </c>
      <c r="AA800" s="77">
        <f>STOCK[[#This Row],[Costo total]]*STOCK[[#This Row],[Entradas]]</f>
        <v>41.4</v>
      </c>
      <c r="AB800" s="77">
        <f>STOCK[[#This Row],[Stock Actual]]*STOCK[[#This Row],[Costo total]]</f>
        <v>0</v>
      </c>
    </row>
    <row r="801" s="76" customFormat="1" ht="50" customHeight="1" spans="1:28">
      <c r="A801" s="76" t="s">
        <v>1601</v>
      </c>
      <c r="B801" s="6"/>
      <c r="C801" s="76" t="s">
        <v>30</v>
      </c>
      <c r="D801" s="76" t="s">
        <v>514</v>
      </c>
      <c r="E801" s="76" t="s">
        <v>1602</v>
      </c>
      <c r="F801" s="76" t="s">
        <v>539</v>
      </c>
      <c r="G801" s="76" t="s">
        <v>34</v>
      </c>
      <c r="H801" s="76">
        <f>STOCK[[#This Row],[Precio Final]]</f>
        <v>35</v>
      </c>
      <c r="I801" s="76">
        <f>STOCK[[#This Row],[Precio Venta Ideal (x1.5)]]</f>
        <v>31.29</v>
      </c>
      <c r="J801" s="91">
        <v>1</v>
      </c>
      <c r="K801" s="91">
        <f>SUMIFS(VENTAS[Cantidad],VENTAS[Código del producto Vendido],STOCK[[#This Row],[Code]])</f>
        <v>1</v>
      </c>
      <c r="L801" s="91">
        <f>STOCK[[#This Row],[Entradas]]-STOCK[[#This Row],[Salidas]]</f>
        <v>0</v>
      </c>
      <c r="M801" s="76">
        <f>STOCK[[#This Row],[Precio Final]]*10%</f>
        <v>3.5</v>
      </c>
      <c r="N801" s="76">
        <v>0</v>
      </c>
      <c r="O801" s="76">
        <v>0</v>
      </c>
      <c r="P801" s="76">
        <v>15.86</v>
      </c>
      <c r="Q801" s="91">
        <v>0</v>
      </c>
      <c r="R801" s="76">
        <v>0</v>
      </c>
      <c r="S801" s="76">
        <v>1.5</v>
      </c>
      <c r="T801" s="76">
        <f>STOCK[[#This Row],[Costo Unitario (USD)]]+STOCK[[#This Row],[Costo Envío (USD)]]+STOCK[[#This Row],[Comisión 10%]]</f>
        <v>20.86</v>
      </c>
      <c r="U801" s="76">
        <f>STOCK[[#This Row],[Costo total]]*1.5</f>
        <v>31.29</v>
      </c>
      <c r="V801" s="76">
        <v>35</v>
      </c>
      <c r="W801" s="76">
        <f>STOCK[[#This Row],[Precio Final]]-STOCK[[#This Row],[Costo total]]</f>
        <v>14.14</v>
      </c>
      <c r="X801" s="76">
        <f>STOCK[[#This Row],[Ganancia Unitaria]]*STOCK[[#This Row],[Salidas]]</f>
        <v>14.14</v>
      </c>
      <c r="AA801" s="76">
        <f>STOCK[[#This Row],[Costo total]]*STOCK[[#This Row],[Entradas]]</f>
        <v>20.86</v>
      </c>
      <c r="AB801" s="76">
        <f>STOCK[[#This Row],[Stock Actual]]*STOCK[[#This Row],[Costo total]]</f>
        <v>0</v>
      </c>
    </row>
    <row r="802" s="77" customFormat="1" ht="50" customHeight="1" spans="1:28">
      <c r="A802" s="77" t="s">
        <v>1603</v>
      </c>
      <c r="B802" s="6"/>
      <c r="C802" s="77" t="s">
        <v>30</v>
      </c>
      <c r="D802" s="76" t="s">
        <v>514</v>
      </c>
      <c r="E802" s="77" t="s">
        <v>1602</v>
      </c>
      <c r="F802" s="77" t="s">
        <v>762</v>
      </c>
      <c r="G802" s="77" t="s">
        <v>34</v>
      </c>
      <c r="H802" s="77">
        <f>STOCK[[#This Row],[Precio Final]]</f>
        <v>35</v>
      </c>
      <c r="I802" s="77">
        <f>STOCK[[#This Row],[Precio Venta Ideal (x1.5)]]</f>
        <v>31.29</v>
      </c>
      <c r="J802" s="92">
        <v>1</v>
      </c>
      <c r="K802" s="92">
        <f>SUMIFS(VENTAS[Cantidad],VENTAS[Código del producto Vendido],STOCK[[#This Row],[Code]])</f>
        <v>1</v>
      </c>
      <c r="L802" s="92">
        <f>STOCK[[#This Row],[Entradas]]-STOCK[[#This Row],[Salidas]]</f>
        <v>0</v>
      </c>
      <c r="M802" s="77">
        <f>STOCK[[#This Row],[Precio Final]]*10%</f>
        <v>3.5</v>
      </c>
      <c r="N802" s="77">
        <v>0</v>
      </c>
      <c r="O802" s="77">
        <v>0</v>
      </c>
      <c r="P802" s="77">
        <v>15.86</v>
      </c>
      <c r="Q802" s="92">
        <v>0</v>
      </c>
      <c r="R802" s="77">
        <v>0</v>
      </c>
      <c r="S802" s="77">
        <v>1.5</v>
      </c>
      <c r="T802" s="76">
        <f>STOCK[[#This Row],[Costo Unitario (USD)]]+STOCK[[#This Row],[Costo Envío (USD)]]+STOCK[[#This Row],[Comisión 10%]]</f>
        <v>20.86</v>
      </c>
      <c r="U802" s="77">
        <f>STOCK[[#This Row],[Costo total]]*1.5</f>
        <v>31.29</v>
      </c>
      <c r="V802" s="77">
        <v>35</v>
      </c>
      <c r="W802" s="77">
        <f>STOCK[[#This Row],[Precio Final]]-STOCK[[#This Row],[Costo total]]</f>
        <v>14.14</v>
      </c>
      <c r="X802" s="77">
        <f>STOCK[[#This Row],[Ganancia Unitaria]]*STOCK[[#This Row],[Salidas]]</f>
        <v>14.14</v>
      </c>
      <c r="Y802" s="77" t="s">
        <v>1600</v>
      </c>
      <c r="AA802" s="77">
        <f>STOCK[[#This Row],[Costo total]]*STOCK[[#This Row],[Entradas]]</f>
        <v>20.86</v>
      </c>
      <c r="AB802" s="77">
        <f>STOCK[[#This Row],[Stock Actual]]*STOCK[[#This Row],[Costo total]]</f>
        <v>0</v>
      </c>
    </row>
    <row r="803" s="76" customFormat="1" ht="50" customHeight="1" spans="1:28">
      <c r="A803" s="76" t="s">
        <v>1604</v>
      </c>
      <c r="B803" s="6"/>
      <c r="C803" s="76" t="s">
        <v>30</v>
      </c>
      <c r="D803" s="76" t="s">
        <v>42</v>
      </c>
      <c r="E803" s="76" t="s">
        <v>1605</v>
      </c>
      <c r="F803" s="76" t="s">
        <v>47</v>
      </c>
      <c r="G803" s="76" t="s">
        <v>34</v>
      </c>
      <c r="H803" s="76">
        <f>STOCK[[#This Row],[Precio Final]]</f>
        <v>30</v>
      </c>
      <c r="I803" s="76">
        <f>STOCK[[#This Row],[Precio Venta Ideal (x1.5)]]</f>
        <v>26.76</v>
      </c>
      <c r="J803" s="91">
        <v>2</v>
      </c>
      <c r="K803" s="91">
        <f>SUMIFS(VENTAS[Cantidad],VENTAS[Código del producto Vendido],STOCK[[#This Row],[Code]])</f>
        <v>2</v>
      </c>
      <c r="L803" s="91">
        <f>STOCK[[#This Row],[Entradas]]-STOCK[[#This Row],[Salidas]]</f>
        <v>0</v>
      </c>
      <c r="M803" s="76">
        <f>STOCK[[#This Row],[Precio Final]]*10%</f>
        <v>3</v>
      </c>
      <c r="N803" s="76">
        <v>0</v>
      </c>
      <c r="O803" s="76">
        <v>0</v>
      </c>
      <c r="P803" s="76">
        <v>13.34</v>
      </c>
      <c r="Q803" s="91">
        <v>0</v>
      </c>
      <c r="R803" s="76">
        <v>0</v>
      </c>
      <c r="S803" s="76">
        <v>1.5</v>
      </c>
      <c r="T803" s="76">
        <f>STOCK[[#This Row],[Costo Unitario (USD)]]+STOCK[[#This Row],[Costo Envío (USD)]]+STOCK[[#This Row],[Comisión 10%]]</f>
        <v>17.84</v>
      </c>
      <c r="U803" s="76">
        <f>STOCK[[#This Row],[Costo total]]*1.5</f>
        <v>26.76</v>
      </c>
      <c r="V803" s="76">
        <v>30</v>
      </c>
      <c r="W803" s="76">
        <f>STOCK[[#This Row],[Precio Final]]-STOCK[[#This Row],[Costo total]]</f>
        <v>12.16</v>
      </c>
      <c r="X803" s="76">
        <f>STOCK[[#This Row],[Ganancia Unitaria]]*STOCK[[#This Row],[Salidas]]</f>
        <v>24.32</v>
      </c>
      <c r="Y803" s="76" t="s">
        <v>1600</v>
      </c>
      <c r="AA803" s="76">
        <f>STOCK[[#This Row],[Costo total]]*STOCK[[#This Row],[Entradas]]</f>
        <v>35.68</v>
      </c>
      <c r="AB803" s="76">
        <f>STOCK[[#This Row],[Stock Actual]]*STOCK[[#This Row],[Costo total]]</f>
        <v>0</v>
      </c>
    </row>
    <row r="804" s="77" customFormat="1" ht="50" customHeight="1" spans="1:28">
      <c r="A804" s="77" t="s">
        <v>1606</v>
      </c>
      <c r="B804" s="6"/>
      <c r="C804" s="77" t="s">
        <v>30</v>
      </c>
      <c r="D804" s="77" t="s">
        <v>42</v>
      </c>
      <c r="E804" s="77" t="s">
        <v>1605</v>
      </c>
      <c r="F804" s="77" t="s">
        <v>60</v>
      </c>
      <c r="G804" s="77" t="s">
        <v>34</v>
      </c>
      <c r="H804" s="77">
        <f>STOCK[[#This Row],[Precio Final]]</f>
        <v>30</v>
      </c>
      <c r="I804" s="77">
        <f>STOCK[[#This Row],[Precio Venta Ideal (x1.5)]]</f>
        <v>26.76</v>
      </c>
      <c r="J804" s="92">
        <v>1</v>
      </c>
      <c r="K804" s="92">
        <f>SUMIFS(VENTAS[Cantidad],VENTAS[Código del producto Vendido],STOCK[[#This Row],[Code]])</f>
        <v>1</v>
      </c>
      <c r="L804" s="92">
        <f>STOCK[[#This Row],[Entradas]]-STOCK[[#This Row],[Salidas]]</f>
        <v>0</v>
      </c>
      <c r="M804" s="77">
        <f>STOCK[[#This Row],[Precio Final]]*10%</f>
        <v>3</v>
      </c>
      <c r="N804" s="77">
        <v>0</v>
      </c>
      <c r="O804" s="77">
        <v>0</v>
      </c>
      <c r="P804" s="77">
        <v>13.34</v>
      </c>
      <c r="Q804" s="92">
        <v>0</v>
      </c>
      <c r="R804" s="77">
        <v>0</v>
      </c>
      <c r="S804" s="77">
        <v>1.5</v>
      </c>
      <c r="T804" s="76">
        <f>STOCK[[#This Row],[Costo Unitario (USD)]]+STOCK[[#This Row],[Costo Envío (USD)]]+STOCK[[#This Row],[Comisión 10%]]</f>
        <v>17.84</v>
      </c>
      <c r="U804" s="77">
        <f>STOCK[[#This Row],[Costo total]]*1.5</f>
        <v>26.76</v>
      </c>
      <c r="V804" s="77">
        <v>30</v>
      </c>
      <c r="W804" s="77">
        <f>STOCK[[#This Row],[Precio Final]]-STOCK[[#This Row],[Costo total]]</f>
        <v>12.16</v>
      </c>
      <c r="X804" s="77">
        <f>STOCK[[#This Row],[Ganancia Unitaria]]*STOCK[[#This Row],[Salidas]]</f>
        <v>12.16</v>
      </c>
      <c r="Y804" s="77" t="s">
        <v>1600</v>
      </c>
      <c r="AA804" s="77">
        <f>STOCK[[#This Row],[Costo total]]*STOCK[[#This Row],[Entradas]]</f>
        <v>17.84</v>
      </c>
      <c r="AB804" s="77">
        <f>STOCK[[#This Row],[Stock Actual]]*STOCK[[#This Row],[Costo total]]</f>
        <v>0</v>
      </c>
    </row>
    <row r="805" s="76" customFormat="1" ht="50" customHeight="1" spans="1:28">
      <c r="A805" s="76" t="s">
        <v>1607</v>
      </c>
      <c r="B805" s="6"/>
      <c r="C805" s="76" t="s">
        <v>30</v>
      </c>
      <c r="D805" s="76" t="s">
        <v>1608</v>
      </c>
      <c r="E805" s="76" t="s">
        <v>1609</v>
      </c>
      <c r="F805" s="76" t="s">
        <v>81</v>
      </c>
      <c r="G805" s="76" t="s">
        <v>34</v>
      </c>
      <c r="H805" s="76">
        <f>STOCK[[#This Row],[Precio Final]]</f>
        <v>30</v>
      </c>
      <c r="I805" s="76">
        <f>STOCK[[#This Row],[Precio Venta Ideal (x1.5)]]</f>
        <v>26.76</v>
      </c>
      <c r="J805" s="91">
        <v>2</v>
      </c>
      <c r="K805" s="91">
        <f>SUMIFS(VENTAS[Cantidad],VENTAS[Código del producto Vendido],STOCK[[#This Row],[Code]])</f>
        <v>2</v>
      </c>
      <c r="L805" s="91">
        <f>STOCK[[#This Row],[Entradas]]-STOCK[[#This Row],[Salidas]]</f>
        <v>0</v>
      </c>
      <c r="M805" s="76">
        <f>STOCK[[#This Row],[Precio Final]]*10%</f>
        <v>3</v>
      </c>
      <c r="N805" s="76">
        <v>0</v>
      </c>
      <c r="O805" s="76">
        <v>0</v>
      </c>
      <c r="P805" s="76">
        <v>13.34</v>
      </c>
      <c r="Q805" s="91">
        <v>0</v>
      </c>
      <c r="R805" s="76">
        <v>0</v>
      </c>
      <c r="S805" s="76">
        <v>1.5</v>
      </c>
      <c r="T805" s="76">
        <f>STOCK[[#This Row],[Costo Unitario (USD)]]+STOCK[[#This Row],[Costo Envío (USD)]]+STOCK[[#This Row],[Comisión 10%]]</f>
        <v>17.84</v>
      </c>
      <c r="U805" s="76">
        <f>STOCK[[#This Row],[Costo total]]*1.5</f>
        <v>26.76</v>
      </c>
      <c r="V805" s="76">
        <v>30</v>
      </c>
      <c r="W805" s="76">
        <f>STOCK[[#This Row],[Precio Final]]-STOCK[[#This Row],[Costo total]]</f>
        <v>12.16</v>
      </c>
      <c r="X805" s="76">
        <f>STOCK[[#This Row],[Ganancia Unitaria]]*STOCK[[#This Row],[Salidas]]</f>
        <v>24.32</v>
      </c>
      <c r="Y805" s="76" t="s">
        <v>1600</v>
      </c>
      <c r="AA805" s="76">
        <f>STOCK[[#This Row],[Costo total]]*STOCK[[#This Row],[Entradas]]</f>
        <v>35.68</v>
      </c>
      <c r="AB805" s="76">
        <f>STOCK[[#This Row],[Stock Actual]]*STOCK[[#This Row],[Costo total]]</f>
        <v>0</v>
      </c>
    </row>
    <row r="806" s="77" customFormat="1" ht="50" customHeight="1" spans="1:28">
      <c r="A806" s="77" t="s">
        <v>1610</v>
      </c>
      <c r="B806" s="6"/>
      <c r="C806" s="77" t="s">
        <v>30</v>
      </c>
      <c r="D806" s="77" t="s">
        <v>173</v>
      </c>
      <c r="E806" s="77" t="s">
        <v>1611</v>
      </c>
      <c r="F806" s="77" t="s">
        <v>210</v>
      </c>
      <c r="G806" s="77" t="s">
        <v>34</v>
      </c>
      <c r="H806" s="77">
        <f>STOCK[[#This Row],[Precio Final]]</f>
        <v>22</v>
      </c>
      <c r="I806" s="77">
        <f>STOCK[[#This Row],[Precio Venta Ideal (x1.5)]]</f>
        <v>17.91</v>
      </c>
      <c r="J806" s="92">
        <v>4</v>
      </c>
      <c r="K806" s="92">
        <f>SUMIFS(VENTAS[Cantidad],VENTAS[Código del producto Vendido],STOCK[[#This Row],[Code]])</f>
        <v>4</v>
      </c>
      <c r="L806" s="92">
        <f>STOCK[[#This Row],[Entradas]]-STOCK[[#This Row],[Salidas]]</f>
        <v>0</v>
      </c>
      <c r="M806" s="77">
        <f>STOCK[[#This Row],[Precio Final]]*10%</f>
        <v>2.2</v>
      </c>
      <c r="N806" s="77">
        <v>0</v>
      </c>
      <c r="O806" s="77">
        <v>0</v>
      </c>
      <c r="P806" s="77">
        <v>8.24</v>
      </c>
      <c r="Q806" s="92">
        <v>0</v>
      </c>
      <c r="R806" s="77">
        <v>0</v>
      </c>
      <c r="S806" s="77">
        <v>1.5</v>
      </c>
      <c r="T806" s="76">
        <f>STOCK[[#This Row],[Costo Unitario (USD)]]+STOCK[[#This Row],[Costo Envío (USD)]]+STOCK[[#This Row],[Comisión 10%]]</f>
        <v>11.94</v>
      </c>
      <c r="U806" s="77">
        <f>STOCK[[#This Row],[Costo total]]*1.5</f>
        <v>17.91</v>
      </c>
      <c r="V806" s="77">
        <v>22</v>
      </c>
      <c r="W806" s="77">
        <f>STOCK[[#This Row],[Precio Final]]-STOCK[[#This Row],[Costo total]]</f>
        <v>10.06</v>
      </c>
      <c r="X806" s="77">
        <f>STOCK[[#This Row],[Ganancia Unitaria]]*STOCK[[#This Row],[Salidas]]</f>
        <v>40.24</v>
      </c>
      <c r="Y806" s="77" t="s">
        <v>1600</v>
      </c>
      <c r="AA806" s="77">
        <f>STOCK[[#This Row],[Costo total]]*STOCK[[#This Row],[Entradas]]</f>
        <v>47.76</v>
      </c>
      <c r="AB806" s="77">
        <f>STOCK[[#This Row],[Stock Actual]]*STOCK[[#This Row],[Costo total]]</f>
        <v>0</v>
      </c>
    </row>
    <row r="807" s="76" customFormat="1" ht="50" customHeight="1" spans="1:28">
      <c r="A807" s="76" t="s">
        <v>1612</v>
      </c>
      <c r="B807" s="6"/>
      <c r="C807" s="76" t="s">
        <v>30</v>
      </c>
      <c r="D807" s="76" t="s">
        <v>173</v>
      </c>
      <c r="E807" s="76" t="s">
        <v>1611</v>
      </c>
      <c r="F807" s="76" t="s">
        <v>60</v>
      </c>
      <c r="G807" s="76" t="s">
        <v>34</v>
      </c>
      <c r="H807" s="76">
        <f>STOCK[[#This Row],[Precio Final]]</f>
        <v>22</v>
      </c>
      <c r="I807" s="76">
        <f>STOCK[[#This Row],[Precio Venta Ideal (x1.5)]]</f>
        <v>17.91</v>
      </c>
      <c r="J807" s="91">
        <v>3</v>
      </c>
      <c r="K807" s="91">
        <f>SUMIFS(VENTAS[Cantidad],VENTAS[Código del producto Vendido],STOCK[[#This Row],[Code]])</f>
        <v>3</v>
      </c>
      <c r="L807" s="91">
        <f>STOCK[[#This Row],[Entradas]]-STOCK[[#This Row],[Salidas]]</f>
        <v>0</v>
      </c>
      <c r="M807" s="76">
        <f>STOCK[[#This Row],[Precio Final]]*10%</f>
        <v>2.2</v>
      </c>
      <c r="N807" s="76">
        <v>0</v>
      </c>
      <c r="O807" s="76">
        <v>0</v>
      </c>
      <c r="P807" s="76">
        <v>8.24</v>
      </c>
      <c r="Q807" s="91">
        <v>0</v>
      </c>
      <c r="R807" s="76">
        <v>0</v>
      </c>
      <c r="S807" s="76">
        <v>1.5</v>
      </c>
      <c r="T807" s="76">
        <f>STOCK[[#This Row],[Costo Unitario (USD)]]+STOCK[[#This Row],[Costo Envío (USD)]]+STOCK[[#This Row],[Comisión 10%]]</f>
        <v>11.94</v>
      </c>
      <c r="U807" s="76">
        <f>STOCK[[#This Row],[Costo total]]*1.5</f>
        <v>17.91</v>
      </c>
      <c r="V807" s="76">
        <v>22</v>
      </c>
      <c r="W807" s="76">
        <f>STOCK[[#This Row],[Precio Final]]-STOCK[[#This Row],[Costo total]]</f>
        <v>10.06</v>
      </c>
      <c r="X807" s="76">
        <f>STOCK[[#This Row],[Ganancia Unitaria]]*STOCK[[#This Row],[Salidas]]</f>
        <v>30.18</v>
      </c>
      <c r="Y807" s="76" t="s">
        <v>1600</v>
      </c>
      <c r="AA807" s="76">
        <f>STOCK[[#This Row],[Costo total]]*STOCK[[#This Row],[Entradas]]</f>
        <v>35.82</v>
      </c>
      <c r="AB807" s="76">
        <f>STOCK[[#This Row],[Stock Actual]]*STOCK[[#This Row],[Costo total]]</f>
        <v>0</v>
      </c>
    </row>
    <row r="808" s="77" customFormat="1" ht="50" customHeight="1" spans="1:28">
      <c r="A808" s="77" t="s">
        <v>1613</v>
      </c>
      <c r="B808" s="6"/>
      <c r="C808" s="77" t="s">
        <v>30</v>
      </c>
      <c r="D808" s="77" t="s">
        <v>246</v>
      </c>
      <c r="E808" s="77" t="s">
        <v>1611</v>
      </c>
      <c r="F808" s="77" t="s">
        <v>44</v>
      </c>
      <c r="G808" s="77" t="s">
        <v>34</v>
      </c>
      <c r="H808" s="77">
        <f>STOCK[[#This Row],[Precio Final]]</f>
        <v>22</v>
      </c>
      <c r="I808" s="77">
        <f>STOCK[[#This Row],[Precio Venta Ideal (x1.5)]]</f>
        <v>17.91</v>
      </c>
      <c r="J808" s="92">
        <v>2</v>
      </c>
      <c r="K808" s="92">
        <f>SUMIFS(VENTAS[Cantidad],VENTAS[Código del producto Vendido],STOCK[[#This Row],[Code]])</f>
        <v>2</v>
      </c>
      <c r="L808" s="92">
        <f>STOCK[[#This Row],[Entradas]]-STOCK[[#This Row],[Salidas]]</f>
        <v>0</v>
      </c>
      <c r="M808" s="77">
        <f>STOCK[[#This Row],[Precio Final]]*10%</f>
        <v>2.2</v>
      </c>
      <c r="N808" s="77">
        <v>0</v>
      </c>
      <c r="O808" s="77">
        <v>0</v>
      </c>
      <c r="P808" s="77">
        <v>8.24</v>
      </c>
      <c r="Q808" s="92">
        <v>0</v>
      </c>
      <c r="R808" s="77">
        <v>0</v>
      </c>
      <c r="S808" s="77">
        <v>1.5</v>
      </c>
      <c r="T808" s="76">
        <f>STOCK[[#This Row],[Costo Unitario (USD)]]+STOCK[[#This Row],[Costo Envío (USD)]]+STOCK[[#This Row],[Comisión 10%]]</f>
        <v>11.94</v>
      </c>
      <c r="U808" s="77">
        <f>STOCK[[#This Row],[Costo total]]*1.5</f>
        <v>17.91</v>
      </c>
      <c r="V808" s="77">
        <v>22</v>
      </c>
      <c r="W808" s="77">
        <f>STOCK[[#This Row],[Precio Final]]-STOCK[[#This Row],[Costo total]]</f>
        <v>10.06</v>
      </c>
      <c r="X808" s="77">
        <f>STOCK[[#This Row],[Ganancia Unitaria]]*STOCK[[#This Row],[Salidas]]</f>
        <v>20.12</v>
      </c>
      <c r="Y808" s="77" t="s">
        <v>1600</v>
      </c>
      <c r="AA808" s="77">
        <f>STOCK[[#This Row],[Costo total]]*STOCK[[#This Row],[Entradas]]</f>
        <v>23.88</v>
      </c>
      <c r="AB808" s="77">
        <f>STOCK[[#This Row],[Stock Actual]]*STOCK[[#This Row],[Costo total]]</f>
        <v>0</v>
      </c>
    </row>
    <row r="809" s="76" customFormat="1" ht="50" customHeight="1" spans="1:28">
      <c r="A809" s="76" t="s">
        <v>1614</v>
      </c>
      <c r="B809" s="6"/>
      <c r="C809" s="76" t="s">
        <v>30</v>
      </c>
      <c r="D809" s="76" t="s">
        <v>42</v>
      </c>
      <c r="E809" s="76" t="s">
        <v>1615</v>
      </c>
      <c r="F809" s="76" t="s">
        <v>47</v>
      </c>
      <c r="G809" s="76" t="s">
        <v>34</v>
      </c>
      <c r="H809" s="76">
        <f>STOCK[[#This Row],[Precio Final]]</f>
        <v>30</v>
      </c>
      <c r="I809" s="76">
        <f>STOCK[[#This Row],[Precio Venta Ideal (x1.5)]]</f>
        <v>27.135</v>
      </c>
      <c r="J809" s="91">
        <v>1</v>
      </c>
      <c r="K809" s="91">
        <f>SUMIFS(VENTAS[Cantidad],VENTAS[Código del producto Vendido],STOCK[[#This Row],[Code]])</f>
        <v>1</v>
      </c>
      <c r="L809" s="91">
        <f>STOCK[[#This Row],[Entradas]]-STOCK[[#This Row],[Salidas]]</f>
        <v>0</v>
      </c>
      <c r="M809" s="76">
        <f>STOCK[[#This Row],[Precio Final]]*10%</f>
        <v>3</v>
      </c>
      <c r="N809" s="76">
        <v>0</v>
      </c>
      <c r="O809" s="76">
        <v>0</v>
      </c>
      <c r="P809" s="76">
        <v>13.59</v>
      </c>
      <c r="Q809" s="91">
        <v>0</v>
      </c>
      <c r="R809" s="76">
        <v>0</v>
      </c>
      <c r="S809" s="76">
        <v>1.5</v>
      </c>
      <c r="T809" s="76">
        <f>STOCK[[#This Row],[Costo Unitario (USD)]]+STOCK[[#This Row],[Costo Envío (USD)]]+STOCK[[#This Row],[Comisión 10%]]</f>
        <v>18.09</v>
      </c>
      <c r="U809" s="76">
        <f>STOCK[[#This Row],[Costo total]]*1.5</f>
        <v>27.135</v>
      </c>
      <c r="V809" s="76">
        <v>30</v>
      </c>
      <c r="W809" s="76">
        <f>STOCK[[#This Row],[Precio Final]]-STOCK[[#This Row],[Costo total]]</f>
        <v>11.91</v>
      </c>
      <c r="X809" s="76">
        <f>STOCK[[#This Row],[Ganancia Unitaria]]*STOCK[[#This Row],[Salidas]]</f>
        <v>11.91</v>
      </c>
      <c r="Y809" s="76" t="s">
        <v>1600</v>
      </c>
      <c r="AA809" s="76">
        <f>STOCK[[#This Row],[Costo total]]*STOCK[[#This Row],[Entradas]]</f>
        <v>18.09</v>
      </c>
      <c r="AB809" s="76">
        <f>STOCK[[#This Row],[Stock Actual]]*STOCK[[#This Row],[Costo total]]</f>
        <v>0</v>
      </c>
    </row>
    <row r="810" s="77" customFormat="1" ht="50" customHeight="1" spans="1:28">
      <c r="A810" s="77" t="s">
        <v>1616</v>
      </c>
      <c r="B810" s="6"/>
      <c r="C810" s="77" t="s">
        <v>30</v>
      </c>
      <c r="D810" s="77" t="s">
        <v>42</v>
      </c>
      <c r="E810" s="77" t="s">
        <v>1615</v>
      </c>
      <c r="F810" s="77" t="s">
        <v>86</v>
      </c>
      <c r="G810" s="77" t="s">
        <v>34</v>
      </c>
      <c r="H810" s="77">
        <f>STOCK[[#This Row],[Precio Final]]</f>
        <v>30</v>
      </c>
      <c r="I810" s="77">
        <f>STOCK[[#This Row],[Precio Venta Ideal (x1.5)]]</f>
        <v>27.135</v>
      </c>
      <c r="J810" s="92">
        <v>1</v>
      </c>
      <c r="K810" s="92">
        <f>SUMIFS(VENTAS[Cantidad],VENTAS[Código del producto Vendido],STOCK[[#This Row],[Code]])</f>
        <v>1</v>
      </c>
      <c r="L810" s="92">
        <f>STOCK[[#This Row],[Entradas]]-STOCK[[#This Row],[Salidas]]</f>
        <v>0</v>
      </c>
      <c r="M810" s="77">
        <f>STOCK[[#This Row],[Precio Final]]*10%</f>
        <v>3</v>
      </c>
      <c r="N810" s="77">
        <v>0</v>
      </c>
      <c r="O810" s="77">
        <v>0</v>
      </c>
      <c r="P810" s="77">
        <v>13.59</v>
      </c>
      <c r="Q810" s="92">
        <v>0</v>
      </c>
      <c r="R810" s="77">
        <v>0</v>
      </c>
      <c r="S810" s="77">
        <v>1.5</v>
      </c>
      <c r="T810" s="76">
        <f>STOCK[[#This Row],[Costo Unitario (USD)]]+STOCK[[#This Row],[Costo Envío (USD)]]+STOCK[[#This Row],[Comisión 10%]]</f>
        <v>18.09</v>
      </c>
      <c r="U810" s="77">
        <f>STOCK[[#This Row],[Costo total]]*1.5</f>
        <v>27.135</v>
      </c>
      <c r="V810" s="77">
        <v>30</v>
      </c>
      <c r="W810" s="77">
        <f>STOCK[[#This Row],[Precio Final]]-STOCK[[#This Row],[Costo total]]</f>
        <v>11.91</v>
      </c>
      <c r="X810" s="77">
        <f>STOCK[[#This Row],[Ganancia Unitaria]]*STOCK[[#This Row],[Salidas]]</f>
        <v>11.91</v>
      </c>
      <c r="Y810" s="77" t="s">
        <v>1600</v>
      </c>
      <c r="AA810" s="77">
        <f>STOCK[[#This Row],[Costo total]]*STOCK[[#This Row],[Entradas]]</f>
        <v>18.09</v>
      </c>
      <c r="AB810" s="77">
        <f>STOCK[[#This Row],[Stock Actual]]*STOCK[[#This Row],[Costo total]]</f>
        <v>0</v>
      </c>
    </row>
    <row r="811" s="76" customFormat="1" ht="50" customHeight="1" spans="1:28">
      <c r="A811" s="76" t="s">
        <v>1617</v>
      </c>
      <c r="B811" s="6"/>
      <c r="C811" s="76" t="s">
        <v>30</v>
      </c>
      <c r="D811" s="76" t="s">
        <v>42</v>
      </c>
      <c r="E811" s="76" t="s">
        <v>1618</v>
      </c>
      <c r="F811" s="76" t="s">
        <v>210</v>
      </c>
      <c r="G811" s="76" t="s">
        <v>34</v>
      </c>
      <c r="H811" s="76">
        <f>STOCK[[#This Row],[Precio Final]]</f>
        <v>25</v>
      </c>
      <c r="I811" s="76">
        <f>STOCK[[#This Row],[Precio Venta Ideal (x1.5)]]</f>
        <v>22.35</v>
      </c>
      <c r="J811" s="91">
        <v>1</v>
      </c>
      <c r="K811" s="91">
        <f>SUMIFS(VENTAS[Cantidad],VENTAS[Código del producto Vendido],STOCK[[#This Row],[Code]])</f>
        <v>1</v>
      </c>
      <c r="L811" s="91">
        <f>STOCK[[#This Row],[Entradas]]-STOCK[[#This Row],[Salidas]]</f>
        <v>0</v>
      </c>
      <c r="M811" s="76">
        <f>STOCK[[#This Row],[Precio Final]]*10%</f>
        <v>2.5</v>
      </c>
      <c r="N811" s="76">
        <v>0</v>
      </c>
      <c r="O811" s="76">
        <v>0</v>
      </c>
      <c r="P811" s="76">
        <v>10.9</v>
      </c>
      <c r="Q811" s="91">
        <v>0</v>
      </c>
      <c r="R811" s="76">
        <v>0</v>
      </c>
      <c r="S811" s="76">
        <v>1.5</v>
      </c>
      <c r="T811" s="76">
        <f>STOCK[[#This Row],[Costo Unitario (USD)]]+STOCK[[#This Row],[Costo Envío (USD)]]+STOCK[[#This Row],[Comisión 10%]]</f>
        <v>14.9</v>
      </c>
      <c r="U811" s="76">
        <f>STOCK[[#This Row],[Costo total]]*1.5</f>
        <v>22.35</v>
      </c>
      <c r="V811" s="76">
        <v>25</v>
      </c>
      <c r="W811" s="76">
        <f>STOCK[[#This Row],[Precio Final]]-STOCK[[#This Row],[Costo total]]</f>
        <v>10.1</v>
      </c>
      <c r="X811" s="76">
        <f>STOCK[[#This Row],[Ganancia Unitaria]]*STOCK[[#This Row],[Salidas]]</f>
        <v>10.1</v>
      </c>
      <c r="Y811" s="76" t="s">
        <v>1600</v>
      </c>
      <c r="AA811" s="76">
        <f>STOCK[[#This Row],[Costo total]]*STOCK[[#This Row],[Entradas]]</f>
        <v>14.9</v>
      </c>
      <c r="AB811" s="76">
        <f>STOCK[[#This Row],[Stock Actual]]*STOCK[[#This Row],[Costo total]]</f>
        <v>0</v>
      </c>
    </row>
    <row r="812" s="77" customFormat="1" ht="50" customHeight="1" spans="1:28">
      <c r="A812" s="77" t="s">
        <v>1619</v>
      </c>
      <c r="B812" s="6"/>
      <c r="C812" s="77" t="s">
        <v>30</v>
      </c>
      <c r="D812" s="77" t="s">
        <v>1012</v>
      </c>
      <c r="E812" s="77" t="s">
        <v>1618</v>
      </c>
      <c r="F812" s="77" t="s">
        <v>86</v>
      </c>
      <c r="G812" s="77" t="s">
        <v>34</v>
      </c>
      <c r="H812" s="77">
        <f>STOCK[[#This Row],[Precio Final]]</f>
        <v>35</v>
      </c>
      <c r="I812" s="77">
        <f>STOCK[[#This Row],[Precio Venta Ideal (x1.5)]]</f>
        <v>23.85</v>
      </c>
      <c r="J812" s="92">
        <v>2</v>
      </c>
      <c r="K812" s="92">
        <f>SUMIFS(VENTAS[Cantidad],VENTAS[Código del producto Vendido],STOCK[[#This Row],[Code]])</f>
        <v>2</v>
      </c>
      <c r="L812" s="92">
        <f>STOCK[[#This Row],[Entradas]]-STOCK[[#This Row],[Salidas]]</f>
        <v>0</v>
      </c>
      <c r="M812" s="77">
        <f>STOCK[[#This Row],[Precio Final]]*10%</f>
        <v>3.5</v>
      </c>
      <c r="N812" s="77">
        <v>0</v>
      </c>
      <c r="O812" s="77">
        <v>0</v>
      </c>
      <c r="P812" s="77">
        <v>10.9</v>
      </c>
      <c r="Q812" s="92">
        <v>0</v>
      </c>
      <c r="R812" s="77">
        <v>0</v>
      </c>
      <c r="S812" s="77">
        <v>1.5</v>
      </c>
      <c r="T812" s="76">
        <f>STOCK[[#This Row],[Costo Unitario (USD)]]+STOCK[[#This Row],[Costo Envío (USD)]]+STOCK[[#This Row],[Comisión 10%]]</f>
        <v>15.9</v>
      </c>
      <c r="U812" s="77">
        <f>STOCK[[#This Row],[Costo total]]*1.5</f>
        <v>23.85</v>
      </c>
      <c r="V812" s="77">
        <v>35</v>
      </c>
      <c r="W812" s="77">
        <f>STOCK[[#This Row],[Precio Final]]-STOCK[[#This Row],[Costo total]]</f>
        <v>19.1</v>
      </c>
      <c r="X812" s="77">
        <f>STOCK[[#This Row],[Ganancia Unitaria]]*STOCK[[#This Row],[Salidas]]</f>
        <v>38.2</v>
      </c>
      <c r="Y812" s="77" t="s">
        <v>1600</v>
      </c>
      <c r="AA812" s="77">
        <f>STOCK[[#This Row],[Costo total]]*STOCK[[#This Row],[Entradas]]</f>
        <v>31.8</v>
      </c>
      <c r="AB812" s="77">
        <f>STOCK[[#This Row],[Stock Actual]]*STOCK[[#This Row],[Costo total]]</f>
        <v>0</v>
      </c>
    </row>
    <row r="813" s="76" customFormat="1" ht="50" customHeight="1" spans="1:28">
      <c r="A813" s="76" t="s">
        <v>1620</v>
      </c>
      <c r="B813" s="6"/>
      <c r="C813" s="76" t="s">
        <v>30</v>
      </c>
      <c r="D813" s="76" t="s">
        <v>42</v>
      </c>
      <c r="E813" s="76" t="s">
        <v>1618</v>
      </c>
      <c r="F813" s="76" t="s">
        <v>44</v>
      </c>
      <c r="G813" s="76" t="s">
        <v>34</v>
      </c>
      <c r="H813" s="76">
        <f>STOCK[[#This Row],[Precio Final]]</f>
        <v>25</v>
      </c>
      <c r="I813" s="76">
        <f>STOCK[[#This Row],[Precio Venta Ideal (x1.5)]]</f>
        <v>22.35</v>
      </c>
      <c r="J813" s="91">
        <v>1</v>
      </c>
      <c r="K813" s="91">
        <f>SUMIFS(VENTAS[Cantidad],VENTAS[Código del producto Vendido],STOCK[[#This Row],[Code]])</f>
        <v>1</v>
      </c>
      <c r="L813" s="91">
        <f>STOCK[[#This Row],[Entradas]]-STOCK[[#This Row],[Salidas]]</f>
        <v>0</v>
      </c>
      <c r="M813" s="76">
        <f>STOCK[[#This Row],[Precio Final]]*10%</f>
        <v>2.5</v>
      </c>
      <c r="N813" s="76">
        <v>0</v>
      </c>
      <c r="O813" s="76">
        <v>0</v>
      </c>
      <c r="P813" s="76">
        <v>10.9</v>
      </c>
      <c r="Q813" s="91">
        <v>0</v>
      </c>
      <c r="R813" s="76">
        <v>0</v>
      </c>
      <c r="S813" s="76">
        <v>1.5</v>
      </c>
      <c r="T813" s="76">
        <f>STOCK[[#This Row],[Costo Unitario (USD)]]+STOCK[[#This Row],[Costo Envío (USD)]]+STOCK[[#This Row],[Comisión 10%]]</f>
        <v>14.9</v>
      </c>
      <c r="U813" s="76">
        <f>STOCK[[#This Row],[Costo total]]*1.5</f>
        <v>22.35</v>
      </c>
      <c r="V813" s="76">
        <v>25</v>
      </c>
      <c r="W813" s="76">
        <f>STOCK[[#This Row],[Precio Final]]-STOCK[[#This Row],[Costo total]]</f>
        <v>10.1</v>
      </c>
      <c r="X813" s="76">
        <f>STOCK[[#This Row],[Ganancia Unitaria]]*STOCK[[#This Row],[Salidas]]</f>
        <v>10.1</v>
      </c>
      <c r="Y813" s="76" t="s">
        <v>1600</v>
      </c>
      <c r="AA813" s="76">
        <f>STOCK[[#This Row],[Costo total]]*STOCK[[#This Row],[Entradas]]</f>
        <v>14.9</v>
      </c>
      <c r="AB813" s="76">
        <f>STOCK[[#This Row],[Stock Actual]]*STOCK[[#This Row],[Costo total]]</f>
        <v>0</v>
      </c>
    </row>
    <row r="814" s="77" customFormat="1" ht="50" customHeight="1" spans="1:28">
      <c r="A814" s="77" t="s">
        <v>1621</v>
      </c>
      <c r="B814" s="6"/>
      <c r="C814" s="77" t="s">
        <v>30</v>
      </c>
      <c r="D814" s="76" t="s">
        <v>514</v>
      </c>
      <c r="E814" s="77" t="s">
        <v>1602</v>
      </c>
      <c r="F814" s="77" t="s">
        <v>539</v>
      </c>
      <c r="G814" s="77" t="s">
        <v>34</v>
      </c>
      <c r="H814" s="77">
        <f>STOCK[[#This Row],[Precio Final]]</f>
        <v>40</v>
      </c>
      <c r="I814" s="77">
        <f>STOCK[[#This Row],[Precio Venta Ideal (x1.5)]]</f>
        <v>37.29</v>
      </c>
      <c r="J814" s="92">
        <v>1</v>
      </c>
      <c r="K814" s="92">
        <f>SUMIFS(VENTAS[Cantidad],VENTAS[Código del producto Vendido],STOCK[[#This Row],[Code]])</f>
        <v>1</v>
      </c>
      <c r="L814" s="92">
        <f>STOCK[[#This Row],[Entradas]]-STOCK[[#This Row],[Salidas]]</f>
        <v>0</v>
      </c>
      <c r="M814" s="77">
        <f>STOCK[[#This Row],[Precio Final]]*10%</f>
        <v>4</v>
      </c>
      <c r="N814" s="77">
        <v>0</v>
      </c>
      <c r="O814" s="77">
        <v>0</v>
      </c>
      <c r="P814" s="77">
        <v>15.86</v>
      </c>
      <c r="Q814" s="92">
        <v>0</v>
      </c>
      <c r="R814" s="77">
        <v>0</v>
      </c>
      <c r="S814" s="77">
        <v>5</v>
      </c>
      <c r="T814" s="76">
        <f>STOCK[[#This Row],[Costo Unitario (USD)]]+STOCK[[#This Row],[Costo Envío (USD)]]+STOCK[[#This Row],[Comisión 10%]]</f>
        <v>24.86</v>
      </c>
      <c r="U814" s="77">
        <f>STOCK[[#This Row],[Costo total]]*1.5</f>
        <v>37.29</v>
      </c>
      <c r="V814" s="77">
        <v>40</v>
      </c>
      <c r="W814" s="77">
        <f>STOCK[[#This Row],[Precio Final]]-STOCK[[#This Row],[Costo total]]</f>
        <v>15.14</v>
      </c>
      <c r="X814" s="77">
        <f>STOCK[[#This Row],[Ganancia Unitaria]]*STOCK[[#This Row],[Salidas]]</f>
        <v>15.14</v>
      </c>
      <c r="Y814" s="77" t="s">
        <v>1600</v>
      </c>
      <c r="AA814" s="77">
        <f>STOCK[[#This Row],[Costo total]]*STOCK[[#This Row],[Entradas]]</f>
        <v>24.86</v>
      </c>
      <c r="AB814" s="77">
        <f>STOCK[[#This Row],[Stock Actual]]*STOCK[[#This Row],[Costo total]]</f>
        <v>0</v>
      </c>
    </row>
    <row r="815" s="76" customFormat="1" ht="50" customHeight="1" spans="1:28">
      <c r="A815" s="76" t="s">
        <v>1622</v>
      </c>
      <c r="B815" s="6"/>
      <c r="C815" s="76" t="s">
        <v>30</v>
      </c>
      <c r="D815" s="76" t="s">
        <v>42</v>
      </c>
      <c r="E815" s="76" t="s">
        <v>1623</v>
      </c>
      <c r="F815" s="76" t="s">
        <v>60</v>
      </c>
      <c r="G815" s="76" t="s">
        <v>34</v>
      </c>
      <c r="H815" s="76">
        <f>STOCK[[#This Row],[Precio Final]]</f>
        <v>27</v>
      </c>
      <c r="I815" s="76">
        <f>STOCK[[#This Row],[Precio Venta Ideal (x1.5)]]</f>
        <v>25.005</v>
      </c>
      <c r="J815" s="91">
        <v>2</v>
      </c>
      <c r="K815" s="91">
        <f>SUMIFS(VENTAS[Cantidad],VENTAS[Código del producto Vendido],STOCK[[#This Row],[Code]])</f>
        <v>2</v>
      </c>
      <c r="L815" s="91">
        <f>STOCK[[#This Row],[Entradas]]-STOCK[[#This Row],[Salidas]]</f>
        <v>0</v>
      </c>
      <c r="M815" s="76">
        <f>STOCK[[#This Row],[Precio Final]]*10%</f>
        <v>2.7</v>
      </c>
      <c r="N815" s="76">
        <v>0</v>
      </c>
      <c r="O815" s="76">
        <v>0</v>
      </c>
      <c r="P815" s="76">
        <v>12.47</v>
      </c>
      <c r="Q815" s="91">
        <v>0</v>
      </c>
      <c r="R815" s="76">
        <v>0</v>
      </c>
      <c r="S815" s="76">
        <v>1.5</v>
      </c>
      <c r="T815" s="76">
        <f>STOCK[[#This Row],[Costo Unitario (USD)]]+STOCK[[#This Row],[Costo Envío (USD)]]+STOCK[[#This Row],[Comisión 10%]]</f>
        <v>16.67</v>
      </c>
      <c r="U815" s="76">
        <f>STOCK[[#This Row],[Costo total]]*1.5</f>
        <v>25.005</v>
      </c>
      <c r="V815" s="76">
        <v>27</v>
      </c>
      <c r="W815" s="76">
        <f>STOCK[[#This Row],[Precio Final]]-STOCK[[#This Row],[Costo total]]</f>
        <v>10.33</v>
      </c>
      <c r="X815" s="76">
        <f>STOCK[[#This Row],[Ganancia Unitaria]]*STOCK[[#This Row],[Salidas]]</f>
        <v>20.66</v>
      </c>
      <c r="Y815" s="76" t="s">
        <v>1600</v>
      </c>
      <c r="AA815" s="76">
        <f>STOCK[[#This Row],[Costo total]]*STOCK[[#This Row],[Entradas]]</f>
        <v>33.34</v>
      </c>
      <c r="AB815" s="76">
        <f>STOCK[[#This Row],[Stock Actual]]*STOCK[[#This Row],[Costo total]]</f>
        <v>0</v>
      </c>
    </row>
    <row r="816" s="77" customFormat="1" ht="50" customHeight="1" spans="1:28">
      <c r="A816" s="77" t="s">
        <v>1624</v>
      </c>
      <c r="B816" s="6"/>
      <c r="C816" s="77" t="s">
        <v>30</v>
      </c>
      <c r="D816" s="77" t="s">
        <v>42</v>
      </c>
      <c r="E816" s="77" t="s">
        <v>1623</v>
      </c>
      <c r="F816" s="77" t="s">
        <v>210</v>
      </c>
      <c r="G816" s="77" t="s">
        <v>34</v>
      </c>
      <c r="H816" s="77">
        <f>STOCK[[#This Row],[Precio Final]]</f>
        <v>27</v>
      </c>
      <c r="I816" s="77">
        <f>STOCK[[#This Row],[Precio Venta Ideal (x1.5)]]</f>
        <v>25.005</v>
      </c>
      <c r="J816" s="92">
        <v>3</v>
      </c>
      <c r="K816" s="92">
        <f>SUMIFS(VENTAS[Cantidad],VENTAS[Código del producto Vendido],STOCK[[#This Row],[Code]])</f>
        <v>3</v>
      </c>
      <c r="L816" s="92">
        <f>STOCK[[#This Row],[Entradas]]-STOCK[[#This Row],[Salidas]]</f>
        <v>0</v>
      </c>
      <c r="M816" s="77">
        <f>STOCK[[#This Row],[Precio Final]]*10%</f>
        <v>2.7</v>
      </c>
      <c r="N816" s="77">
        <v>0</v>
      </c>
      <c r="O816" s="77">
        <v>0</v>
      </c>
      <c r="P816" s="77">
        <v>12.47</v>
      </c>
      <c r="Q816" s="92">
        <v>0</v>
      </c>
      <c r="R816" s="77">
        <v>0</v>
      </c>
      <c r="S816" s="77">
        <v>1.5</v>
      </c>
      <c r="T816" s="76">
        <f>STOCK[[#This Row],[Costo Unitario (USD)]]+STOCK[[#This Row],[Costo Envío (USD)]]+STOCK[[#This Row],[Comisión 10%]]</f>
        <v>16.67</v>
      </c>
      <c r="U816" s="77">
        <f>STOCK[[#This Row],[Costo total]]*1.5</f>
        <v>25.005</v>
      </c>
      <c r="V816" s="77">
        <v>27</v>
      </c>
      <c r="W816" s="77">
        <f>STOCK[[#This Row],[Precio Final]]-STOCK[[#This Row],[Costo total]]</f>
        <v>10.33</v>
      </c>
      <c r="X816" s="77">
        <f>STOCK[[#This Row],[Ganancia Unitaria]]*STOCK[[#This Row],[Salidas]]</f>
        <v>30.99</v>
      </c>
      <c r="Y816" s="77" t="s">
        <v>1600</v>
      </c>
      <c r="AA816" s="77">
        <f>STOCK[[#This Row],[Costo total]]*STOCK[[#This Row],[Entradas]]</f>
        <v>50.01</v>
      </c>
      <c r="AB816" s="77">
        <f>STOCK[[#This Row],[Stock Actual]]*STOCK[[#This Row],[Costo total]]</f>
        <v>0</v>
      </c>
    </row>
    <row r="817" s="76" customFormat="1" ht="50" customHeight="1" spans="1:28">
      <c r="A817" s="76" t="s">
        <v>1625</v>
      </c>
      <c r="B817" s="6"/>
      <c r="C817" s="76" t="s">
        <v>30</v>
      </c>
      <c r="D817" s="76" t="s">
        <v>42</v>
      </c>
      <c r="E817" s="76" t="s">
        <v>1623</v>
      </c>
      <c r="F817" s="76" t="s">
        <v>204</v>
      </c>
      <c r="G817" s="76" t="s">
        <v>34</v>
      </c>
      <c r="H817" s="76">
        <f>STOCK[[#This Row],[Precio Final]]</f>
        <v>27</v>
      </c>
      <c r="I817" s="76">
        <f>STOCK[[#This Row],[Precio Venta Ideal (x1.5)]]</f>
        <v>25.005</v>
      </c>
      <c r="J817" s="91">
        <v>1</v>
      </c>
      <c r="K817" s="91">
        <f>SUMIFS(VENTAS[Cantidad],VENTAS[Código del producto Vendido],STOCK[[#This Row],[Code]])</f>
        <v>1</v>
      </c>
      <c r="L817" s="91">
        <f>STOCK[[#This Row],[Entradas]]-STOCK[[#This Row],[Salidas]]</f>
        <v>0</v>
      </c>
      <c r="M817" s="76">
        <f>STOCK[[#This Row],[Precio Final]]*10%</f>
        <v>2.7</v>
      </c>
      <c r="N817" s="76">
        <v>0</v>
      </c>
      <c r="O817" s="76">
        <v>0</v>
      </c>
      <c r="P817" s="76">
        <v>12.47</v>
      </c>
      <c r="Q817" s="91">
        <v>0</v>
      </c>
      <c r="R817" s="76">
        <v>0</v>
      </c>
      <c r="S817" s="76">
        <v>1.5</v>
      </c>
      <c r="T817" s="76">
        <f>STOCK[[#This Row],[Costo Unitario (USD)]]+STOCK[[#This Row],[Costo Envío (USD)]]+STOCK[[#This Row],[Comisión 10%]]</f>
        <v>16.67</v>
      </c>
      <c r="U817" s="76">
        <f>STOCK[[#This Row],[Costo total]]*1.5</f>
        <v>25.005</v>
      </c>
      <c r="V817" s="76">
        <v>27</v>
      </c>
      <c r="W817" s="76">
        <f>STOCK[[#This Row],[Precio Final]]-STOCK[[#This Row],[Costo total]]</f>
        <v>10.33</v>
      </c>
      <c r="X817" s="76">
        <f>STOCK[[#This Row],[Ganancia Unitaria]]*STOCK[[#This Row],[Salidas]]</f>
        <v>10.33</v>
      </c>
      <c r="Y817" s="76" t="s">
        <v>1600</v>
      </c>
      <c r="AA817" s="76">
        <f>STOCK[[#This Row],[Costo total]]*STOCK[[#This Row],[Entradas]]</f>
        <v>16.67</v>
      </c>
      <c r="AB817" s="76">
        <f>STOCK[[#This Row],[Stock Actual]]*STOCK[[#This Row],[Costo total]]</f>
        <v>0</v>
      </c>
    </row>
    <row r="818" s="77" customFormat="1" ht="50" customHeight="1" spans="1:28">
      <c r="A818" s="77" t="s">
        <v>1626</v>
      </c>
      <c r="B818" s="6"/>
      <c r="C818" s="77" t="s">
        <v>30</v>
      </c>
      <c r="D818" s="77" t="s">
        <v>42</v>
      </c>
      <c r="E818" s="77" t="s">
        <v>1627</v>
      </c>
      <c r="F818" s="77" t="s">
        <v>1628</v>
      </c>
      <c r="G818" s="77" t="s">
        <v>34</v>
      </c>
      <c r="H818" s="77">
        <f>STOCK[[#This Row],[Precio Final]]</f>
        <v>30</v>
      </c>
      <c r="I818" s="77">
        <f>STOCK[[#This Row],[Precio Venta Ideal (x1.5)]]</f>
        <v>25.995</v>
      </c>
      <c r="J818" s="92">
        <v>1</v>
      </c>
      <c r="K818" s="92">
        <f>SUMIFS(VENTAS[Cantidad],VENTAS[Código del producto Vendido],STOCK[[#This Row],[Code]])</f>
        <v>1</v>
      </c>
      <c r="L818" s="92">
        <f>STOCK[[#This Row],[Entradas]]-STOCK[[#This Row],[Salidas]]</f>
        <v>0</v>
      </c>
      <c r="M818" s="77">
        <f>STOCK[[#This Row],[Precio Final]]*10%</f>
        <v>3</v>
      </c>
      <c r="N818" s="77">
        <v>0</v>
      </c>
      <c r="O818" s="77">
        <v>0</v>
      </c>
      <c r="P818" s="77">
        <v>12.83</v>
      </c>
      <c r="Q818" s="92">
        <v>0</v>
      </c>
      <c r="R818" s="77">
        <v>0</v>
      </c>
      <c r="S818" s="77">
        <v>1.5</v>
      </c>
      <c r="T818" s="76">
        <f>STOCK[[#This Row],[Costo Unitario (USD)]]+STOCK[[#This Row],[Costo Envío (USD)]]+STOCK[[#This Row],[Comisión 10%]]</f>
        <v>17.33</v>
      </c>
      <c r="U818" s="77">
        <f>STOCK[[#This Row],[Costo total]]*1.5</f>
        <v>25.995</v>
      </c>
      <c r="V818" s="77">
        <v>30</v>
      </c>
      <c r="W818" s="77">
        <f>STOCK[[#This Row],[Precio Final]]-STOCK[[#This Row],[Costo total]]</f>
        <v>12.67</v>
      </c>
      <c r="X818" s="77">
        <f>STOCK[[#This Row],[Ganancia Unitaria]]*STOCK[[#This Row],[Salidas]]</f>
        <v>12.67</v>
      </c>
      <c r="Y818" s="77" t="s">
        <v>1600</v>
      </c>
      <c r="AA818" s="77">
        <f>STOCK[[#This Row],[Costo total]]*STOCK[[#This Row],[Entradas]]</f>
        <v>17.33</v>
      </c>
      <c r="AB818" s="77">
        <f>STOCK[[#This Row],[Stock Actual]]*STOCK[[#This Row],[Costo total]]</f>
        <v>0</v>
      </c>
    </row>
    <row r="819" s="76" customFormat="1" ht="50" customHeight="1" spans="1:28">
      <c r="A819" s="76" t="s">
        <v>1629</v>
      </c>
      <c r="B819" s="6"/>
      <c r="C819" s="76" t="s">
        <v>30</v>
      </c>
      <c r="D819" s="76" t="s">
        <v>42</v>
      </c>
      <c r="E819" s="76" t="s">
        <v>1630</v>
      </c>
      <c r="F819" s="76" t="s">
        <v>60</v>
      </c>
      <c r="G819" s="76" t="s">
        <v>34</v>
      </c>
      <c r="H819" s="76">
        <f>STOCK[[#This Row],[Precio Final]]</f>
        <v>30</v>
      </c>
      <c r="I819" s="76">
        <f>STOCK[[#This Row],[Precio Venta Ideal (x1.5)]]</f>
        <v>25.995</v>
      </c>
      <c r="J819" s="91">
        <v>1</v>
      </c>
      <c r="K819" s="91">
        <f>SUMIFS(VENTAS[Cantidad],VENTAS[Código del producto Vendido],STOCK[[#This Row],[Code]])</f>
        <v>1</v>
      </c>
      <c r="L819" s="91">
        <f>STOCK[[#This Row],[Entradas]]-STOCK[[#This Row],[Salidas]]</f>
        <v>0</v>
      </c>
      <c r="M819" s="76">
        <f>STOCK[[#This Row],[Precio Final]]*10%</f>
        <v>3</v>
      </c>
      <c r="N819" s="76">
        <v>0</v>
      </c>
      <c r="O819" s="76">
        <v>0</v>
      </c>
      <c r="P819" s="76">
        <v>12.83</v>
      </c>
      <c r="Q819" s="91">
        <v>0</v>
      </c>
      <c r="R819" s="76">
        <v>0</v>
      </c>
      <c r="S819" s="76">
        <v>1.5</v>
      </c>
      <c r="T819" s="76">
        <f>STOCK[[#This Row],[Costo Unitario (USD)]]+STOCK[[#This Row],[Costo Envío (USD)]]+STOCK[[#This Row],[Comisión 10%]]</f>
        <v>17.33</v>
      </c>
      <c r="U819" s="76">
        <f>STOCK[[#This Row],[Costo total]]*1.5</f>
        <v>25.995</v>
      </c>
      <c r="V819" s="76">
        <v>30</v>
      </c>
      <c r="W819" s="76">
        <f>STOCK[[#This Row],[Precio Final]]-STOCK[[#This Row],[Costo total]]</f>
        <v>12.67</v>
      </c>
      <c r="X819" s="76">
        <f>STOCK[[#This Row],[Ganancia Unitaria]]*STOCK[[#This Row],[Salidas]]</f>
        <v>12.67</v>
      </c>
      <c r="Y819" s="76" t="s">
        <v>1600</v>
      </c>
      <c r="AA819" s="76">
        <f>STOCK[[#This Row],[Costo total]]*STOCK[[#This Row],[Entradas]]</f>
        <v>17.33</v>
      </c>
      <c r="AB819" s="76">
        <f>STOCK[[#This Row],[Stock Actual]]*STOCK[[#This Row],[Costo total]]</f>
        <v>0</v>
      </c>
    </row>
    <row r="820" s="77" customFormat="1" ht="50" customHeight="1" spans="1:28">
      <c r="A820" s="77" t="s">
        <v>1631</v>
      </c>
      <c r="B820" s="6"/>
      <c r="C820" s="77" t="s">
        <v>30</v>
      </c>
      <c r="D820" s="77" t="s">
        <v>42</v>
      </c>
      <c r="E820" s="77" t="s">
        <v>1632</v>
      </c>
      <c r="F820" s="77" t="s">
        <v>38</v>
      </c>
      <c r="G820" s="77" t="s">
        <v>34</v>
      </c>
      <c r="H820" s="77">
        <f>STOCK[[#This Row],[Precio Final]]</f>
        <v>25</v>
      </c>
      <c r="I820" s="77">
        <f>STOCK[[#This Row],[Precio Venta Ideal (x1.5)]]</f>
        <v>20.4</v>
      </c>
      <c r="J820" s="92">
        <v>1</v>
      </c>
      <c r="K820" s="92">
        <f>SUMIFS(VENTAS[Cantidad],VENTAS[Código del producto Vendido],STOCK[[#This Row],[Code]])</f>
        <v>1</v>
      </c>
      <c r="L820" s="92">
        <f>STOCK[[#This Row],[Entradas]]-STOCK[[#This Row],[Salidas]]</f>
        <v>0</v>
      </c>
      <c r="M820" s="77">
        <f>STOCK[[#This Row],[Precio Final]]*10%</f>
        <v>2.5</v>
      </c>
      <c r="N820" s="77">
        <v>0</v>
      </c>
      <c r="O820" s="77">
        <v>0</v>
      </c>
      <c r="P820" s="77">
        <v>9.6</v>
      </c>
      <c r="Q820" s="92">
        <v>0</v>
      </c>
      <c r="R820" s="77">
        <v>0</v>
      </c>
      <c r="S820" s="77">
        <v>1.5</v>
      </c>
      <c r="T820" s="76">
        <f>STOCK[[#This Row],[Costo Unitario (USD)]]+STOCK[[#This Row],[Costo Envío (USD)]]+STOCK[[#This Row],[Comisión 10%]]</f>
        <v>13.6</v>
      </c>
      <c r="U820" s="77">
        <f>STOCK[[#This Row],[Costo total]]*1.5</f>
        <v>20.4</v>
      </c>
      <c r="V820" s="77">
        <v>25</v>
      </c>
      <c r="W820" s="77">
        <f>STOCK[[#This Row],[Precio Final]]-STOCK[[#This Row],[Costo total]]</f>
        <v>11.4</v>
      </c>
      <c r="X820" s="77">
        <f>STOCK[[#This Row],[Ganancia Unitaria]]*STOCK[[#This Row],[Salidas]]</f>
        <v>11.4</v>
      </c>
      <c r="Y820" s="77" t="s">
        <v>1600</v>
      </c>
      <c r="AA820" s="77">
        <f>STOCK[[#This Row],[Costo total]]*STOCK[[#This Row],[Entradas]]</f>
        <v>13.6</v>
      </c>
      <c r="AB820" s="77">
        <f>STOCK[[#This Row],[Stock Actual]]*STOCK[[#This Row],[Costo total]]</f>
        <v>0</v>
      </c>
    </row>
    <row r="821" s="76" customFormat="1" ht="50" customHeight="1" spans="1:28">
      <c r="A821" s="76" t="s">
        <v>1633</v>
      </c>
      <c r="B821" s="6"/>
      <c r="C821" s="76" t="s">
        <v>30</v>
      </c>
      <c r="D821" s="76" t="s">
        <v>212</v>
      </c>
      <c r="E821" s="76" t="s">
        <v>1634</v>
      </c>
      <c r="F821" s="76" t="s">
        <v>204</v>
      </c>
      <c r="G821" s="76" t="s">
        <v>34</v>
      </c>
      <c r="H821" s="76">
        <f>STOCK[[#This Row],[Precio Final]]</f>
        <v>25</v>
      </c>
      <c r="I821" s="76">
        <f>STOCK[[#This Row],[Precio Venta Ideal (x1.5)]]</f>
        <v>20.4</v>
      </c>
      <c r="J821" s="91">
        <v>2</v>
      </c>
      <c r="K821" s="91">
        <f>SUMIFS(VENTAS[Cantidad],VENTAS[Código del producto Vendido],STOCK[[#This Row],[Code]])</f>
        <v>2</v>
      </c>
      <c r="L821" s="91">
        <f>STOCK[[#This Row],[Entradas]]-STOCK[[#This Row],[Salidas]]</f>
        <v>0</v>
      </c>
      <c r="M821" s="76">
        <f>STOCK[[#This Row],[Precio Final]]*10%</f>
        <v>2.5</v>
      </c>
      <c r="N821" s="76">
        <v>0</v>
      </c>
      <c r="O821" s="76">
        <v>0</v>
      </c>
      <c r="P821" s="76">
        <v>9.6</v>
      </c>
      <c r="Q821" s="91">
        <v>0</v>
      </c>
      <c r="R821" s="76">
        <v>0</v>
      </c>
      <c r="S821" s="76">
        <v>1.5</v>
      </c>
      <c r="T821" s="76">
        <f>STOCK[[#This Row],[Costo Unitario (USD)]]+STOCK[[#This Row],[Costo Envío (USD)]]+STOCK[[#This Row],[Comisión 10%]]</f>
        <v>13.6</v>
      </c>
      <c r="U821" s="76">
        <f>STOCK[[#This Row],[Costo total]]*1.5</f>
        <v>20.4</v>
      </c>
      <c r="V821" s="76">
        <v>25</v>
      </c>
      <c r="W821" s="76">
        <f>STOCK[[#This Row],[Precio Final]]-STOCK[[#This Row],[Costo total]]</f>
        <v>11.4</v>
      </c>
      <c r="X821" s="76">
        <f>STOCK[[#This Row],[Ganancia Unitaria]]*STOCK[[#This Row],[Salidas]]</f>
        <v>22.8</v>
      </c>
      <c r="Y821" s="76" t="s">
        <v>1600</v>
      </c>
      <c r="AA821" s="76">
        <f>STOCK[[#This Row],[Costo total]]*STOCK[[#This Row],[Entradas]]</f>
        <v>27.2</v>
      </c>
      <c r="AB821" s="76">
        <f>STOCK[[#This Row],[Stock Actual]]*STOCK[[#This Row],[Costo total]]</f>
        <v>0</v>
      </c>
    </row>
    <row r="822" s="77" customFormat="1" ht="50" customHeight="1" spans="1:28">
      <c r="A822" s="77" t="s">
        <v>1635</v>
      </c>
      <c r="B822" s="6"/>
      <c r="C822" s="77" t="s">
        <v>30</v>
      </c>
      <c r="D822" s="77" t="s">
        <v>42</v>
      </c>
      <c r="E822" s="77" t="s">
        <v>1632</v>
      </c>
      <c r="F822" s="77" t="s">
        <v>210</v>
      </c>
      <c r="G822" s="77" t="s">
        <v>34</v>
      </c>
      <c r="H822" s="77">
        <f>STOCK[[#This Row],[Precio Final]]</f>
        <v>25</v>
      </c>
      <c r="I822" s="77">
        <f>STOCK[[#This Row],[Precio Venta Ideal (x1.5)]]</f>
        <v>20.4</v>
      </c>
      <c r="J822" s="92">
        <v>1</v>
      </c>
      <c r="K822" s="92">
        <f>SUMIFS(VENTAS[Cantidad],VENTAS[Código del producto Vendido],STOCK[[#This Row],[Code]])</f>
        <v>1</v>
      </c>
      <c r="L822" s="92">
        <f>STOCK[[#This Row],[Entradas]]-STOCK[[#This Row],[Salidas]]</f>
        <v>0</v>
      </c>
      <c r="M822" s="77">
        <f>STOCK[[#This Row],[Precio Final]]*10%</f>
        <v>2.5</v>
      </c>
      <c r="N822" s="77">
        <v>0</v>
      </c>
      <c r="O822" s="77">
        <v>0</v>
      </c>
      <c r="P822" s="77">
        <v>9.6</v>
      </c>
      <c r="Q822" s="92">
        <v>0</v>
      </c>
      <c r="R822" s="77">
        <v>0</v>
      </c>
      <c r="S822" s="77">
        <v>1.5</v>
      </c>
      <c r="T822" s="76">
        <f>STOCK[[#This Row],[Costo Unitario (USD)]]+STOCK[[#This Row],[Costo Envío (USD)]]+STOCK[[#This Row],[Comisión 10%]]</f>
        <v>13.6</v>
      </c>
      <c r="U822" s="77">
        <f>STOCK[[#This Row],[Costo total]]*1.5</f>
        <v>20.4</v>
      </c>
      <c r="V822" s="77">
        <v>25</v>
      </c>
      <c r="W822" s="77">
        <f>STOCK[[#This Row],[Precio Final]]-STOCK[[#This Row],[Costo total]]</f>
        <v>11.4</v>
      </c>
      <c r="X822" s="77">
        <f>STOCK[[#This Row],[Ganancia Unitaria]]*STOCK[[#This Row],[Salidas]]</f>
        <v>11.4</v>
      </c>
      <c r="Y822" s="77" t="s">
        <v>1600</v>
      </c>
      <c r="AA822" s="77">
        <f>STOCK[[#This Row],[Costo total]]*STOCK[[#This Row],[Entradas]]</f>
        <v>13.6</v>
      </c>
      <c r="AB822" s="77">
        <f>STOCK[[#This Row],[Stock Actual]]*STOCK[[#This Row],[Costo total]]</f>
        <v>0</v>
      </c>
    </row>
    <row r="823" s="76" customFormat="1" ht="50" customHeight="1" spans="1:28">
      <c r="A823" s="76" t="s">
        <v>1636</v>
      </c>
      <c r="B823" s="6"/>
      <c r="C823" s="76" t="s">
        <v>30</v>
      </c>
      <c r="D823" s="76" t="s">
        <v>1012</v>
      </c>
      <c r="E823" s="76" t="s">
        <v>1637</v>
      </c>
      <c r="F823" s="76" t="s">
        <v>86</v>
      </c>
      <c r="G823" s="76" t="s">
        <v>34</v>
      </c>
      <c r="H823" s="76">
        <f>STOCK[[#This Row],[Precio Final]]</f>
        <v>30</v>
      </c>
      <c r="I823" s="76">
        <f>STOCK[[#This Row],[Precio Venta Ideal (x1.5)]]</f>
        <v>21.15</v>
      </c>
      <c r="J823" s="91">
        <v>1</v>
      </c>
      <c r="K823" s="91">
        <f>SUMIFS(VENTAS[Cantidad],VENTAS[Código del producto Vendido],STOCK[[#This Row],[Code]])</f>
        <v>1</v>
      </c>
      <c r="L823" s="91">
        <f>STOCK[[#This Row],[Entradas]]-STOCK[[#This Row],[Salidas]]</f>
        <v>0</v>
      </c>
      <c r="M823" s="76">
        <f>STOCK[[#This Row],[Precio Final]]*10%</f>
        <v>3</v>
      </c>
      <c r="N823" s="76">
        <v>0</v>
      </c>
      <c r="O823" s="76">
        <v>0</v>
      </c>
      <c r="P823" s="76">
        <v>9.6</v>
      </c>
      <c r="Q823" s="91">
        <v>0</v>
      </c>
      <c r="R823" s="76">
        <v>0</v>
      </c>
      <c r="S823" s="76">
        <v>1.5</v>
      </c>
      <c r="T823" s="76">
        <f>STOCK[[#This Row],[Costo Unitario (USD)]]+STOCK[[#This Row],[Costo Envío (USD)]]+STOCK[[#This Row],[Comisión 10%]]</f>
        <v>14.1</v>
      </c>
      <c r="U823" s="76">
        <f>STOCK[[#This Row],[Costo total]]*1.5</f>
        <v>21.15</v>
      </c>
      <c r="V823" s="76">
        <v>30</v>
      </c>
      <c r="W823" s="76">
        <f>STOCK[[#This Row],[Precio Final]]-STOCK[[#This Row],[Costo total]]</f>
        <v>15.9</v>
      </c>
      <c r="X823" s="76">
        <f>STOCK[[#This Row],[Ganancia Unitaria]]*STOCK[[#This Row],[Salidas]]</f>
        <v>15.9</v>
      </c>
      <c r="Y823" s="76" t="s">
        <v>1600</v>
      </c>
      <c r="AA823" s="76">
        <f>STOCK[[#This Row],[Costo total]]*STOCK[[#This Row],[Entradas]]</f>
        <v>14.1</v>
      </c>
      <c r="AB823" s="76">
        <f>STOCK[[#This Row],[Stock Actual]]*STOCK[[#This Row],[Costo total]]</f>
        <v>0</v>
      </c>
    </row>
    <row r="824" s="77" customFormat="1" ht="50" customHeight="1" spans="1:28">
      <c r="A824" s="77" t="s">
        <v>1638</v>
      </c>
      <c r="B824" s="6"/>
      <c r="C824" s="77" t="s">
        <v>30</v>
      </c>
      <c r="D824" s="77" t="s">
        <v>173</v>
      </c>
      <c r="E824" s="77" t="s">
        <v>1639</v>
      </c>
      <c r="F824" s="77" t="s">
        <v>44</v>
      </c>
      <c r="G824" s="77" t="s">
        <v>34</v>
      </c>
      <c r="H824" s="77">
        <f>STOCK[[#This Row],[Precio Final]]</f>
        <v>12</v>
      </c>
      <c r="I824" s="77">
        <f>STOCK[[#This Row],[Precio Venta Ideal (x1.5)]]</f>
        <v>10.35</v>
      </c>
      <c r="J824" s="92">
        <v>1</v>
      </c>
      <c r="K824" s="92">
        <f>SUMIFS(VENTAS[Cantidad],VENTAS[Código del producto Vendido],STOCK[[#This Row],[Code]])</f>
        <v>1</v>
      </c>
      <c r="L824" s="92">
        <f>STOCK[[#This Row],[Entradas]]-STOCK[[#This Row],[Salidas]]</f>
        <v>0</v>
      </c>
      <c r="M824" s="77">
        <f>STOCK[[#This Row],[Precio Final]]*10%</f>
        <v>1.2</v>
      </c>
      <c r="N824" s="77">
        <v>0</v>
      </c>
      <c r="O824" s="77">
        <v>0</v>
      </c>
      <c r="P824" s="77">
        <v>4.2</v>
      </c>
      <c r="Q824" s="92">
        <v>0</v>
      </c>
      <c r="R824" s="77">
        <v>0</v>
      </c>
      <c r="S824" s="77">
        <v>1.5</v>
      </c>
      <c r="T824" s="76">
        <f>STOCK[[#This Row],[Costo Unitario (USD)]]+STOCK[[#This Row],[Costo Envío (USD)]]+STOCK[[#This Row],[Comisión 10%]]</f>
        <v>6.9</v>
      </c>
      <c r="U824" s="77">
        <f>STOCK[[#This Row],[Costo total]]*1.5</f>
        <v>10.35</v>
      </c>
      <c r="V824" s="77">
        <v>12</v>
      </c>
      <c r="W824" s="77">
        <f>STOCK[[#This Row],[Precio Final]]-STOCK[[#This Row],[Costo total]]</f>
        <v>5.1</v>
      </c>
      <c r="X824" s="77">
        <f>STOCK[[#This Row],[Ganancia Unitaria]]*STOCK[[#This Row],[Salidas]]</f>
        <v>5.1</v>
      </c>
      <c r="Y824" s="77" t="s">
        <v>1600</v>
      </c>
      <c r="AA824" s="77">
        <f>STOCK[[#This Row],[Costo total]]*STOCK[[#This Row],[Entradas]]</f>
        <v>6.9</v>
      </c>
      <c r="AB824" s="77">
        <f>STOCK[[#This Row],[Stock Actual]]*STOCK[[#This Row],[Costo total]]</f>
        <v>0</v>
      </c>
    </row>
    <row r="825" s="76" customFormat="1" ht="50" customHeight="1" spans="1:28">
      <c r="A825" s="76" t="s">
        <v>1640</v>
      </c>
      <c r="B825" s="6"/>
      <c r="C825" s="76" t="s">
        <v>30</v>
      </c>
      <c r="D825" s="76" t="s">
        <v>173</v>
      </c>
      <c r="E825" s="76" t="s">
        <v>1639</v>
      </c>
      <c r="F825" s="76" t="s">
        <v>60</v>
      </c>
      <c r="G825" s="76" t="s">
        <v>34</v>
      </c>
      <c r="H825" s="76">
        <f>STOCK[[#This Row],[Precio Final]]</f>
        <v>12</v>
      </c>
      <c r="I825" s="76">
        <f>STOCK[[#This Row],[Precio Venta Ideal (x1.5)]]</f>
        <v>10.35</v>
      </c>
      <c r="J825" s="91">
        <v>1</v>
      </c>
      <c r="K825" s="91">
        <f>SUMIFS(VENTAS[Cantidad],VENTAS[Código del producto Vendido],STOCK[[#This Row],[Code]])</f>
        <v>1</v>
      </c>
      <c r="L825" s="91">
        <f>STOCK[[#This Row],[Entradas]]-STOCK[[#This Row],[Salidas]]</f>
        <v>0</v>
      </c>
      <c r="M825" s="76">
        <f>STOCK[[#This Row],[Precio Final]]*10%</f>
        <v>1.2</v>
      </c>
      <c r="N825" s="76">
        <v>0</v>
      </c>
      <c r="O825" s="76">
        <v>0</v>
      </c>
      <c r="P825" s="76">
        <v>4.2</v>
      </c>
      <c r="Q825" s="91">
        <v>0</v>
      </c>
      <c r="R825" s="76">
        <v>0</v>
      </c>
      <c r="S825" s="76">
        <v>1.5</v>
      </c>
      <c r="T825" s="76">
        <f>STOCK[[#This Row],[Costo Unitario (USD)]]+STOCK[[#This Row],[Costo Envío (USD)]]+STOCK[[#This Row],[Comisión 10%]]</f>
        <v>6.9</v>
      </c>
      <c r="U825" s="76">
        <f>STOCK[[#This Row],[Costo total]]*1.5</f>
        <v>10.35</v>
      </c>
      <c r="V825" s="76">
        <v>12</v>
      </c>
      <c r="W825" s="76">
        <f>STOCK[[#This Row],[Precio Final]]-STOCK[[#This Row],[Costo total]]</f>
        <v>5.1</v>
      </c>
      <c r="X825" s="76">
        <f>STOCK[[#This Row],[Ganancia Unitaria]]*STOCK[[#This Row],[Salidas]]</f>
        <v>5.1</v>
      </c>
      <c r="Y825" s="76" t="s">
        <v>1600</v>
      </c>
      <c r="AA825" s="76">
        <f>STOCK[[#This Row],[Costo total]]*STOCK[[#This Row],[Entradas]]</f>
        <v>6.9</v>
      </c>
      <c r="AB825" s="76">
        <f>STOCK[[#This Row],[Stock Actual]]*STOCK[[#This Row],[Costo total]]</f>
        <v>0</v>
      </c>
    </row>
    <row r="826" s="77" customFormat="1" ht="50" customHeight="1" spans="1:29">
      <c r="A826" s="77" t="s">
        <v>1641</v>
      </c>
      <c r="B826" s="6"/>
      <c r="C826" s="77" t="s">
        <v>30</v>
      </c>
      <c r="D826" s="77" t="s">
        <v>293</v>
      </c>
      <c r="E826" s="77" t="s">
        <v>1642</v>
      </c>
      <c r="F826" s="77" t="s">
        <v>44</v>
      </c>
      <c r="G826" s="77" t="s">
        <v>34</v>
      </c>
      <c r="H826" s="77">
        <f>STOCK[[#This Row],[Precio Final]]</f>
        <v>20</v>
      </c>
      <c r="I826" s="77">
        <f>STOCK[[#This Row],[Precio Venta Ideal (x1.5)]]</f>
        <v>15.99</v>
      </c>
      <c r="J826" s="92">
        <v>1</v>
      </c>
      <c r="K826" s="92">
        <f>SUMIFS(VENTAS[Cantidad],VENTAS[Código del producto Vendido],STOCK[[#This Row],[Code]])</f>
        <v>0</v>
      </c>
      <c r="L826" s="92">
        <f>STOCK[[#This Row],[Entradas]]-STOCK[[#This Row],[Salidas]]</f>
        <v>1</v>
      </c>
      <c r="M826" s="77">
        <f>STOCK[[#This Row],[Precio Final]]*10%</f>
        <v>2</v>
      </c>
      <c r="N826" s="77">
        <v>0</v>
      </c>
      <c r="O826" s="77">
        <v>0</v>
      </c>
      <c r="P826" s="77">
        <v>7.16</v>
      </c>
      <c r="Q826" s="92">
        <v>0</v>
      </c>
      <c r="R826" s="77">
        <v>0</v>
      </c>
      <c r="S826" s="77">
        <v>1.5</v>
      </c>
      <c r="T826" s="76">
        <f>STOCK[[#This Row],[Costo Unitario (USD)]]+STOCK[[#This Row],[Costo Envío (USD)]]+STOCK[[#This Row],[Comisión 10%]]</f>
        <v>10.66</v>
      </c>
      <c r="U826" s="77">
        <f>STOCK[[#This Row],[Costo total]]*1.5</f>
        <v>15.99</v>
      </c>
      <c r="V826" s="77">
        <v>20</v>
      </c>
      <c r="W826" s="77">
        <f>STOCK[[#This Row],[Precio Final]]-STOCK[[#This Row],[Costo total]]</f>
        <v>9.34</v>
      </c>
      <c r="X826" s="77">
        <f>STOCK[[#This Row],[Ganancia Unitaria]]*STOCK[[#This Row],[Salidas]]</f>
        <v>0</v>
      </c>
      <c r="Y826" s="77" t="s">
        <v>1600</v>
      </c>
      <c r="AA826" s="77">
        <f>STOCK[[#This Row],[Costo total]]*STOCK[[#This Row],[Entradas]]</f>
        <v>10.66</v>
      </c>
      <c r="AB826" s="77">
        <f>STOCK[[#This Row],[Stock Actual]]*STOCK[[#This Row],[Costo total]]</f>
        <v>10.66</v>
      </c>
      <c r="AC826" s="77">
        <v>15</v>
      </c>
    </row>
    <row r="827" s="76" customFormat="1" ht="50" customHeight="1" spans="1:29">
      <c r="A827" s="76" t="s">
        <v>1643</v>
      </c>
      <c r="B827" s="6"/>
      <c r="C827" s="76" t="s">
        <v>30</v>
      </c>
      <c r="D827" s="76" t="s">
        <v>293</v>
      </c>
      <c r="E827" s="76" t="s">
        <v>1644</v>
      </c>
      <c r="F827" s="76" t="s">
        <v>60</v>
      </c>
      <c r="G827" s="76" t="s">
        <v>34</v>
      </c>
      <c r="H827" s="76">
        <f>STOCK[[#This Row],[Precio Final]]</f>
        <v>20</v>
      </c>
      <c r="I827" s="76">
        <f>STOCK[[#This Row],[Precio Venta Ideal (x1.5)]]</f>
        <v>15.99</v>
      </c>
      <c r="J827" s="91">
        <v>1</v>
      </c>
      <c r="K827" s="91">
        <f>SUMIFS(VENTAS[Cantidad],VENTAS[Código del producto Vendido],STOCK[[#This Row],[Code]])</f>
        <v>0</v>
      </c>
      <c r="L827" s="91">
        <f>STOCK[[#This Row],[Entradas]]-STOCK[[#This Row],[Salidas]]</f>
        <v>1</v>
      </c>
      <c r="M827" s="76">
        <f>STOCK[[#This Row],[Precio Final]]*10%</f>
        <v>2</v>
      </c>
      <c r="N827" s="76">
        <v>0</v>
      </c>
      <c r="O827" s="76">
        <v>0</v>
      </c>
      <c r="P827" s="76">
        <v>7.16</v>
      </c>
      <c r="Q827" s="91">
        <v>0</v>
      </c>
      <c r="R827" s="76">
        <v>0</v>
      </c>
      <c r="S827" s="76">
        <v>1.5</v>
      </c>
      <c r="T827" s="76">
        <f>STOCK[[#This Row],[Costo Unitario (USD)]]+STOCK[[#This Row],[Costo Envío (USD)]]+STOCK[[#This Row],[Comisión 10%]]</f>
        <v>10.66</v>
      </c>
      <c r="U827" s="76">
        <f>STOCK[[#This Row],[Costo total]]*1.5</f>
        <v>15.99</v>
      </c>
      <c r="V827" s="76">
        <v>20</v>
      </c>
      <c r="W827" s="76">
        <f>STOCK[[#This Row],[Precio Final]]-STOCK[[#This Row],[Costo total]]</f>
        <v>9.34</v>
      </c>
      <c r="X827" s="76">
        <f>STOCK[[#This Row],[Ganancia Unitaria]]*STOCK[[#This Row],[Salidas]]</f>
        <v>0</v>
      </c>
      <c r="Y827" s="76" t="s">
        <v>1600</v>
      </c>
      <c r="AA827" s="76">
        <f>STOCK[[#This Row],[Costo total]]*STOCK[[#This Row],[Entradas]]</f>
        <v>10.66</v>
      </c>
      <c r="AB827" s="76">
        <f>STOCK[[#This Row],[Stock Actual]]*STOCK[[#This Row],[Costo total]]</f>
        <v>10.66</v>
      </c>
      <c r="AC827" s="76">
        <v>15</v>
      </c>
    </row>
    <row r="828" s="77" customFormat="1" ht="50" customHeight="1" spans="1:28">
      <c r="A828" s="77" t="s">
        <v>1645</v>
      </c>
      <c r="B828" s="6"/>
      <c r="C828" s="77" t="s">
        <v>30</v>
      </c>
      <c r="D828" s="77" t="s">
        <v>301</v>
      </c>
      <c r="E828" s="77" t="s">
        <v>1646</v>
      </c>
      <c r="F828" s="77" t="s">
        <v>210</v>
      </c>
      <c r="G828" s="77" t="s">
        <v>34</v>
      </c>
      <c r="H828" s="77">
        <f>STOCK[[#This Row],[Precio Final]]</f>
        <v>30</v>
      </c>
      <c r="I828" s="77">
        <f>STOCK[[#This Row],[Precio Venta Ideal (x1.5)]]</f>
        <v>31.305</v>
      </c>
      <c r="J828" s="92">
        <v>1</v>
      </c>
      <c r="K828" s="92">
        <f>SUMIFS(VENTAS[Cantidad],VENTAS[Código del producto Vendido],STOCK[[#This Row],[Code]])</f>
        <v>1</v>
      </c>
      <c r="L828" s="92">
        <f>STOCK[[#This Row],[Entradas]]-STOCK[[#This Row],[Salidas]]</f>
        <v>0</v>
      </c>
      <c r="M828" s="77">
        <f>STOCK[[#This Row],[Precio Final]]*10%</f>
        <v>3</v>
      </c>
      <c r="N828" s="77">
        <v>0</v>
      </c>
      <c r="O828" s="77">
        <v>0</v>
      </c>
      <c r="P828" s="77">
        <v>16.37</v>
      </c>
      <c r="Q828" s="92">
        <v>0</v>
      </c>
      <c r="R828" s="77">
        <v>0</v>
      </c>
      <c r="S828" s="77">
        <v>1.5</v>
      </c>
      <c r="T828" s="76">
        <f>STOCK[[#This Row],[Costo Unitario (USD)]]+STOCK[[#This Row],[Costo Envío (USD)]]+STOCK[[#This Row],[Comisión 10%]]</f>
        <v>20.87</v>
      </c>
      <c r="U828" s="77">
        <f>STOCK[[#This Row],[Costo total]]*1.5</f>
        <v>31.305</v>
      </c>
      <c r="V828" s="77">
        <v>30</v>
      </c>
      <c r="W828" s="77">
        <f>STOCK[[#This Row],[Precio Final]]-STOCK[[#This Row],[Costo total]]</f>
        <v>9.13</v>
      </c>
      <c r="X828" s="77">
        <f>STOCK[[#This Row],[Ganancia Unitaria]]*STOCK[[#This Row],[Salidas]]</f>
        <v>9.13</v>
      </c>
      <c r="Y828" s="77" t="s">
        <v>1600</v>
      </c>
      <c r="AA828" s="77">
        <f>STOCK[[#This Row],[Costo total]]*STOCK[[#This Row],[Entradas]]</f>
        <v>20.87</v>
      </c>
      <c r="AB828" s="77">
        <f>STOCK[[#This Row],[Stock Actual]]*STOCK[[#This Row],[Costo total]]</f>
        <v>0</v>
      </c>
    </row>
    <row r="829" s="76" customFormat="1" ht="50" customHeight="1" spans="1:28">
      <c r="A829" s="76" t="s">
        <v>1647</v>
      </c>
      <c r="B829" s="6"/>
      <c r="C829" s="76" t="s">
        <v>30</v>
      </c>
      <c r="D829" s="76" t="s">
        <v>301</v>
      </c>
      <c r="E829" s="76" t="s">
        <v>1646</v>
      </c>
      <c r="F829" s="76" t="s">
        <v>60</v>
      </c>
      <c r="G829" s="76" t="s">
        <v>34</v>
      </c>
      <c r="H829" s="76">
        <f>STOCK[[#This Row],[Precio Final]]</f>
        <v>30</v>
      </c>
      <c r="I829" s="76">
        <f>STOCK[[#This Row],[Precio Venta Ideal (x1.5)]]</f>
        <v>31.305</v>
      </c>
      <c r="J829" s="91">
        <v>1</v>
      </c>
      <c r="K829" s="91">
        <f>SUMIFS(VENTAS[Cantidad],VENTAS[Código del producto Vendido],STOCK[[#This Row],[Code]])</f>
        <v>1</v>
      </c>
      <c r="L829" s="91">
        <f>STOCK[[#This Row],[Entradas]]-STOCK[[#This Row],[Salidas]]</f>
        <v>0</v>
      </c>
      <c r="M829" s="76">
        <f>STOCK[[#This Row],[Precio Final]]*10%</f>
        <v>3</v>
      </c>
      <c r="N829" s="76">
        <v>0</v>
      </c>
      <c r="O829" s="76">
        <v>0</v>
      </c>
      <c r="P829" s="76">
        <v>16.37</v>
      </c>
      <c r="Q829" s="91">
        <v>0</v>
      </c>
      <c r="R829" s="76">
        <v>0</v>
      </c>
      <c r="S829" s="76">
        <v>1.5</v>
      </c>
      <c r="T829" s="76">
        <f>STOCK[[#This Row],[Costo Unitario (USD)]]+STOCK[[#This Row],[Costo Envío (USD)]]+STOCK[[#This Row],[Comisión 10%]]</f>
        <v>20.87</v>
      </c>
      <c r="U829" s="76">
        <f>STOCK[[#This Row],[Costo total]]*1.5</f>
        <v>31.305</v>
      </c>
      <c r="V829" s="76">
        <v>30</v>
      </c>
      <c r="W829" s="76">
        <f>STOCK[[#This Row],[Precio Final]]-STOCK[[#This Row],[Costo total]]</f>
        <v>9.13</v>
      </c>
      <c r="X829" s="76">
        <f>STOCK[[#This Row],[Ganancia Unitaria]]*STOCK[[#This Row],[Salidas]]</f>
        <v>9.13</v>
      </c>
      <c r="Y829" s="76" t="s">
        <v>1600</v>
      </c>
      <c r="AA829" s="76">
        <f>STOCK[[#This Row],[Costo total]]*STOCK[[#This Row],[Entradas]]</f>
        <v>20.87</v>
      </c>
      <c r="AB829" s="76">
        <f>STOCK[[#This Row],[Stock Actual]]*STOCK[[#This Row],[Costo total]]</f>
        <v>0</v>
      </c>
    </row>
    <row r="830" s="77" customFormat="1" ht="50" customHeight="1" spans="1:29">
      <c r="A830" s="77" t="s">
        <v>1648</v>
      </c>
      <c r="B830" s="6"/>
      <c r="C830" s="77" t="s">
        <v>30</v>
      </c>
      <c r="D830" s="77" t="s">
        <v>215</v>
      </c>
      <c r="E830" s="77" t="s">
        <v>1649</v>
      </c>
      <c r="F830" s="77" t="s">
        <v>1466</v>
      </c>
      <c r="G830" s="77" t="s">
        <v>1599</v>
      </c>
      <c r="H830" s="77">
        <f>STOCK[[#This Row],[Precio Final]]</f>
        <v>25</v>
      </c>
      <c r="I830" s="77">
        <f>STOCK[[#This Row],[Precio Venta Ideal (x1.5)]]</f>
        <v>21.09</v>
      </c>
      <c r="J830" s="92">
        <v>1</v>
      </c>
      <c r="K830" s="92">
        <f>SUMIFS(VENTAS[Cantidad],VENTAS[Código del producto Vendido],STOCK[[#This Row],[Code]])</f>
        <v>0</v>
      </c>
      <c r="L830" s="92">
        <f>STOCK[[#This Row],[Entradas]]-STOCK[[#This Row],[Salidas]]</f>
        <v>1</v>
      </c>
      <c r="M830" s="77">
        <f>STOCK[[#This Row],[Precio Final]]*10%</f>
        <v>2.5</v>
      </c>
      <c r="N830" s="77">
        <v>0</v>
      </c>
      <c r="O830" s="77">
        <v>0</v>
      </c>
      <c r="P830" s="77">
        <v>10.06</v>
      </c>
      <c r="Q830" s="92">
        <v>0</v>
      </c>
      <c r="R830" s="77">
        <v>0</v>
      </c>
      <c r="S830" s="77">
        <v>1.5</v>
      </c>
      <c r="T830" s="76">
        <f>STOCK[[#This Row],[Costo Unitario (USD)]]+STOCK[[#This Row],[Costo Envío (USD)]]+STOCK[[#This Row],[Comisión 10%]]</f>
        <v>14.06</v>
      </c>
      <c r="U830" s="77">
        <f>STOCK[[#This Row],[Costo total]]*1.5</f>
        <v>21.09</v>
      </c>
      <c r="V830" s="77">
        <v>25</v>
      </c>
      <c r="W830" s="77">
        <f>STOCK[[#This Row],[Precio Final]]-STOCK[[#This Row],[Costo total]]</f>
        <v>10.94</v>
      </c>
      <c r="X830" s="77">
        <f>STOCK[[#This Row],[Ganancia Unitaria]]*STOCK[[#This Row],[Salidas]]</f>
        <v>0</v>
      </c>
      <c r="Y830" s="77" t="s">
        <v>1600</v>
      </c>
      <c r="AA830" s="77">
        <f>STOCK[[#This Row],[Costo total]]*STOCK[[#This Row],[Entradas]]</f>
        <v>14.06</v>
      </c>
      <c r="AB830" s="77">
        <f>STOCK[[#This Row],[Stock Actual]]*STOCK[[#This Row],[Costo total]]</f>
        <v>14.06</v>
      </c>
      <c r="AC830" s="77">
        <v>20</v>
      </c>
    </row>
    <row r="831" s="76" customFormat="1" ht="50" customHeight="1" spans="1:28">
      <c r="A831" s="76" t="s">
        <v>1650</v>
      </c>
      <c r="B831" s="6"/>
      <c r="C831" s="76" t="s">
        <v>30</v>
      </c>
      <c r="D831" s="76" t="s">
        <v>42</v>
      </c>
      <c r="E831" s="76" t="s">
        <v>1651</v>
      </c>
      <c r="F831" s="76" t="s">
        <v>86</v>
      </c>
      <c r="G831" s="76" t="s">
        <v>1599</v>
      </c>
      <c r="H831" s="76">
        <f>STOCK[[#This Row],[Precio Final]]</f>
        <v>20</v>
      </c>
      <c r="I831" s="76">
        <f>STOCK[[#This Row],[Precio Venta Ideal (x1.5)]]</f>
        <v>20.34</v>
      </c>
      <c r="J831" s="91">
        <v>1</v>
      </c>
      <c r="K831" s="91">
        <f>SUMIFS(VENTAS[Cantidad],VENTAS[Código del producto Vendido],STOCK[[#This Row],[Code]])</f>
        <v>1</v>
      </c>
      <c r="L831" s="91">
        <f>STOCK[[#This Row],[Entradas]]-STOCK[[#This Row],[Salidas]]</f>
        <v>0</v>
      </c>
      <c r="M831" s="76">
        <f>STOCK[[#This Row],[Precio Final]]*10%</f>
        <v>2</v>
      </c>
      <c r="N831" s="76">
        <v>0</v>
      </c>
      <c r="O831" s="76">
        <v>0</v>
      </c>
      <c r="P831" s="76">
        <v>10.06</v>
      </c>
      <c r="Q831" s="91">
        <v>0</v>
      </c>
      <c r="R831" s="76">
        <v>0</v>
      </c>
      <c r="S831" s="76">
        <v>1.5</v>
      </c>
      <c r="T831" s="76">
        <f>STOCK[[#This Row],[Costo Unitario (USD)]]+STOCK[[#This Row],[Costo Envío (USD)]]+STOCK[[#This Row],[Comisión 10%]]</f>
        <v>13.56</v>
      </c>
      <c r="U831" s="76">
        <f>STOCK[[#This Row],[Costo total]]*1.5</f>
        <v>20.34</v>
      </c>
      <c r="V831" s="76">
        <v>20</v>
      </c>
      <c r="W831" s="76">
        <f>STOCK[[#This Row],[Precio Final]]-STOCK[[#This Row],[Costo total]]</f>
        <v>6.44</v>
      </c>
      <c r="X831" s="76">
        <f>STOCK[[#This Row],[Ganancia Unitaria]]*STOCK[[#This Row],[Salidas]]</f>
        <v>6.44</v>
      </c>
      <c r="Y831" s="76" t="s">
        <v>1600</v>
      </c>
      <c r="AA831" s="76">
        <f>STOCK[[#This Row],[Costo total]]*STOCK[[#This Row],[Entradas]]</f>
        <v>13.56</v>
      </c>
      <c r="AB831" s="76">
        <f>STOCK[[#This Row],[Stock Actual]]*STOCK[[#This Row],[Costo total]]</f>
        <v>0</v>
      </c>
    </row>
    <row r="832" s="77" customFormat="1" ht="50" customHeight="1" spans="1:28">
      <c r="A832" s="77" t="s">
        <v>1652</v>
      </c>
      <c r="B832" s="6"/>
      <c r="C832" s="77" t="s">
        <v>30</v>
      </c>
      <c r="D832" s="77" t="s">
        <v>42</v>
      </c>
      <c r="E832" s="77" t="s">
        <v>1653</v>
      </c>
      <c r="F832" s="77" t="s">
        <v>60</v>
      </c>
      <c r="G832" s="77" t="s">
        <v>1599</v>
      </c>
      <c r="H832" s="77">
        <f>STOCK[[#This Row],[Precio Final]]</f>
        <v>28</v>
      </c>
      <c r="I832" s="77">
        <f>STOCK[[#This Row],[Precio Venta Ideal (x1.5)]]</f>
        <v>26.775</v>
      </c>
      <c r="J832" s="92">
        <v>1</v>
      </c>
      <c r="K832" s="92">
        <f>SUMIFS(VENTAS[Cantidad],VENTAS[Código del producto Vendido],STOCK[[#This Row],[Code]])</f>
        <v>1</v>
      </c>
      <c r="L832" s="92">
        <f>STOCK[[#This Row],[Entradas]]-STOCK[[#This Row],[Salidas]]</f>
        <v>0</v>
      </c>
      <c r="M832" s="77">
        <f>STOCK[[#This Row],[Precio Final]]*10%</f>
        <v>2.8</v>
      </c>
      <c r="N832" s="77">
        <v>0</v>
      </c>
      <c r="O832" s="77">
        <v>0</v>
      </c>
      <c r="P832" s="77">
        <v>13.55</v>
      </c>
      <c r="Q832" s="92">
        <v>0</v>
      </c>
      <c r="R832" s="77">
        <v>0</v>
      </c>
      <c r="S832" s="77">
        <v>1.5</v>
      </c>
      <c r="T832" s="76">
        <f>STOCK[[#This Row],[Costo Unitario (USD)]]+STOCK[[#This Row],[Costo Envío (USD)]]+STOCK[[#This Row],[Comisión 10%]]</f>
        <v>17.85</v>
      </c>
      <c r="U832" s="77">
        <f>STOCK[[#This Row],[Costo total]]*1.5</f>
        <v>26.775</v>
      </c>
      <c r="V832" s="77">
        <v>28</v>
      </c>
      <c r="W832" s="77">
        <f>STOCK[[#This Row],[Precio Final]]-STOCK[[#This Row],[Costo total]]</f>
        <v>10.15</v>
      </c>
      <c r="X832" s="77">
        <f>STOCK[[#This Row],[Ganancia Unitaria]]*STOCK[[#This Row],[Salidas]]</f>
        <v>10.15</v>
      </c>
      <c r="Y832" s="77" t="s">
        <v>1600</v>
      </c>
      <c r="AA832" s="77">
        <f>STOCK[[#This Row],[Costo total]]*STOCK[[#This Row],[Entradas]]</f>
        <v>17.85</v>
      </c>
      <c r="AB832" s="77">
        <f>STOCK[[#This Row],[Stock Actual]]*STOCK[[#This Row],[Costo total]]</f>
        <v>0</v>
      </c>
    </row>
    <row r="833" s="76" customFormat="1" ht="50" customHeight="1" spans="1:28">
      <c r="A833" s="76" t="s">
        <v>1654</v>
      </c>
      <c r="B833" s="6"/>
      <c r="C833" s="76" t="s">
        <v>30</v>
      </c>
      <c r="D833" s="76" t="s">
        <v>42</v>
      </c>
      <c r="E833" s="76" t="s">
        <v>1655</v>
      </c>
      <c r="F833" s="76" t="s">
        <v>210</v>
      </c>
      <c r="G833" s="76" t="s">
        <v>1599</v>
      </c>
      <c r="H833" s="76">
        <f>STOCK[[#This Row],[Precio Final]]</f>
        <v>28</v>
      </c>
      <c r="I833" s="76">
        <f>STOCK[[#This Row],[Precio Venta Ideal (x1.5)]]</f>
        <v>26.775</v>
      </c>
      <c r="J833" s="91">
        <v>1</v>
      </c>
      <c r="K833" s="91">
        <f>SUMIFS(VENTAS[Cantidad],VENTAS[Código del producto Vendido],STOCK[[#This Row],[Code]])</f>
        <v>1</v>
      </c>
      <c r="L833" s="91">
        <f>STOCK[[#This Row],[Entradas]]-STOCK[[#This Row],[Salidas]]</f>
        <v>0</v>
      </c>
      <c r="M833" s="76">
        <f>STOCK[[#This Row],[Precio Final]]*10%</f>
        <v>2.8</v>
      </c>
      <c r="N833" s="76">
        <v>0</v>
      </c>
      <c r="O833" s="76">
        <v>0</v>
      </c>
      <c r="P833" s="76">
        <v>13.55</v>
      </c>
      <c r="Q833" s="91">
        <v>0</v>
      </c>
      <c r="R833" s="76">
        <v>0</v>
      </c>
      <c r="S833" s="76">
        <v>1.5</v>
      </c>
      <c r="T833" s="76">
        <f>STOCK[[#This Row],[Costo Unitario (USD)]]+STOCK[[#This Row],[Costo Envío (USD)]]+STOCK[[#This Row],[Comisión 10%]]</f>
        <v>17.85</v>
      </c>
      <c r="U833" s="76">
        <f>STOCK[[#This Row],[Costo total]]*1.5</f>
        <v>26.775</v>
      </c>
      <c r="V833" s="76">
        <v>28</v>
      </c>
      <c r="W833" s="76">
        <f>STOCK[[#This Row],[Precio Final]]-STOCK[[#This Row],[Costo total]]</f>
        <v>10.15</v>
      </c>
      <c r="X833" s="76">
        <f>STOCK[[#This Row],[Ganancia Unitaria]]*STOCK[[#This Row],[Salidas]]</f>
        <v>10.15</v>
      </c>
      <c r="Y833" s="76" t="s">
        <v>1600</v>
      </c>
      <c r="AA833" s="76">
        <f>STOCK[[#This Row],[Costo total]]*STOCK[[#This Row],[Entradas]]</f>
        <v>17.85</v>
      </c>
      <c r="AB833" s="76">
        <f>STOCK[[#This Row],[Stock Actual]]*STOCK[[#This Row],[Costo total]]</f>
        <v>0</v>
      </c>
    </row>
    <row r="834" s="77" customFormat="1" ht="50" customHeight="1" spans="1:28">
      <c r="A834" s="77" t="s">
        <v>1656</v>
      </c>
      <c r="B834" s="6"/>
      <c r="C834" s="77" t="s">
        <v>30</v>
      </c>
      <c r="D834" s="77" t="s">
        <v>173</v>
      </c>
      <c r="E834" s="77" t="s">
        <v>1657</v>
      </c>
      <c r="F834" s="77" t="s">
        <v>38</v>
      </c>
      <c r="G834" s="77" t="s">
        <v>1599</v>
      </c>
      <c r="H834" s="77">
        <f>STOCK[[#This Row],[Precio Final]]</f>
        <v>15</v>
      </c>
      <c r="I834" s="77">
        <f>STOCK[[#This Row],[Precio Venta Ideal (x1.5)]]</f>
        <v>10.92</v>
      </c>
      <c r="J834" s="92">
        <v>1</v>
      </c>
      <c r="K834" s="92">
        <f>SUMIFS(VENTAS[Cantidad],VENTAS[Código del producto Vendido],STOCK[[#This Row],[Code]])</f>
        <v>1</v>
      </c>
      <c r="L834" s="92">
        <f>STOCK[[#This Row],[Entradas]]-STOCK[[#This Row],[Salidas]]</f>
        <v>0</v>
      </c>
      <c r="M834" s="77">
        <f>STOCK[[#This Row],[Precio Final]]*10%</f>
        <v>1.5</v>
      </c>
      <c r="N834" s="77">
        <v>0</v>
      </c>
      <c r="O834" s="77">
        <v>0</v>
      </c>
      <c r="P834" s="77">
        <v>4.28</v>
      </c>
      <c r="Q834" s="92">
        <v>0</v>
      </c>
      <c r="R834" s="77">
        <v>0</v>
      </c>
      <c r="S834" s="77">
        <v>1.5</v>
      </c>
      <c r="T834" s="76">
        <f>STOCK[[#This Row],[Costo Unitario (USD)]]+STOCK[[#This Row],[Costo Envío (USD)]]+STOCK[[#This Row],[Comisión 10%]]</f>
        <v>7.28</v>
      </c>
      <c r="U834" s="77">
        <f>STOCK[[#This Row],[Costo total]]*1.5</f>
        <v>10.92</v>
      </c>
      <c r="V834" s="77">
        <v>15</v>
      </c>
      <c r="W834" s="77">
        <f>STOCK[[#This Row],[Precio Final]]-STOCK[[#This Row],[Costo total]]</f>
        <v>7.72</v>
      </c>
      <c r="X834" s="77">
        <f>STOCK[[#This Row],[Ganancia Unitaria]]*STOCK[[#This Row],[Salidas]]</f>
        <v>7.72</v>
      </c>
      <c r="Y834" s="77" t="s">
        <v>1600</v>
      </c>
      <c r="AA834" s="77">
        <f>STOCK[[#This Row],[Costo total]]*STOCK[[#This Row],[Entradas]]</f>
        <v>7.28</v>
      </c>
      <c r="AB834" s="77">
        <f>STOCK[[#This Row],[Stock Actual]]*STOCK[[#This Row],[Costo total]]</f>
        <v>0</v>
      </c>
    </row>
    <row r="835" s="76" customFormat="1" ht="50" customHeight="1" spans="1:28">
      <c r="A835" s="76" t="s">
        <v>1658</v>
      </c>
      <c r="B835" s="6"/>
      <c r="C835" s="76" t="s">
        <v>30</v>
      </c>
      <c r="D835" s="76" t="s">
        <v>173</v>
      </c>
      <c r="E835" s="76" t="s">
        <v>1657</v>
      </c>
      <c r="F835" s="76" t="s">
        <v>47</v>
      </c>
      <c r="G835" s="76" t="s">
        <v>1599</v>
      </c>
      <c r="H835" s="76">
        <f>STOCK[[#This Row],[Precio Final]]</f>
        <v>15</v>
      </c>
      <c r="I835" s="76">
        <f>STOCK[[#This Row],[Precio Venta Ideal (x1.5)]]</f>
        <v>10.92</v>
      </c>
      <c r="J835" s="91">
        <v>1</v>
      </c>
      <c r="K835" s="91">
        <f>SUMIFS(VENTAS[Cantidad],VENTAS[Código del producto Vendido],STOCK[[#This Row],[Code]])</f>
        <v>1</v>
      </c>
      <c r="L835" s="91">
        <f>STOCK[[#This Row],[Entradas]]-STOCK[[#This Row],[Salidas]]</f>
        <v>0</v>
      </c>
      <c r="M835" s="76">
        <f>STOCK[[#This Row],[Precio Final]]*10%</f>
        <v>1.5</v>
      </c>
      <c r="N835" s="76">
        <v>0</v>
      </c>
      <c r="O835" s="76">
        <v>0</v>
      </c>
      <c r="P835" s="76">
        <v>4.28</v>
      </c>
      <c r="Q835" s="91">
        <v>0</v>
      </c>
      <c r="R835" s="76">
        <v>0</v>
      </c>
      <c r="S835" s="76">
        <v>1.5</v>
      </c>
      <c r="T835" s="76">
        <f>STOCK[[#This Row],[Costo Unitario (USD)]]+STOCK[[#This Row],[Costo Envío (USD)]]+STOCK[[#This Row],[Comisión 10%]]</f>
        <v>7.28</v>
      </c>
      <c r="U835" s="76">
        <f>STOCK[[#This Row],[Costo total]]*1.5</f>
        <v>10.92</v>
      </c>
      <c r="V835" s="76">
        <v>15</v>
      </c>
      <c r="W835" s="76">
        <f>STOCK[[#This Row],[Precio Final]]-STOCK[[#This Row],[Costo total]]</f>
        <v>7.72</v>
      </c>
      <c r="X835" s="76">
        <f>STOCK[[#This Row],[Ganancia Unitaria]]*STOCK[[#This Row],[Salidas]]</f>
        <v>7.72</v>
      </c>
      <c r="Y835" s="76" t="s">
        <v>1600</v>
      </c>
      <c r="AA835" s="76">
        <f>STOCK[[#This Row],[Costo total]]*STOCK[[#This Row],[Entradas]]</f>
        <v>7.28</v>
      </c>
      <c r="AB835" s="76">
        <f>STOCK[[#This Row],[Stock Actual]]*STOCK[[#This Row],[Costo total]]</f>
        <v>0</v>
      </c>
    </row>
    <row r="836" s="77" customFormat="1" ht="50" customHeight="1" spans="1:28">
      <c r="A836" s="77" t="s">
        <v>1659</v>
      </c>
      <c r="B836" s="6"/>
      <c r="C836" s="77" t="s">
        <v>30</v>
      </c>
      <c r="D836" s="77" t="s">
        <v>173</v>
      </c>
      <c r="E836" s="77" t="s">
        <v>1657</v>
      </c>
      <c r="F836" s="77" t="s">
        <v>60</v>
      </c>
      <c r="G836" s="77" t="s">
        <v>1599</v>
      </c>
      <c r="H836" s="77">
        <f>STOCK[[#This Row],[Precio Final]]</f>
        <v>15</v>
      </c>
      <c r="I836" s="77">
        <f>STOCK[[#This Row],[Precio Venta Ideal (x1.5)]]</f>
        <v>10.92</v>
      </c>
      <c r="J836" s="92">
        <v>1</v>
      </c>
      <c r="K836" s="92">
        <f>SUMIFS(VENTAS[Cantidad],VENTAS[Código del producto Vendido],STOCK[[#This Row],[Code]])</f>
        <v>1</v>
      </c>
      <c r="L836" s="92">
        <f>STOCK[[#This Row],[Entradas]]-STOCK[[#This Row],[Salidas]]</f>
        <v>0</v>
      </c>
      <c r="M836" s="77">
        <f>STOCK[[#This Row],[Precio Final]]*10%</f>
        <v>1.5</v>
      </c>
      <c r="N836" s="77">
        <v>0</v>
      </c>
      <c r="O836" s="77">
        <v>0</v>
      </c>
      <c r="P836" s="77">
        <v>4.28</v>
      </c>
      <c r="Q836" s="92">
        <v>0</v>
      </c>
      <c r="R836" s="77">
        <v>0</v>
      </c>
      <c r="S836" s="77">
        <v>1.5</v>
      </c>
      <c r="T836" s="76">
        <f>STOCK[[#This Row],[Costo Unitario (USD)]]+STOCK[[#This Row],[Costo Envío (USD)]]+STOCK[[#This Row],[Comisión 10%]]</f>
        <v>7.28</v>
      </c>
      <c r="U836" s="77">
        <f>STOCK[[#This Row],[Costo total]]*1.5</f>
        <v>10.92</v>
      </c>
      <c r="V836" s="77">
        <v>15</v>
      </c>
      <c r="W836" s="77">
        <f>STOCK[[#This Row],[Precio Final]]-STOCK[[#This Row],[Costo total]]</f>
        <v>7.72</v>
      </c>
      <c r="X836" s="77">
        <f>STOCK[[#This Row],[Ganancia Unitaria]]*STOCK[[#This Row],[Salidas]]</f>
        <v>7.72</v>
      </c>
      <c r="Y836" s="77" t="s">
        <v>1600</v>
      </c>
      <c r="AA836" s="77">
        <f>STOCK[[#This Row],[Costo total]]*STOCK[[#This Row],[Entradas]]</f>
        <v>7.28</v>
      </c>
      <c r="AB836" s="77">
        <f>STOCK[[#This Row],[Stock Actual]]*STOCK[[#This Row],[Costo total]]</f>
        <v>0</v>
      </c>
    </row>
    <row r="837" s="76" customFormat="1" ht="50" customHeight="1" spans="1:28">
      <c r="A837" s="76" t="s">
        <v>1660</v>
      </c>
      <c r="B837" s="6"/>
      <c r="C837" s="76" t="s">
        <v>30</v>
      </c>
      <c r="D837" s="76" t="s">
        <v>173</v>
      </c>
      <c r="E837" s="76" t="s">
        <v>1661</v>
      </c>
      <c r="F837" s="76" t="s">
        <v>60</v>
      </c>
      <c r="G837" s="76" t="s">
        <v>1599</v>
      </c>
      <c r="H837" s="76">
        <f>STOCK[[#This Row],[Precio Final]]</f>
        <v>12</v>
      </c>
      <c r="I837" s="76">
        <f>STOCK[[#This Row],[Precio Venta Ideal (x1.5)]]</f>
        <v>11.355</v>
      </c>
      <c r="J837" s="91">
        <v>1</v>
      </c>
      <c r="K837" s="91">
        <f>SUMIFS(VENTAS[Cantidad],VENTAS[Código del producto Vendido],STOCK[[#This Row],[Code]])</f>
        <v>1</v>
      </c>
      <c r="L837" s="91">
        <f>STOCK[[#This Row],[Entradas]]-STOCK[[#This Row],[Salidas]]</f>
        <v>0</v>
      </c>
      <c r="M837" s="76">
        <f>STOCK[[#This Row],[Precio Final]]*10%</f>
        <v>1.2</v>
      </c>
      <c r="N837" s="76">
        <v>0</v>
      </c>
      <c r="O837" s="76">
        <v>0</v>
      </c>
      <c r="P837" s="76">
        <v>4.87</v>
      </c>
      <c r="Q837" s="91">
        <v>0</v>
      </c>
      <c r="R837" s="76">
        <v>0</v>
      </c>
      <c r="S837" s="76">
        <v>1.5</v>
      </c>
      <c r="T837" s="76">
        <f>STOCK[[#This Row],[Costo Unitario (USD)]]+STOCK[[#This Row],[Costo Envío (USD)]]+STOCK[[#This Row],[Comisión 10%]]</f>
        <v>7.57</v>
      </c>
      <c r="U837" s="76">
        <f>STOCK[[#This Row],[Costo total]]*1.5</f>
        <v>11.355</v>
      </c>
      <c r="V837" s="76">
        <v>12</v>
      </c>
      <c r="W837" s="76">
        <f>STOCK[[#This Row],[Precio Final]]-STOCK[[#This Row],[Costo total]]</f>
        <v>4.43</v>
      </c>
      <c r="X837" s="76">
        <f>STOCK[[#This Row],[Ganancia Unitaria]]*STOCK[[#This Row],[Salidas]]</f>
        <v>4.43</v>
      </c>
      <c r="Y837" s="76" t="s">
        <v>1600</v>
      </c>
      <c r="AA837" s="76">
        <f>STOCK[[#This Row],[Costo total]]*STOCK[[#This Row],[Entradas]]</f>
        <v>7.57</v>
      </c>
      <c r="AB837" s="76">
        <f>STOCK[[#This Row],[Stock Actual]]*STOCK[[#This Row],[Costo total]]</f>
        <v>0</v>
      </c>
    </row>
    <row r="838" s="77" customFormat="1" ht="50" customHeight="1" spans="1:28">
      <c r="A838" s="77" t="s">
        <v>1662</v>
      </c>
      <c r="B838" s="6"/>
      <c r="C838" s="77" t="s">
        <v>30</v>
      </c>
      <c r="D838" s="77" t="s">
        <v>173</v>
      </c>
      <c r="E838" s="77" t="s">
        <v>1663</v>
      </c>
      <c r="F838" s="77" t="s">
        <v>47</v>
      </c>
      <c r="G838" s="77" t="s">
        <v>1599</v>
      </c>
      <c r="H838" s="77">
        <f>STOCK[[#This Row],[Precio Final]]</f>
        <v>12</v>
      </c>
      <c r="I838" s="77">
        <f>STOCK[[#This Row],[Precio Venta Ideal (x1.5)]]</f>
        <v>11.355</v>
      </c>
      <c r="J838" s="92">
        <v>1</v>
      </c>
      <c r="K838" s="92">
        <f>SUMIFS(VENTAS[Cantidad],VENTAS[Código del producto Vendido],STOCK[[#This Row],[Code]])</f>
        <v>1</v>
      </c>
      <c r="L838" s="92">
        <f>STOCK[[#This Row],[Entradas]]-STOCK[[#This Row],[Salidas]]</f>
        <v>0</v>
      </c>
      <c r="M838" s="77">
        <f>STOCK[[#This Row],[Precio Final]]*10%</f>
        <v>1.2</v>
      </c>
      <c r="N838" s="77">
        <v>0</v>
      </c>
      <c r="O838" s="77">
        <v>0</v>
      </c>
      <c r="P838" s="77">
        <v>4.87</v>
      </c>
      <c r="Q838" s="92">
        <v>0</v>
      </c>
      <c r="R838" s="77">
        <v>0</v>
      </c>
      <c r="S838" s="77">
        <v>1.5</v>
      </c>
      <c r="T838" s="76">
        <f>STOCK[[#This Row],[Costo Unitario (USD)]]+STOCK[[#This Row],[Costo Envío (USD)]]+STOCK[[#This Row],[Comisión 10%]]</f>
        <v>7.57</v>
      </c>
      <c r="U838" s="77">
        <f>STOCK[[#This Row],[Costo total]]*1.5</f>
        <v>11.355</v>
      </c>
      <c r="V838" s="77">
        <v>12</v>
      </c>
      <c r="W838" s="77">
        <f>STOCK[[#This Row],[Precio Final]]-STOCK[[#This Row],[Costo total]]</f>
        <v>4.43</v>
      </c>
      <c r="X838" s="77">
        <f>STOCK[[#This Row],[Ganancia Unitaria]]*STOCK[[#This Row],[Salidas]]</f>
        <v>4.43</v>
      </c>
      <c r="Y838" s="77" t="s">
        <v>1600</v>
      </c>
      <c r="AA838" s="77">
        <f>STOCK[[#This Row],[Costo total]]*STOCK[[#This Row],[Entradas]]</f>
        <v>7.57</v>
      </c>
      <c r="AB838" s="77">
        <f>STOCK[[#This Row],[Stock Actual]]*STOCK[[#This Row],[Costo total]]</f>
        <v>0</v>
      </c>
    </row>
    <row r="839" s="76" customFormat="1" ht="50" customHeight="1" spans="1:28">
      <c r="A839" s="76" t="s">
        <v>1664</v>
      </c>
      <c r="B839" s="6"/>
      <c r="C839" s="76" t="s">
        <v>30</v>
      </c>
      <c r="D839" s="76" t="s">
        <v>301</v>
      </c>
      <c r="E839" s="76" t="s">
        <v>1665</v>
      </c>
      <c r="F839" s="76" t="s">
        <v>47</v>
      </c>
      <c r="G839" s="76" t="s">
        <v>1599</v>
      </c>
      <c r="H839" s="76">
        <f>STOCK[[#This Row],[Precio Final]]</f>
        <v>28</v>
      </c>
      <c r="I839" s="76">
        <f>STOCK[[#This Row],[Precio Venta Ideal (x1.5)]]</f>
        <v>32.25</v>
      </c>
      <c r="J839" s="91">
        <v>1</v>
      </c>
      <c r="K839" s="91">
        <f>SUMIFS(VENTAS[Cantidad],VENTAS[Código del producto Vendido],STOCK[[#This Row],[Code]])</f>
        <v>1</v>
      </c>
      <c r="L839" s="91">
        <f>STOCK[[#This Row],[Entradas]]-STOCK[[#This Row],[Salidas]]</f>
        <v>0</v>
      </c>
      <c r="M839" s="76">
        <f>STOCK[[#This Row],[Precio Final]]*10%</f>
        <v>2.8</v>
      </c>
      <c r="N839" s="76">
        <v>0</v>
      </c>
      <c r="O839" s="76">
        <v>0</v>
      </c>
      <c r="P839" s="76">
        <v>17.2</v>
      </c>
      <c r="Q839" s="91">
        <v>0</v>
      </c>
      <c r="R839" s="76">
        <v>0</v>
      </c>
      <c r="S839" s="76">
        <v>1.5</v>
      </c>
      <c r="T839" s="76">
        <f>STOCK[[#This Row],[Costo Unitario (USD)]]+STOCK[[#This Row],[Costo Envío (USD)]]+STOCK[[#This Row],[Comisión 10%]]</f>
        <v>21.5</v>
      </c>
      <c r="U839" s="76">
        <f>STOCK[[#This Row],[Costo total]]*1.5</f>
        <v>32.25</v>
      </c>
      <c r="V839" s="76">
        <v>28</v>
      </c>
      <c r="W839" s="76">
        <f>STOCK[[#This Row],[Precio Final]]-STOCK[[#This Row],[Costo total]]</f>
        <v>6.5</v>
      </c>
      <c r="X839" s="76">
        <f>STOCK[[#This Row],[Ganancia Unitaria]]*STOCK[[#This Row],[Salidas]]</f>
        <v>6.5</v>
      </c>
      <c r="Y839" s="76" t="s">
        <v>1600</v>
      </c>
      <c r="AA839" s="76">
        <f>STOCK[[#This Row],[Costo total]]*STOCK[[#This Row],[Entradas]]</f>
        <v>21.5</v>
      </c>
      <c r="AB839" s="76">
        <f>STOCK[[#This Row],[Stock Actual]]*STOCK[[#This Row],[Costo total]]</f>
        <v>0</v>
      </c>
    </row>
    <row r="840" s="77" customFormat="1" ht="50" customHeight="1" spans="1:28">
      <c r="A840" s="77" t="s">
        <v>1666</v>
      </c>
      <c r="B840" s="6"/>
      <c r="C840" s="77" t="s">
        <v>30</v>
      </c>
      <c r="D840" s="77" t="s">
        <v>212</v>
      </c>
      <c r="E840" s="77" t="s">
        <v>1667</v>
      </c>
      <c r="F840" s="77" t="s">
        <v>40</v>
      </c>
      <c r="G840" s="77" t="s">
        <v>1599</v>
      </c>
      <c r="H840" s="77">
        <f>STOCK[[#This Row],[Precio Final]]</f>
        <v>23</v>
      </c>
      <c r="I840" s="77">
        <f>STOCK[[#This Row],[Precio Venta Ideal (x1.5)]]</f>
        <v>25.425</v>
      </c>
      <c r="J840" s="92">
        <v>1</v>
      </c>
      <c r="K840" s="92">
        <f>SUMIFS(VENTAS[Cantidad],VENTAS[Código del producto Vendido],STOCK[[#This Row],[Code]])</f>
        <v>1</v>
      </c>
      <c r="L840" s="92">
        <f>STOCK[[#This Row],[Entradas]]-STOCK[[#This Row],[Salidas]]</f>
        <v>0</v>
      </c>
      <c r="M840" s="77">
        <f>STOCK[[#This Row],[Precio Final]]*10%</f>
        <v>2.3</v>
      </c>
      <c r="N840" s="77">
        <v>0</v>
      </c>
      <c r="O840" s="77">
        <v>0</v>
      </c>
      <c r="P840" s="77">
        <v>13.15</v>
      </c>
      <c r="Q840" s="92">
        <v>0</v>
      </c>
      <c r="R840" s="77">
        <v>0</v>
      </c>
      <c r="S840" s="77">
        <v>1.5</v>
      </c>
      <c r="T840" s="76">
        <f>STOCK[[#This Row],[Costo Unitario (USD)]]+STOCK[[#This Row],[Costo Envío (USD)]]+STOCK[[#This Row],[Comisión 10%]]</f>
        <v>16.95</v>
      </c>
      <c r="U840" s="77">
        <f>STOCK[[#This Row],[Costo total]]*1.5</f>
        <v>25.425</v>
      </c>
      <c r="V840" s="77">
        <v>23</v>
      </c>
      <c r="W840" s="77">
        <f>STOCK[[#This Row],[Precio Final]]-STOCK[[#This Row],[Costo total]]</f>
        <v>6.05</v>
      </c>
      <c r="X840" s="77">
        <f>STOCK[[#This Row],[Ganancia Unitaria]]*STOCK[[#This Row],[Salidas]]</f>
        <v>6.05</v>
      </c>
      <c r="Y840" s="77" t="s">
        <v>1600</v>
      </c>
      <c r="AA840" s="77">
        <f>STOCK[[#This Row],[Costo total]]*STOCK[[#This Row],[Entradas]]</f>
        <v>16.95</v>
      </c>
      <c r="AB840" s="77">
        <f>STOCK[[#This Row],[Stock Actual]]*STOCK[[#This Row],[Costo total]]</f>
        <v>0</v>
      </c>
    </row>
    <row r="841" s="76" customFormat="1" ht="50" customHeight="1" spans="1:28">
      <c r="A841" s="76" t="s">
        <v>1668</v>
      </c>
      <c r="B841" s="6"/>
      <c r="C841" s="76" t="s">
        <v>30</v>
      </c>
      <c r="D841" s="76" t="s">
        <v>287</v>
      </c>
      <c r="E841" s="76" t="s">
        <v>1669</v>
      </c>
      <c r="F841" s="76" t="s">
        <v>38</v>
      </c>
      <c r="G841" s="76" t="s">
        <v>1599</v>
      </c>
      <c r="H841" s="76">
        <f>STOCK[[#This Row],[Precio Final]]</f>
        <v>25</v>
      </c>
      <c r="I841" s="76">
        <f>STOCK[[#This Row],[Precio Venta Ideal (x1.5)]]</f>
        <v>24.705</v>
      </c>
      <c r="J841" s="91">
        <v>1</v>
      </c>
      <c r="K841" s="91">
        <f>SUMIFS(VENTAS[Cantidad],VENTAS[Código del producto Vendido],STOCK[[#This Row],[Code]])</f>
        <v>1</v>
      </c>
      <c r="L841" s="91">
        <f>STOCK[[#This Row],[Entradas]]-STOCK[[#This Row],[Salidas]]</f>
        <v>0</v>
      </c>
      <c r="M841" s="76">
        <f>STOCK[[#This Row],[Precio Final]]*10%</f>
        <v>2.5</v>
      </c>
      <c r="N841" s="76">
        <v>0</v>
      </c>
      <c r="O841" s="76">
        <v>0</v>
      </c>
      <c r="P841" s="76">
        <v>12.47</v>
      </c>
      <c r="Q841" s="91">
        <v>0</v>
      </c>
      <c r="R841" s="76">
        <v>0</v>
      </c>
      <c r="S841" s="76">
        <v>1.5</v>
      </c>
      <c r="T841" s="76">
        <f>STOCK[[#This Row],[Costo Unitario (USD)]]+STOCK[[#This Row],[Costo Envío (USD)]]+STOCK[[#This Row],[Comisión 10%]]</f>
        <v>16.47</v>
      </c>
      <c r="U841" s="76">
        <f>STOCK[[#This Row],[Costo total]]*1.5</f>
        <v>24.705</v>
      </c>
      <c r="V841" s="76">
        <v>25</v>
      </c>
      <c r="W841" s="76">
        <f>STOCK[[#This Row],[Precio Final]]-STOCK[[#This Row],[Costo total]]</f>
        <v>8.53</v>
      </c>
      <c r="X841" s="76">
        <f>STOCK[[#This Row],[Ganancia Unitaria]]*STOCK[[#This Row],[Salidas]]</f>
        <v>8.53</v>
      </c>
      <c r="Y841" s="76" t="s">
        <v>1600</v>
      </c>
      <c r="AA841" s="76">
        <f>STOCK[[#This Row],[Costo total]]*STOCK[[#This Row],[Entradas]]</f>
        <v>16.47</v>
      </c>
      <c r="AB841" s="76">
        <f>STOCK[[#This Row],[Stock Actual]]*STOCK[[#This Row],[Costo total]]</f>
        <v>0</v>
      </c>
    </row>
    <row r="842" s="77" customFormat="1" ht="50" customHeight="1" spans="1:28">
      <c r="A842" s="77" t="s">
        <v>1670</v>
      </c>
      <c r="B842" s="6"/>
      <c r="C842" s="77" t="s">
        <v>30</v>
      </c>
      <c r="D842" s="77" t="s">
        <v>287</v>
      </c>
      <c r="E842" s="77" t="s">
        <v>1669</v>
      </c>
      <c r="F842" s="77" t="s">
        <v>47</v>
      </c>
      <c r="G842" s="77" t="s">
        <v>1599</v>
      </c>
      <c r="H842" s="77">
        <f>STOCK[[#This Row],[Precio Final]]</f>
        <v>28</v>
      </c>
      <c r="I842" s="77">
        <f>STOCK[[#This Row],[Precio Venta Ideal (x1.5)]]</f>
        <v>25.155</v>
      </c>
      <c r="J842" s="92">
        <v>2</v>
      </c>
      <c r="K842" s="92">
        <f>SUMIFS(VENTAS[Cantidad],VENTAS[Código del producto Vendido],STOCK[[#This Row],[Code]])</f>
        <v>2</v>
      </c>
      <c r="L842" s="92">
        <f>STOCK[[#This Row],[Entradas]]-STOCK[[#This Row],[Salidas]]</f>
        <v>0</v>
      </c>
      <c r="M842" s="77">
        <f>STOCK[[#This Row],[Precio Final]]*10%</f>
        <v>2.8</v>
      </c>
      <c r="N842" s="77">
        <v>0</v>
      </c>
      <c r="O842" s="77">
        <v>0</v>
      </c>
      <c r="P842" s="77">
        <v>12.47</v>
      </c>
      <c r="Q842" s="92">
        <v>0</v>
      </c>
      <c r="R842" s="77">
        <v>0</v>
      </c>
      <c r="S842" s="77">
        <v>1.5</v>
      </c>
      <c r="T842" s="76">
        <f>STOCK[[#This Row],[Costo Unitario (USD)]]+STOCK[[#This Row],[Costo Envío (USD)]]+STOCK[[#This Row],[Comisión 10%]]</f>
        <v>16.77</v>
      </c>
      <c r="U842" s="77">
        <f>STOCK[[#This Row],[Costo total]]*1.5</f>
        <v>25.155</v>
      </c>
      <c r="V842" s="77">
        <v>28</v>
      </c>
      <c r="W842" s="77">
        <f>STOCK[[#This Row],[Precio Final]]-STOCK[[#This Row],[Costo total]]</f>
        <v>11.23</v>
      </c>
      <c r="X842" s="77">
        <f>STOCK[[#This Row],[Ganancia Unitaria]]*STOCK[[#This Row],[Salidas]]</f>
        <v>22.46</v>
      </c>
      <c r="Y842" s="77" t="s">
        <v>1600</v>
      </c>
      <c r="AA842" s="77">
        <f>STOCK[[#This Row],[Costo total]]*STOCK[[#This Row],[Entradas]]</f>
        <v>33.54</v>
      </c>
      <c r="AB842" s="77">
        <f>STOCK[[#This Row],[Stock Actual]]*STOCK[[#This Row],[Costo total]]</f>
        <v>0</v>
      </c>
    </row>
    <row r="843" s="76" customFormat="1" ht="50" customHeight="1" spans="1:28">
      <c r="A843" s="76" t="s">
        <v>1671</v>
      </c>
      <c r="B843" s="6"/>
      <c r="C843" s="76" t="s">
        <v>30</v>
      </c>
      <c r="D843" s="76" t="s">
        <v>287</v>
      </c>
      <c r="E843" s="76" t="s">
        <v>1672</v>
      </c>
      <c r="F843" s="76" t="s">
        <v>186</v>
      </c>
      <c r="G843" s="76" t="s">
        <v>1599</v>
      </c>
      <c r="H843" s="76">
        <f>STOCK[[#This Row],[Precio Final]]</f>
        <v>28</v>
      </c>
      <c r="I843" s="76">
        <f>STOCK[[#This Row],[Precio Venta Ideal (x1.5)]]</f>
        <v>29.25</v>
      </c>
      <c r="J843" s="91">
        <v>1</v>
      </c>
      <c r="K843" s="91">
        <f>SUMIFS(VENTAS[Cantidad],VENTAS[Código del producto Vendido],STOCK[[#This Row],[Code]])</f>
        <v>1</v>
      </c>
      <c r="L843" s="91">
        <f>STOCK[[#This Row],[Entradas]]-STOCK[[#This Row],[Salidas]]</f>
        <v>0</v>
      </c>
      <c r="M843" s="76">
        <f>STOCK[[#This Row],[Precio Final]]*10%</f>
        <v>2.8</v>
      </c>
      <c r="N843" s="76">
        <v>0</v>
      </c>
      <c r="O843" s="76">
        <v>0</v>
      </c>
      <c r="P843" s="76">
        <v>15.2</v>
      </c>
      <c r="Q843" s="91">
        <v>0</v>
      </c>
      <c r="R843" s="76">
        <v>0</v>
      </c>
      <c r="S843" s="76">
        <v>1.5</v>
      </c>
      <c r="T843" s="76">
        <f>STOCK[[#This Row],[Costo Unitario (USD)]]+STOCK[[#This Row],[Costo Envío (USD)]]+STOCK[[#This Row],[Comisión 10%]]</f>
        <v>19.5</v>
      </c>
      <c r="U843" s="76">
        <f>STOCK[[#This Row],[Costo total]]*1.5</f>
        <v>29.25</v>
      </c>
      <c r="V843" s="76">
        <v>28</v>
      </c>
      <c r="W843" s="76">
        <f>STOCK[[#This Row],[Precio Final]]-STOCK[[#This Row],[Costo total]]</f>
        <v>8.5</v>
      </c>
      <c r="X843" s="76">
        <f>STOCK[[#This Row],[Ganancia Unitaria]]*STOCK[[#This Row],[Salidas]]</f>
        <v>8.5</v>
      </c>
      <c r="Y843" s="76" t="s">
        <v>1600</v>
      </c>
      <c r="AA843" s="76">
        <f>STOCK[[#This Row],[Costo total]]*STOCK[[#This Row],[Entradas]]</f>
        <v>19.5</v>
      </c>
      <c r="AB843" s="76">
        <f>STOCK[[#This Row],[Stock Actual]]*STOCK[[#This Row],[Costo total]]</f>
        <v>0</v>
      </c>
    </row>
    <row r="844" s="77" customFormat="1" ht="50" customHeight="1" spans="1:28">
      <c r="A844" s="77" t="s">
        <v>1673</v>
      </c>
      <c r="B844" s="6"/>
      <c r="C844" s="77" t="s">
        <v>30</v>
      </c>
      <c r="D844" s="77" t="s">
        <v>287</v>
      </c>
      <c r="E844" s="77" t="s">
        <v>1674</v>
      </c>
      <c r="F844" s="77" t="s">
        <v>47</v>
      </c>
      <c r="G844" s="77" t="s">
        <v>1599</v>
      </c>
      <c r="H844" s="77">
        <f>STOCK[[#This Row],[Precio Final]]</f>
        <v>28</v>
      </c>
      <c r="I844" s="77">
        <f>STOCK[[#This Row],[Precio Venta Ideal (x1.5)]]</f>
        <v>29.25</v>
      </c>
      <c r="J844" s="92">
        <v>1</v>
      </c>
      <c r="K844" s="92">
        <f>SUMIFS(VENTAS[Cantidad],VENTAS[Código del producto Vendido],STOCK[[#This Row],[Code]])</f>
        <v>1</v>
      </c>
      <c r="L844" s="92">
        <f>STOCK[[#This Row],[Entradas]]-STOCK[[#This Row],[Salidas]]</f>
        <v>0</v>
      </c>
      <c r="M844" s="77">
        <f>STOCK[[#This Row],[Precio Final]]*10%</f>
        <v>2.8</v>
      </c>
      <c r="N844" s="77">
        <v>0</v>
      </c>
      <c r="O844" s="77">
        <v>0</v>
      </c>
      <c r="P844" s="77">
        <v>15.2</v>
      </c>
      <c r="Q844" s="92">
        <v>0</v>
      </c>
      <c r="R844" s="77">
        <v>0</v>
      </c>
      <c r="S844" s="77">
        <v>1.5</v>
      </c>
      <c r="T844" s="76">
        <f>STOCK[[#This Row],[Costo Unitario (USD)]]+STOCK[[#This Row],[Costo Envío (USD)]]+STOCK[[#This Row],[Comisión 10%]]</f>
        <v>19.5</v>
      </c>
      <c r="U844" s="77">
        <f>STOCK[[#This Row],[Costo total]]*1.5</f>
        <v>29.25</v>
      </c>
      <c r="V844" s="77">
        <v>28</v>
      </c>
      <c r="W844" s="77">
        <f>STOCK[[#This Row],[Precio Final]]-STOCK[[#This Row],[Costo total]]</f>
        <v>8.5</v>
      </c>
      <c r="X844" s="77">
        <f>STOCK[[#This Row],[Ganancia Unitaria]]*STOCK[[#This Row],[Salidas]]</f>
        <v>8.5</v>
      </c>
      <c r="Y844" s="77" t="s">
        <v>1600</v>
      </c>
      <c r="AA844" s="77">
        <f>STOCK[[#This Row],[Costo total]]*STOCK[[#This Row],[Entradas]]</f>
        <v>19.5</v>
      </c>
      <c r="AB844" s="77">
        <f>STOCK[[#This Row],[Stock Actual]]*STOCK[[#This Row],[Costo total]]</f>
        <v>0</v>
      </c>
    </row>
    <row r="845" s="76" customFormat="1" ht="50" customHeight="1" spans="1:28">
      <c r="A845" s="76" t="s">
        <v>1675</v>
      </c>
      <c r="B845" s="6"/>
      <c r="C845" s="76" t="s">
        <v>30</v>
      </c>
      <c r="D845" s="76" t="s">
        <v>514</v>
      </c>
      <c r="E845" s="76" t="s">
        <v>1481</v>
      </c>
      <c r="F845" s="76" t="s">
        <v>1676</v>
      </c>
      <c r="G845" s="76" t="s">
        <v>1599</v>
      </c>
      <c r="H845" s="76">
        <f>STOCK[[#This Row],[Precio Final]]</f>
        <v>45</v>
      </c>
      <c r="I845" s="76">
        <f>STOCK[[#This Row],[Precio Venta Ideal (x1.5)]]</f>
        <v>40.38</v>
      </c>
      <c r="J845" s="91">
        <v>2</v>
      </c>
      <c r="K845" s="91">
        <f>SUMIFS(VENTAS[Cantidad],VENTAS[Código del producto Vendido],STOCK[[#This Row],[Code]])</f>
        <v>2</v>
      </c>
      <c r="L845" s="91">
        <f>STOCK[[#This Row],[Entradas]]-STOCK[[#This Row],[Salidas]]</f>
        <v>0</v>
      </c>
      <c r="M845" s="76">
        <f>STOCK[[#This Row],[Precio Final]]*10%</f>
        <v>4.5</v>
      </c>
      <c r="N845" s="76">
        <v>0</v>
      </c>
      <c r="O845" s="76">
        <v>0</v>
      </c>
      <c r="P845" s="76">
        <v>20.92</v>
      </c>
      <c r="Q845" s="91">
        <v>0</v>
      </c>
      <c r="R845" s="76">
        <v>0</v>
      </c>
      <c r="S845" s="76">
        <v>1.5</v>
      </c>
      <c r="T845" s="76">
        <f>STOCK[[#This Row],[Costo Unitario (USD)]]+STOCK[[#This Row],[Costo Envío (USD)]]+STOCK[[#This Row],[Comisión 10%]]</f>
        <v>26.92</v>
      </c>
      <c r="U845" s="76">
        <f>STOCK[[#This Row],[Costo total]]*1.5</f>
        <v>40.38</v>
      </c>
      <c r="V845" s="76">
        <v>45</v>
      </c>
      <c r="W845" s="76">
        <f>STOCK[[#This Row],[Precio Final]]-STOCK[[#This Row],[Costo total]]</f>
        <v>18.08</v>
      </c>
      <c r="X845" s="76">
        <f>STOCK[[#This Row],[Ganancia Unitaria]]*STOCK[[#This Row],[Salidas]]</f>
        <v>36.16</v>
      </c>
      <c r="Y845" s="76" t="s">
        <v>1600</v>
      </c>
      <c r="AA845" s="76">
        <f>STOCK[[#This Row],[Costo total]]*STOCK[[#This Row],[Entradas]]</f>
        <v>53.84</v>
      </c>
      <c r="AB845" s="76">
        <f>STOCK[[#This Row],[Stock Actual]]*STOCK[[#This Row],[Costo total]]</f>
        <v>0</v>
      </c>
    </row>
    <row r="846" s="77" customFormat="1" ht="50" customHeight="1" spans="1:28">
      <c r="A846" s="77" t="s">
        <v>1677</v>
      </c>
      <c r="B846" s="6"/>
      <c r="C846" s="77" t="s">
        <v>30</v>
      </c>
      <c r="D846" s="77" t="s">
        <v>514</v>
      </c>
      <c r="E846" s="77" t="s">
        <v>1481</v>
      </c>
      <c r="F846" s="77" t="s">
        <v>1678</v>
      </c>
      <c r="G846" s="77" t="s">
        <v>1599</v>
      </c>
      <c r="H846" s="77">
        <f>STOCK[[#This Row],[Precio Final]]</f>
        <v>45</v>
      </c>
      <c r="I846" s="77">
        <f>STOCK[[#This Row],[Precio Venta Ideal (x1.5)]]</f>
        <v>40.38</v>
      </c>
      <c r="J846" s="92">
        <v>2</v>
      </c>
      <c r="K846" s="92">
        <f>SUMIFS(VENTAS[Cantidad],VENTAS[Código del producto Vendido],STOCK[[#This Row],[Code]])</f>
        <v>2</v>
      </c>
      <c r="L846" s="92">
        <f>STOCK[[#This Row],[Entradas]]-STOCK[[#This Row],[Salidas]]</f>
        <v>0</v>
      </c>
      <c r="M846" s="77">
        <f>STOCK[[#This Row],[Precio Final]]*10%</f>
        <v>4.5</v>
      </c>
      <c r="N846" s="77">
        <v>0</v>
      </c>
      <c r="O846" s="77">
        <v>0</v>
      </c>
      <c r="P846" s="77">
        <v>20.92</v>
      </c>
      <c r="Q846" s="92">
        <v>0</v>
      </c>
      <c r="R846" s="77">
        <v>0</v>
      </c>
      <c r="S846" s="77">
        <v>1.5</v>
      </c>
      <c r="T846" s="76">
        <f>STOCK[[#This Row],[Costo Unitario (USD)]]+STOCK[[#This Row],[Costo Envío (USD)]]+STOCK[[#This Row],[Comisión 10%]]</f>
        <v>26.92</v>
      </c>
      <c r="U846" s="77">
        <f>STOCK[[#This Row],[Costo total]]*1.5</f>
        <v>40.38</v>
      </c>
      <c r="V846" s="77">
        <v>45</v>
      </c>
      <c r="W846" s="77">
        <f>STOCK[[#This Row],[Precio Final]]-STOCK[[#This Row],[Costo total]]</f>
        <v>18.08</v>
      </c>
      <c r="X846" s="77">
        <f>STOCK[[#This Row],[Ganancia Unitaria]]*STOCK[[#This Row],[Salidas]]</f>
        <v>36.16</v>
      </c>
      <c r="Y846" s="77" t="s">
        <v>1600</v>
      </c>
      <c r="AA846" s="77">
        <f>STOCK[[#This Row],[Costo total]]*STOCK[[#This Row],[Entradas]]</f>
        <v>53.84</v>
      </c>
      <c r="AB846" s="77">
        <f>STOCK[[#This Row],[Stock Actual]]*STOCK[[#This Row],[Costo total]]</f>
        <v>0</v>
      </c>
    </row>
    <row r="847" s="76" customFormat="1" ht="50" customHeight="1" spans="1:28">
      <c r="A847" s="76" t="s">
        <v>1679</v>
      </c>
      <c r="B847" s="6"/>
      <c r="C847" s="76" t="s">
        <v>30</v>
      </c>
      <c r="D847" s="76" t="s">
        <v>42</v>
      </c>
      <c r="E847" s="76" t="s">
        <v>1680</v>
      </c>
      <c r="F847" s="76" t="s">
        <v>1681</v>
      </c>
      <c r="G847" s="76" t="s">
        <v>1599</v>
      </c>
      <c r="H847" s="76">
        <f>STOCK[[#This Row],[Precio Final]]</f>
        <v>20</v>
      </c>
      <c r="I847" s="76">
        <f>STOCK[[#This Row],[Precio Venta Ideal (x1.5)]]</f>
        <v>20.34</v>
      </c>
      <c r="J847" s="91">
        <v>1</v>
      </c>
      <c r="K847" s="91">
        <f>SUMIFS(VENTAS[Cantidad],VENTAS[Código del producto Vendido],STOCK[[#This Row],[Code]])</f>
        <v>1</v>
      </c>
      <c r="L847" s="91">
        <f>STOCK[[#This Row],[Entradas]]-STOCK[[#This Row],[Salidas]]</f>
        <v>0</v>
      </c>
      <c r="M847" s="76">
        <f>STOCK[[#This Row],[Precio Final]]*10%</f>
        <v>2</v>
      </c>
      <c r="N847" s="76">
        <v>0</v>
      </c>
      <c r="O847" s="76">
        <v>0</v>
      </c>
      <c r="P847" s="76">
        <v>10.06</v>
      </c>
      <c r="Q847" s="91">
        <v>0</v>
      </c>
      <c r="R847" s="76">
        <v>0</v>
      </c>
      <c r="S847" s="76">
        <v>1.5</v>
      </c>
      <c r="T847" s="76">
        <f>STOCK[[#This Row],[Costo Unitario (USD)]]+STOCK[[#This Row],[Costo Envío (USD)]]+STOCK[[#This Row],[Comisión 10%]]</f>
        <v>13.56</v>
      </c>
      <c r="U847" s="76">
        <f>STOCK[[#This Row],[Costo total]]*1.5</f>
        <v>20.34</v>
      </c>
      <c r="V847" s="76">
        <v>20</v>
      </c>
      <c r="W847" s="76">
        <f>STOCK[[#This Row],[Precio Final]]-STOCK[[#This Row],[Costo total]]</f>
        <v>6.44</v>
      </c>
      <c r="X847" s="76">
        <f>STOCK[[#This Row],[Ganancia Unitaria]]*STOCK[[#This Row],[Salidas]]</f>
        <v>6.44</v>
      </c>
      <c r="AA847" s="76">
        <f>STOCK[[#This Row],[Costo total]]*STOCK[[#This Row],[Entradas]]</f>
        <v>13.56</v>
      </c>
      <c r="AB847" s="76">
        <f>STOCK[[#This Row],[Stock Actual]]*STOCK[[#This Row],[Costo total]]</f>
        <v>0</v>
      </c>
    </row>
    <row r="848" s="77" customFormat="1" ht="50" customHeight="1" spans="1:28">
      <c r="A848" s="77" t="s">
        <v>1682</v>
      </c>
      <c r="B848" s="6"/>
      <c r="C848" s="77" t="s">
        <v>30</v>
      </c>
      <c r="D848" s="77" t="s">
        <v>212</v>
      </c>
      <c r="E848" s="77" t="s">
        <v>1683</v>
      </c>
      <c r="F848" s="77" t="s">
        <v>40</v>
      </c>
      <c r="G848" s="77" t="s">
        <v>1599</v>
      </c>
      <c r="H848" s="77">
        <f>STOCK[[#This Row],[Precio Final]]</f>
        <v>28</v>
      </c>
      <c r="I848" s="77">
        <f>STOCK[[#This Row],[Precio Venta Ideal (x1.5)]]</f>
        <v>30.075</v>
      </c>
      <c r="J848" s="92">
        <v>2</v>
      </c>
      <c r="K848" s="92">
        <f>SUMIFS(VENTAS[Cantidad],VENTAS[Código del producto Vendido],STOCK[[#This Row],[Code]])</f>
        <v>2</v>
      </c>
      <c r="L848" s="92">
        <f>STOCK[[#This Row],[Entradas]]-STOCK[[#This Row],[Salidas]]</f>
        <v>0</v>
      </c>
      <c r="M848" s="77">
        <f>STOCK[[#This Row],[Precio Final]]*10%</f>
        <v>2.8</v>
      </c>
      <c r="N848" s="77">
        <v>0</v>
      </c>
      <c r="O848" s="77">
        <v>0</v>
      </c>
      <c r="P848" s="77">
        <v>15.75</v>
      </c>
      <c r="Q848" s="92">
        <v>0</v>
      </c>
      <c r="R848" s="77">
        <v>0</v>
      </c>
      <c r="S848" s="77">
        <v>1.5</v>
      </c>
      <c r="T848" s="76">
        <f>STOCK[[#This Row],[Costo Unitario (USD)]]+STOCK[[#This Row],[Costo Envío (USD)]]+STOCK[[#This Row],[Comisión 10%]]</f>
        <v>20.05</v>
      </c>
      <c r="U848" s="77">
        <f>STOCK[[#This Row],[Costo total]]*1.5</f>
        <v>30.075</v>
      </c>
      <c r="V848" s="77">
        <v>28</v>
      </c>
      <c r="W848" s="77">
        <f>STOCK[[#This Row],[Precio Final]]-STOCK[[#This Row],[Costo total]]</f>
        <v>7.95</v>
      </c>
      <c r="X848" s="77">
        <f>STOCK[[#This Row],[Ganancia Unitaria]]*STOCK[[#This Row],[Salidas]]</f>
        <v>15.9</v>
      </c>
      <c r="Y848" s="77" t="s">
        <v>1600</v>
      </c>
      <c r="AA848" s="77">
        <f>STOCK[[#This Row],[Costo total]]*STOCK[[#This Row],[Entradas]]</f>
        <v>40.1</v>
      </c>
      <c r="AB848" s="77">
        <f>STOCK[[#This Row],[Stock Actual]]*STOCK[[#This Row],[Costo total]]</f>
        <v>0</v>
      </c>
    </row>
    <row r="849" s="76" customFormat="1" ht="50" customHeight="1" spans="1:28">
      <c r="A849" s="76" t="s">
        <v>1684</v>
      </c>
      <c r="B849" s="6"/>
      <c r="C849" s="76" t="s">
        <v>30</v>
      </c>
      <c r="D849" s="76" t="s">
        <v>301</v>
      </c>
      <c r="E849" s="76" t="s">
        <v>1685</v>
      </c>
      <c r="F849" s="76" t="s">
        <v>60</v>
      </c>
      <c r="G849" s="76" t="s">
        <v>1599</v>
      </c>
      <c r="H849" s="76">
        <f>STOCK[[#This Row],[Precio Final]]</f>
        <v>30</v>
      </c>
      <c r="I849" s="76">
        <f>STOCK[[#This Row],[Precio Venta Ideal (x1.5)]]</f>
        <v>31.2</v>
      </c>
      <c r="J849" s="91">
        <v>1</v>
      </c>
      <c r="K849" s="91">
        <f>SUMIFS(VENTAS[Cantidad],VENTAS[Código del producto Vendido],STOCK[[#This Row],[Code]])</f>
        <v>1</v>
      </c>
      <c r="L849" s="91">
        <f>STOCK[[#This Row],[Entradas]]-STOCK[[#This Row],[Salidas]]</f>
        <v>0</v>
      </c>
      <c r="M849" s="76">
        <f>STOCK[[#This Row],[Precio Final]]*10%</f>
        <v>3</v>
      </c>
      <c r="N849" s="76">
        <v>0</v>
      </c>
      <c r="O849" s="76">
        <v>0</v>
      </c>
      <c r="P849" s="76">
        <v>16.3</v>
      </c>
      <c r="Q849" s="91">
        <v>0</v>
      </c>
      <c r="R849" s="76">
        <v>0</v>
      </c>
      <c r="S849" s="76">
        <v>1.5</v>
      </c>
      <c r="T849" s="76">
        <f>STOCK[[#This Row],[Costo Unitario (USD)]]+STOCK[[#This Row],[Costo Envío (USD)]]+STOCK[[#This Row],[Comisión 10%]]</f>
        <v>20.8</v>
      </c>
      <c r="U849" s="76">
        <f>STOCK[[#This Row],[Costo total]]*1.5</f>
        <v>31.2</v>
      </c>
      <c r="V849" s="76">
        <v>30</v>
      </c>
      <c r="W849" s="76">
        <f>STOCK[[#This Row],[Precio Final]]-STOCK[[#This Row],[Costo total]]</f>
        <v>9.2</v>
      </c>
      <c r="X849" s="76">
        <f>STOCK[[#This Row],[Ganancia Unitaria]]*STOCK[[#This Row],[Salidas]]</f>
        <v>9.2</v>
      </c>
      <c r="AA849" s="76">
        <f>STOCK[[#This Row],[Costo total]]*STOCK[[#This Row],[Entradas]]</f>
        <v>20.8</v>
      </c>
      <c r="AB849" s="76">
        <f>STOCK[[#This Row],[Stock Actual]]*STOCK[[#This Row],[Costo total]]</f>
        <v>0</v>
      </c>
    </row>
    <row r="850" s="77" customFormat="1" ht="50" customHeight="1" spans="1:28">
      <c r="A850" s="77" t="s">
        <v>1686</v>
      </c>
      <c r="B850" s="6"/>
      <c r="C850" s="77" t="s">
        <v>30</v>
      </c>
      <c r="D850" s="77" t="s">
        <v>1687</v>
      </c>
      <c r="E850" s="77" t="s">
        <v>1688</v>
      </c>
      <c r="F850" s="77" t="s">
        <v>1689</v>
      </c>
      <c r="G850" s="77" t="s">
        <v>34</v>
      </c>
      <c r="H850" s="77">
        <f>STOCK[[#This Row],[Precio Final]]</f>
        <v>30</v>
      </c>
      <c r="I850" s="77">
        <f>STOCK[[#This Row],[Precio Venta Ideal (x1.5)]]</f>
        <v>31.2</v>
      </c>
      <c r="J850" s="92">
        <v>1</v>
      </c>
      <c r="K850" s="92">
        <f>SUMIFS(VENTAS[Cantidad],VENTAS[Código del producto Vendido],STOCK[[#This Row],[Code]])</f>
        <v>1</v>
      </c>
      <c r="L850" s="92">
        <f>STOCK[[#This Row],[Entradas]]-STOCK[[#This Row],[Salidas]]</f>
        <v>0</v>
      </c>
      <c r="M850" s="77">
        <f>STOCK[[#This Row],[Precio Final]]*10%</f>
        <v>3</v>
      </c>
      <c r="N850" s="77">
        <v>0</v>
      </c>
      <c r="O850" s="77">
        <v>0</v>
      </c>
      <c r="P850" s="77">
        <v>16.3</v>
      </c>
      <c r="Q850" s="92">
        <v>0</v>
      </c>
      <c r="R850" s="77">
        <v>0</v>
      </c>
      <c r="S850" s="77">
        <v>1.5</v>
      </c>
      <c r="T850" s="76">
        <f>STOCK[[#This Row],[Costo Unitario (USD)]]+STOCK[[#This Row],[Costo Envío (USD)]]+STOCK[[#This Row],[Comisión 10%]]</f>
        <v>20.8</v>
      </c>
      <c r="U850" s="77">
        <f>STOCK[[#This Row],[Costo total]]*1.5</f>
        <v>31.2</v>
      </c>
      <c r="V850" s="77">
        <v>30</v>
      </c>
      <c r="W850" s="77">
        <f>STOCK[[#This Row],[Precio Final]]-STOCK[[#This Row],[Costo total]]</f>
        <v>9.2</v>
      </c>
      <c r="X850" s="77">
        <f>STOCK[[#This Row],[Ganancia Unitaria]]*STOCK[[#This Row],[Salidas]]</f>
        <v>9.2</v>
      </c>
      <c r="AA850" s="77">
        <f>STOCK[[#This Row],[Costo total]]*STOCK[[#This Row],[Entradas]]</f>
        <v>20.8</v>
      </c>
      <c r="AB850" s="77">
        <f>STOCK[[#This Row],[Stock Actual]]*STOCK[[#This Row],[Costo total]]</f>
        <v>0</v>
      </c>
    </row>
    <row r="851" s="76" customFormat="1" ht="50" customHeight="1" spans="1:28">
      <c r="A851" s="76" t="s">
        <v>1690</v>
      </c>
      <c r="B851" s="6"/>
      <c r="C851" s="76" t="s">
        <v>30</v>
      </c>
      <c r="D851" s="76" t="s">
        <v>778</v>
      </c>
      <c r="E851" s="76" t="s">
        <v>1691</v>
      </c>
      <c r="F851" s="76" t="s">
        <v>38</v>
      </c>
      <c r="G851" s="76" t="s">
        <v>702</v>
      </c>
      <c r="H851" s="76">
        <f>STOCK[[#This Row],[Precio Final]]</f>
        <v>12</v>
      </c>
      <c r="I851" s="76">
        <f>STOCK[[#This Row],[Precio Venta Ideal (x1.5)]]</f>
        <v>15.3</v>
      </c>
      <c r="J851" s="91">
        <v>4</v>
      </c>
      <c r="K851" s="91">
        <f>SUMIFS(VENTAS[Cantidad],VENTAS[Código del producto Vendido],STOCK[[#This Row],[Code]])</f>
        <v>0</v>
      </c>
      <c r="L851" s="91">
        <f>STOCK[[#This Row],[Entradas]]-STOCK[[#This Row],[Salidas]]</f>
        <v>4</v>
      </c>
      <c r="M851" s="76">
        <f>STOCK[[#This Row],[Precio Final]]*10%</f>
        <v>1.2</v>
      </c>
      <c r="N851" s="76">
        <v>0</v>
      </c>
      <c r="O851" s="76">
        <v>0</v>
      </c>
      <c r="P851" s="76">
        <v>7.5</v>
      </c>
      <c r="Q851" s="91">
        <v>0</v>
      </c>
      <c r="R851" s="76">
        <v>0</v>
      </c>
      <c r="S851" s="76">
        <v>1.5</v>
      </c>
      <c r="T851" s="76">
        <f>STOCK[[#This Row],[Costo Unitario (USD)]]+STOCK[[#This Row],[Costo Envío (USD)]]+STOCK[[#This Row],[Comisión 10%]]</f>
        <v>10.2</v>
      </c>
      <c r="U851" s="76">
        <f>STOCK[[#This Row],[Costo total]]*1.5</f>
        <v>15.3</v>
      </c>
      <c r="V851" s="76">
        <v>12</v>
      </c>
      <c r="W851" s="76">
        <f>STOCK[[#This Row],[Precio Final]]-STOCK[[#This Row],[Costo total]]</f>
        <v>1.8</v>
      </c>
      <c r="X851" s="76">
        <f>STOCK[[#This Row],[Ganancia Unitaria]]*STOCK[[#This Row],[Salidas]]</f>
        <v>0</v>
      </c>
      <c r="AA851" s="76">
        <f>STOCK[[#This Row],[Costo total]]*STOCK[[#This Row],[Entradas]]</f>
        <v>40.8</v>
      </c>
      <c r="AB851" s="76">
        <f>STOCK[[#This Row],[Stock Actual]]*STOCK[[#This Row],[Costo total]]</f>
        <v>40.8</v>
      </c>
    </row>
    <row r="852" s="77" customFormat="1" ht="50" customHeight="1" spans="1:28">
      <c r="A852" s="77" t="s">
        <v>1692</v>
      </c>
      <c r="B852" s="6"/>
      <c r="C852" s="77" t="s">
        <v>30</v>
      </c>
      <c r="D852" s="77" t="s">
        <v>173</v>
      </c>
      <c r="E852" s="77" t="s">
        <v>1693</v>
      </c>
      <c r="F852" s="77" t="s">
        <v>60</v>
      </c>
      <c r="G852" s="77" t="s">
        <v>1294</v>
      </c>
      <c r="H852" s="77">
        <f>STOCK[[#This Row],[Precio Final]]</f>
        <v>36</v>
      </c>
      <c r="I852" s="77">
        <f>STOCK[[#This Row],[Precio Venta Ideal (x1.5)]]</f>
        <v>41.4</v>
      </c>
      <c r="J852" s="92">
        <v>2</v>
      </c>
      <c r="K852" s="92">
        <f>SUMIFS(VENTAS[Cantidad],VENTAS[Código del producto Vendido],STOCK[[#This Row],[Code]])</f>
        <v>1</v>
      </c>
      <c r="L852" s="92">
        <f>STOCK[[#This Row],[Entradas]]-STOCK[[#This Row],[Salidas]]</f>
        <v>1</v>
      </c>
      <c r="M852" s="77">
        <f>STOCK[[#This Row],[Precio Final]]*10%</f>
        <v>3.6</v>
      </c>
      <c r="N852" s="77">
        <v>0</v>
      </c>
      <c r="O852" s="77">
        <v>0</v>
      </c>
      <c r="P852" s="77">
        <v>20</v>
      </c>
      <c r="Q852" s="92">
        <v>0</v>
      </c>
      <c r="R852" s="77">
        <v>0</v>
      </c>
      <c r="S852" s="77">
        <v>4</v>
      </c>
      <c r="T852" s="76">
        <f>STOCK[[#This Row],[Costo Unitario (USD)]]+STOCK[[#This Row],[Costo Envío (USD)]]+STOCK[[#This Row],[Comisión 10%]]</f>
        <v>27.6</v>
      </c>
      <c r="U852" s="77">
        <f>STOCK[[#This Row],[Costo total]]*1.5</f>
        <v>41.4</v>
      </c>
      <c r="V852" s="77">
        <v>36</v>
      </c>
      <c r="W852" s="77">
        <f>STOCK[[#This Row],[Precio Final]]-STOCK[[#This Row],[Costo total]]</f>
        <v>8.4</v>
      </c>
      <c r="X852" s="77">
        <f>STOCK[[#This Row],[Ganancia Unitaria]]*STOCK[[#This Row],[Salidas]]</f>
        <v>8.4</v>
      </c>
      <c r="AA852" s="77">
        <f>STOCK[[#This Row],[Costo total]]*STOCK[[#This Row],[Entradas]]</f>
        <v>55.2</v>
      </c>
      <c r="AB852" s="77">
        <f>STOCK[[#This Row],[Stock Actual]]*STOCK[[#This Row],[Costo total]]</f>
        <v>27.6</v>
      </c>
    </row>
    <row r="853" s="76" customFormat="1" ht="50" customHeight="1" spans="1:28">
      <c r="A853" s="76" t="s">
        <v>1694</v>
      </c>
      <c r="B853" s="6"/>
      <c r="C853" s="76" t="s">
        <v>30</v>
      </c>
      <c r="D853" s="76" t="s">
        <v>151</v>
      </c>
      <c r="E853" s="76" t="s">
        <v>1695</v>
      </c>
      <c r="F853" s="76" t="s">
        <v>47</v>
      </c>
      <c r="G853" s="76" t="s">
        <v>1294</v>
      </c>
      <c r="H853" s="76">
        <f>STOCK[[#This Row],[Precio Final]]</f>
        <v>30</v>
      </c>
      <c r="I853" s="76">
        <f>STOCK[[#This Row],[Precio Venta Ideal (x1.5)]]</f>
        <v>35.25</v>
      </c>
      <c r="J853" s="91">
        <v>3</v>
      </c>
      <c r="K853" s="91">
        <f>SUMIFS(VENTAS[Cantidad],VENTAS[Código del producto Vendido],STOCK[[#This Row],[Code]])</f>
        <v>1</v>
      </c>
      <c r="L853" s="91">
        <f>STOCK[[#This Row],[Entradas]]-STOCK[[#This Row],[Salidas]]</f>
        <v>2</v>
      </c>
      <c r="M853" s="76">
        <f>STOCK[[#This Row],[Precio Final]]*10%</f>
        <v>3</v>
      </c>
      <c r="N853" s="76">
        <v>0</v>
      </c>
      <c r="O853" s="76">
        <v>0</v>
      </c>
      <c r="P853" s="76">
        <v>15.5</v>
      </c>
      <c r="Q853" s="91">
        <v>0</v>
      </c>
      <c r="R853" s="76">
        <v>0</v>
      </c>
      <c r="S853" s="76">
        <v>5</v>
      </c>
      <c r="T853" s="76">
        <f>STOCK[[#This Row],[Costo Unitario (USD)]]+STOCK[[#This Row],[Costo Envío (USD)]]+STOCK[[#This Row],[Comisión 10%]]</f>
        <v>23.5</v>
      </c>
      <c r="U853" s="76">
        <f>STOCK[[#This Row],[Costo total]]*1.5</f>
        <v>35.25</v>
      </c>
      <c r="V853" s="76">
        <v>30</v>
      </c>
      <c r="W853" s="76">
        <f>STOCK[[#This Row],[Precio Final]]-STOCK[[#This Row],[Costo total]]</f>
        <v>6.5</v>
      </c>
      <c r="X853" s="76">
        <f>STOCK[[#This Row],[Ganancia Unitaria]]*STOCK[[#This Row],[Salidas]]</f>
        <v>6.5</v>
      </c>
      <c r="AA853" s="76">
        <f>STOCK[[#This Row],[Costo total]]*STOCK[[#This Row],[Entradas]]</f>
        <v>70.5</v>
      </c>
      <c r="AB853" s="76">
        <f>STOCK[[#This Row],[Stock Actual]]*STOCK[[#This Row],[Costo total]]</f>
        <v>47</v>
      </c>
    </row>
    <row r="854" s="77" customFormat="1" ht="50" customHeight="1" spans="1:28">
      <c r="A854" s="77" t="s">
        <v>1696</v>
      </c>
      <c r="B854" s="6"/>
      <c r="C854" s="77" t="s">
        <v>30</v>
      </c>
      <c r="D854" s="77" t="s">
        <v>151</v>
      </c>
      <c r="E854" s="77" t="s">
        <v>1695</v>
      </c>
      <c r="F854" s="77" t="s">
        <v>60</v>
      </c>
      <c r="G854" s="77" t="s">
        <v>1294</v>
      </c>
      <c r="H854" s="77">
        <f>STOCK[[#This Row],[Precio Final]]</f>
        <v>30</v>
      </c>
      <c r="I854" s="77">
        <f>STOCK[[#This Row],[Precio Venta Ideal (x1.5)]]</f>
        <v>35.25</v>
      </c>
      <c r="J854" s="92">
        <v>1</v>
      </c>
      <c r="K854" s="92">
        <f>SUMIFS(VENTAS[Cantidad],VENTAS[Código del producto Vendido],STOCK[[#This Row],[Code]])</f>
        <v>1</v>
      </c>
      <c r="L854" s="92">
        <f>STOCK[[#This Row],[Entradas]]-STOCK[[#This Row],[Salidas]]</f>
        <v>0</v>
      </c>
      <c r="M854" s="77">
        <f>STOCK[[#This Row],[Precio Final]]*10%</f>
        <v>3</v>
      </c>
      <c r="N854" s="77">
        <v>0</v>
      </c>
      <c r="O854" s="77">
        <v>0</v>
      </c>
      <c r="P854" s="77">
        <v>15.5</v>
      </c>
      <c r="Q854" s="92">
        <v>0</v>
      </c>
      <c r="R854" s="77">
        <v>0</v>
      </c>
      <c r="S854" s="77">
        <v>5</v>
      </c>
      <c r="T854" s="76">
        <f>STOCK[[#This Row],[Costo Unitario (USD)]]+STOCK[[#This Row],[Costo Envío (USD)]]+STOCK[[#This Row],[Comisión 10%]]</f>
        <v>23.5</v>
      </c>
      <c r="U854" s="77">
        <f>STOCK[[#This Row],[Costo total]]*1.5</f>
        <v>35.25</v>
      </c>
      <c r="V854" s="77">
        <v>30</v>
      </c>
      <c r="W854" s="77">
        <f>STOCK[[#This Row],[Precio Final]]-STOCK[[#This Row],[Costo total]]</f>
        <v>6.5</v>
      </c>
      <c r="X854" s="77">
        <f>STOCK[[#This Row],[Ganancia Unitaria]]*STOCK[[#This Row],[Salidas]]</f>
        <v>6.5</v>
      </c>
      <c r="AA854" s="77">
        <f>STOCK[[#This Row],[Costo total]]*STOCK[[#This Row],[Entradas]]</f>
        <v>23.5</v>
      </c>
      <c r="AB854" s="77">
        <f>STOCK[[#This Row],[Stock Actual]]*STOCK[[#This Row],[Costo total]]</f>
        <v>0</v>
      </c>
    </row>
    <row r="855" s="76" customFormat="1" ht="50" customHeight="1" spans="1:28">
      <c r="A855" s="76" t="s">
        <v>1697</v>
      </c>
      <c r="B855" s="6"/>
      <c r="C855" s="76" t="s">
        <v>30</v>
      </c>
      <c r="D855" s="76" t="s">
        <v>151</v>
      </c>
      <c r="E855" s="76" t="s">
        <v>1698</v>
      </c>
      <c r="F855" s="76" t="s">
        <v>47</v>
      </c>
      <c r="G855" s="76" t="s">
        <v>1294</v>
      </c>
      <c r="H855" s="76">
        <f>STOCK[[#This Row],[Precio Final]]</f>
        <v>20</v>
      </c>
      <c r="I855" s="76">
        <f>STOCK[[#This Row],[Precio Venta Ideal (x1.5)]]</f>
        <v>19.5</v>
      </c>
      <c r="J855" s="91">
        <v>3</v>
      </c>
      <c r="K855" s="91">
        <f>SUMIFS(VENTAS[Cantidad],VENTAS[Código del producto Vendido],STOCK[[#This Row],[Code]])</f>
        <v>0</v>
      </c>
      <c r="L855" s="91">
        <f>STOCK[[#This Row],[Entradas]]-STOCK[[#This Row],[Salidas]]</f>
        <v>3</v>
      </c>
      <c r="M855" s="76">
        <f>STOCK[[#This Row],[Precio Final]]*10%</f>
        <v>2</v>
      </c>
      <c r="N855" s="76">
        <v>0</v>
      </c>
      <c r="O855" s="76">
        <v>0</v>
      </c>
      <c r="P855" s="76">
        <v>6</v>
      </c>
      <c r="Q855" s="91">
        <v>0</v>
      </c>
      <c r="R855" s="76">
        <v>0</v>
      </c>
      <c r="S855" s="76">
        <v>5</v>
      </c>
      <c r="T855" s="76">
        <f>STOCK[[#This Row],[Costo Unitario (USD)]]+STOCK[[#This Row],[Costo Envío (USD)]]+STOCK[[#This Row],[Comisión 10%]]</f>
        <v>13</v>
      </c>
      <c r="U855" s="76">
        <f>STOCK[[#This Row],[Costo total]]*1.5</f>
        <v>19.5</v>
      </c>
      <c r="V855" s="76">
        <v>20</v>
      </c>
      <c r="W855" s="76">
        <f>STOCK[[#This Row],[Precio Final]]-STOCK[[#This Row],[Costo total]]</f>
        <v>7</v>
      </c>
      <c r="X855" s="76">
        <f>STOCK[[#This Row],[Ganancia Unitaria]]*STOCK[[#This Row],[Salidas]]</f>
        <v>0</v>
      </c>
      <c r="AA855" s="76">
        <f>STOCK[[#This Row],[Costo total]]*STOCK[[#This Row],[Entradas]]</f>
        <v>39</v>
      </c>
      <c r="AB855" s="76">
        <f>STOCK[[#This Row],[Stock Actual]]*STOCK[[#This Row],[Costo total]]</f>
        <v>39</v>
      </c>
    </row>
    <row r="856" s="77" customFormat="1" ht="50" customHeight="1" spans="1:28">
      <c r="A856" s="77" t="s">
        <v>1699</v>
      </c>
      <c r="B856" s="6"/>
      <c r="C856" s="77" t="s">
        <v>30</v>
      </c>
      <c r="D856" s="77" t="s">
        <v>42</v>
      </c>
      <c r="E856" s="77" t="s">
        <v>1700</v>
      </c>
      <c r="F856" s="77" t="s">
        <v>60</v>
      </c>
      <c r="G856" s="77" t="s">
        <v>34</v>
      </c>
      <c r="H856" s="77">
        <f>STOCK[[#This Row],[Precio Final]]</f>
        <v>25</v>
      </c>
      <c r="I856" s="77">
        <f>STOCK[[#This Row],[Precio Venta Ideal (x1.5)]]</f>
        <v>20.85</v>
      </c>
      <c r="J856" s="92">
        <v>1</v>
      </c>
      <c r="K856" s="92">
        <f>SUMIFS(VENTAS[Cantidad],VENTAS[Código del producto Vendido],STOCK[[#This Row],[Code]])</f>
        <v>1</v>
      </c>
      <c r="L856" s="92">
        <f>STOCK[[#This Row],[Entradas]]-STOCK[[#This Row],[Salidas]]</f>
        <v>0</v>
      </c>
      <c r="M856" s="77">
        <f>STOCK[[#This Row],[Precio Final]]*10%</f>
        <v>2.5</v>
      </c>
      <c r="N856" s="77">
        <v>0</v>
      </c>
      <c r="O856" s="77">
        <v>0</v>
      </c>
      <c r="P856" s="77">
        <v>9.9</v>
      </c>
      <c r="Q856" s="92">
        <v>0</v>
      </c>
      <c r="R856" s="77">
        <v>0</v>
      </c>
      <c r="S856" s="77">
        <v>1.5</v>
      </c>
      <c r="T856" s="76">
        <f>STOCK[[#This Row],[Costo Unitario (USD)]]+STOCK[[#This Row],[Costo Envío (USD)]]+STOCK[[#This Row],[Comisión 10%]]</f>
        <v>13.9</v>
      </c>
      <c r="U856" s="77">
        <f>STOCK[[#This Row],[Costo total]]*1.5</f>
        <v>20.85</v>
      </c>
      <c r="V856" s="77">
        <v>25</v>
      </c>
      <c r="W856" s="77">
        <f>STOCK[[#This Row],[Precio Final]]-STOCK[[#This Row],[Costo total]]</f>
        <v>11.1</v>
      </c>
      <c r="X856" s="77">
        <f>STOCK[[#This Row],[Ganancia Unitaria]]*STOCK[[#This Row],[Salidas]]</f>
        <v>11.1</v>
      </c>
      <c r="AA856" s="77">
        <f>STOCK[[#This Row],[Costo total]]*STOCK[[#This Row],[Entradas]]</f>
        <v>13.9</v>
      </c>
      <c r="AB856" s="77">
        <f>STOCK[[#This Row],[Stock Actual]]*STOCK[[#This Row],[Costo total]]</f>
        <v>0</v>
      </c>
    </row>
    <row r="857" s="76" customFormat="1" ht="50" customHeight="1" spans="1:28">
      <c r="A857" s="76" t="s">
        <v>1701</v>
      </c>
      <c r="B857" s="6"/>
      <c r="C857" s="76" t="s">
        <v>30</v>
      </c>
      <c r="D857" s="76" t="s">
        <v>42</v>
      </c>
      <c r="E857" s="76" t="s">
        <v>1700</v>
      </c>
      <c r="F857" s="76" t="s">
        <v>47</v>
      </c>
      <c r="G857" s="76" t="s">
        <v>34</v>
      </c>
      <c r="H857" s="76">
        <f>STOCK[[#This Row],[Precio Final]]</f>
        <v>30</v>
      </c>
      <c r="I857" s="76">
        <f>STOCK[[#This Row],[Precio Venta Ideal (x1.5)]]</f>
        <v>21.6</v>
      </c>
      <c r="J857" s="91">
        <v>1</v>
      </c>
      <c r="K857" s="91">
        <f>SUMIFS(VENTAS[Cantidad],VENTAS[Código del producto Vendido],STOCK[[#This Row],[Code]])</f>
        <v>1</v>
      </c>
      <c r="L857" s="91">
        <f>STOCK[[#This Row],[Entradas]]-STOCK[[#This Row],[Salidas]]</f>
        <v>0</v>
      </c>
      <c r="M857" s="76">
        <f>STOCK[[#This Row],[Precio Final]]*10%</f>
        <v>3</v>
      </c>
      <c r="N857" s="76">
        <v>0</v>
      </c>
      <c r="O857" s="76">
        <v>0</v>
      </c>
      <c r="P857" s="76">
        <v>9.9</v>
      </c>
      <c r="Q857" s="91">
        <v>0</v>
      </c>
      <c r="R857" s="76">
        <v>0</v>
      </c>
      <c r="S857" s="76">
        <v>1.5</v>
      </c>
      <c r="T857" s="76">
        <f>STOCK[[#This Row],[Costo Unitario (USD)]]+STOCK[[#This Row],[Costo Envío (USD)]]+STOCK[[#This Row],[Comisión 10%]]</f>
        <v>14.4</v>
      </c>
      <c r="U857" s="76">
        <f>STOCK[[#This Row],[Costo total]]*1.5</f>
        <v>21.6</v>
      </c>
      <c r="V857" s="76">
        <v>30</v>
      </c>
      <c r="W857" s="76">
        <f>STOCK[[#This Row],[Precio Final]]-STOCK[[#This Row],[Costo total]]</f>
        <v>15.6</v>
      </c>
      <c r="X857" s="76">
        <f>STOCK[[#This Row],[Ganancia Unitaria]]*STOCK[[#This Row],[Salidas]]</f>
        <v>15.6</v>
      </c>
      <c r="AA857" s="76">
        <f>STOCK[[#This Row],[Costo total]]*STOCK[[#This Row],[Entradas]]</f>
        <v>14.4</v>
      </c>
      <c r="AB857" s="76">
        <f>STOCK[[#This Row],[Stock Actual]]*STOCK[[#This Row],[Costo total]]</f>
        <v>0</v>
      </c>
    </row>
    <row r="858" s="77" customFormat="1" ht="50" customHeight="1" spans="1:28">
      <c r="A858" s="77" t="s">
        <v>1702</v>
      </c>
      <c r="B858" s="6"/>
      <c r="C858" s="77" t="s">
        <v>30</v>
      </c>
      <c r="D858" s="77" t="s">
        <v>202</v>
      </c>
      <c r="E858" s="77" t="s">
        <v>1700</v>
      </c>
      <c r="F858" s="77" t="s">
        <v>44</v>
      </c>
      <c r="G858" s="77" t="s">
        <v>34</v>
      </c>
      <c r="H858" s="77">
        <f>STOCK[[#This Row],[Precio Final]]</f>
        <v>30</v>
      </c>
      <c r="I858" s="77">
        <f>STOCK[[#This Row],[Precio Venta Ideal (x1.5)]]</f>
        <v>21.6</v>
      </c>
      <c r="J858" s="92">
        <v>1</v>
      </c>
      <c r="K858" s="92">
        <f>SUMIFS(VENTAS[Cantidad],VENTAS[Código del producto Vendido],STOCK[[#This Row],[Code]])</f>
        <v>0</v>
      </c>
      <c r="L858" s="92">
        <f>STOCK[[#This Row],[Entradas]]-STOCK[[#This Row],[Salidas]]</f>
        <v>1</v>
      </c>
      <c r="M858" s="77">
        <f>STOCK[[#This Row],[Precio Final]]*10%</f>
        <v>3</v>
      </c>
      <c r="N858" s="77">
        <v>0</v>
      </c>
      <c r="O858" s="77">
        <v>0</v>
      </c>
      <c r="P858" s="77">
        <v>9.9</v>
      </c>
      <c r="Q858" s="92">
        <v>0</v>
      </c>
      <c r="R858" s="77">
        <v>0</v>
      </c>
      <c r="S858" s="77">
        <v>1.5</v>
      </c>
      <c r="T858" s="76">
        <f>STOCK[[#This Row],[Costo Unitario (USD)]]+STOCK[[#This Row],[Costo Envío (USD)]]+STOCK[[#This Row],[Comisión 10%]]</f>
        <v>14.4</v>
      </c>
      <c r="U858" s="77">
        <f>STOCK[[#This Row],[Costo total]]*1.5</f>
        <v>21.6</v>
      </c>
      <c r="V858" s="77">
        <v>30</v>
      </c>
      <c r="W858" s="77">
        <f>STOCK[[#This Row],[Precio Final]]-STOCK[[#This Row],[Costo total]]</f>
        <v>15.6</v>
      </c>
      <c r="X858" s="77">
        <f>STOCK[[#This Row],[Ganancia Unitaria]]*STOCK[[#This Row],[Salidas]]</f>
        <v>0</v>
      </c>
      <c r="AA858" s="77">
        <f>STOCK[[#This Row],[Costo total]]*STOCK[[#This Row],[Entradas]]</f>
        <v>14.4</v>
      </c>
      <c r="AB858" s="77">
        <f>STOCK[[#This Row],[Stock Actual]]*STOCK[[#This Row],[Costo total]]</f>
        <v>14.4</v>
      </c>
    </row>
    <row r="859" s="76" customFormat="1" ht="50" customHeight="1" spans="1:28">
      <c r="A859" s="76" t="s">
        <v>1703</v>
      </c>
      <c r="B859" s="6"/>
      <c r="C859" s="76" t="s">
        <v>30</v>
      </c>
      <c r="D859" s="76" t="s">
        <v>42</v>
      </c>
      <c r="E859" s="76" t="s">
        <v>1704</v>
      </c>
      <c r="F859" s="76" t="s">
        <v>60</v>
      </c>
      <c r="G859" s="76" t="s">
        <v>34</v>
      </c>
      <c r="H859" s="76">
        <f>STOCK[[#This Row],[Precio Final]]</f>
        <v>20</v>
      </c>
      <c r="I859" s="76">
        <f>STOCK[[#This Row],[Precio Venta Ideal (x1.5)]]</f>
        <v>17.955</v>
      </c>
      <c r="J859" s="91">
        <v>2</v>
      </c>
      <c r="K859" s="91">
        <f>SUMIFS(VENTAS[Cantidad],VENTAS[Código del producto Vendido],STOCK[[#This Row],[Code]])</f>
        <v>0</v>
      </c>
      <c r="L859" s="91">
        <f>STOCK[[#This Row],[Entradas]]-STOCK[[#This Row],[Salidas]]</f>
        <v>2</v>
      </c>
      <c r="M859" s="76">
        <f>STOCK[[#This Row],[Precio Final]]*10%</f>
        <v>2</v>
      </c>
      <c r="N859" s="76">
        <v>0</v>
      </c>
      <c r="O859" s="76">
        <v>0</v>
      </c>
      <c r="P859" s="76">
        <v>8.47</v>
      </c>
      <c r="Q859" s="91">
        <v>0</v>
      </c>
      <c r="R859" s="76">
        <v>0</v>
      </c>
      <c r="S859" s="76">
        <v>1.5</v>
      </c>
      <c r="T859" s="76">
        <f>STOCK[[#This Row],[Costo Unitario (USD)]]+STOCK[[#This Row],[Costo Envío (USD)]]+STOCK[[#This Row],[Comisión 10%]]</f>
        <v>11.97</v>
      </c>
      <c r="U859" s="76">
        <f>STOCK[[#This Row],[Costo total]]*1.5</f>
        <v>17.955</v>
      </c>
      <c r="V859" s="76">
        <v>20</v>
      </c>
      <c r="W859" s="76">
        <f>STOCK[[#This Row],[Precio Final]]-STOCK[[#This Row],[Costo total]]</f>
        <v>8.03</v>
      </c>
      <c r="X859" s="76">
        <f>STOCK[[#This Row],[Ganancia Unitaria]]*STOCK[[#This Row],[Salidas]]</f>
        <v>0</v>
      </c>
      <c r="AA859" s="76">
        <f>STOCK[[#This Row],[Costo total]]*STOCK[[#This Row],[Entradas]]</f>
        <v>23.94</v>
      </c>
      <c r="AB859" s="76">
        <f>STOCK[[#This Row],[Stock Actual]]*STOCK[[#This Row],[Costo total]]</f>
        <v>23.94</v>
      </c>
    </row>
    <row r="860" s="77" customFormat="1" ht="50" customHeight="1" spans="1:28">
      <c r="A860" s="77" t="s">
        <v>1705</v>
      </c>
      <c r="B860" s="6"/>
      <c r="C860" s="77" t="s">
        <v>30</v>
      </c>
      <c r="D860" s="77" t="s">
        <v>42</v>
      </c>
      <c r="E860" s="77" t="s">
        <v>1704</v>
      </c>
      <c r="F860" s="77" t="s">
        <v>47</v>
      </c>
      <c r="G860" s="77" t="s">
        <v>34</v>
      </c>
      <c r="H860" s="77">
        <f>STOCK[[#This Row],[Precio Final]]</f>
        <v>20</v>
      </c>
      <c r="I860" s="77">
        <f>STOCK[[#This Row],[Precio Venta Ideal (x1.5)]]</f>
        <v>17.955</v>
      </c>
      <c r="J860" s="92">
        <v>2</v>
      </c>
      <c r="K860" s="92">
        <f>SUMIFS(VENTAS[Cantidad],VENTAS[Código del producto Vendido],STOCK[[#This Row],[Code]])</f>
        <v>0</v>
      </c>
      <c r="L860" s="92">
        <f>STOCK[[#This Row],[Entradas]]-STOCK[[#This Row],[Salidas]]</f>
        <v>2</v>
      </c>
      <c r="M860" s="77">
        <f>STOCK[[#This Row],[Precio Final]]*10%</f>
        <v>2</v>
      </c>
      <c r="N860" s="77">
        <v>0</v>
      </c>
      <c r="O860" s="77">
        <v>0</v>
      </c>
      <c r="P860" s="77">
        <v>8.47</v>
      </c>
      <c r="Q860" s="92">
        <v>0</v>
      </c>
      <c r="R860" s="77">
        <v>0</v>
      </c>
      <c r="S860" s="77">
        <v>1.5</v>
      </c>
      <c r="T860" s="76">
        <f>STOCK[[#This Row],[Costo Unitario (USD)]]+STOCK[[#This Row],[Costo Envío (USD)]]+STOCK[[#This Row],[Comisión 10%]]</f>
        <v>11.97</v>
      </c>
      <c r="U860" s="77">
        <f>STOCK[[#This Row],[Costo total]]*1.5</f>
        <v>17.955</v>
      </c>
      <c r="V860" s="77">
        <v>20</v>
      </c>
      <c r="W860" s="77">
        <f>STOCK[[#This Row],[Precio Final]]-STOCK[[#This Row],[Costo total]]</f>
        <v>8.03</v>
      </c>
      <c r="X860" s="77">
        <f>STOCK[[#This Row],[Ganancia Unitaria]]*STOCK[[#This Row],[Salidas]]</f>
        <v>0</v>
      </c>
      <c r="AA860" s="77">
        <f>STOCK[[#This Row],[Costo total]]*STOCK[[#This Row],[Entradas]]</f>
        <v>23.94</v>
      </c>
      <c r="AB860" s="77">
        <f>STOCK[[#This Row],[Stock Actual]]*STOCK[[#This Row],[Costo total]]</f>
        <v>23.94</v>
      </c>
    </row>
    <row r="861" s="76" customFormat="1" ht="50" customHeight="1" spans="1:28">
      <c r="A861" s="76" t="s">
        <v>1706</v>
      </c>
      <c r="B861" s="6"/>
      <c r="C861" s="76" t="s">
        <v>30</v>
      </c>
      <c r="D861" s="76" t="s">
        <v>1012</v>
      </c>
      <c r="E861" s="76" t="s">
        <v>1707</v>
      </c>
      <c r="F861" s="76" t="s">
        <v>1708</v>
      </c>
      <c r="G861" s="76" t="s">
        <v>34</v>
      </c>
      <c r="H861" s="76">
        <f>STOCK[[#This Row],[Precio Final]]</f>
        <v>25</v>
      </c>
      <c r="I861" s="76">
        <f>STOCK[[#This Row],[Precio Venta Ideal (x1.5)]]</f>
        <v>30.9</v>
      </c>
      <c r="J861" s="91">
        <v>3</v>
      </c>
      <c r="K861" s="91">
        <f>SUMIFS(VENTAS[Cantidad],VENTAS[Código del producto Vendido],STOCK[[#This Row],[Code]])</f>
        <v>3</v>
      </c>
      <c r="L861" s="91">
        <f>STOCK[[#This Row],[Entradas]]-STOCK[[#This Row],[Salidas]]</f>
        <v>0</v>
      </c>
      <c r="M861" s="76">
        <f>STOCK[[#This Row],[Precio Final]]*10%</f>
        <v>2.5</v>
      </c>
      <c r="N861" s="76">
        <v>0</v>
      </c>
      <c r="O861" s="76">
        <v>0</v>
      </c>
      <c r="P861" s="76">
        <v>16.6</v>
      </c>
      <c r="Q861" s="91">
        <v>0</v>
      </c>
      <c r="R861" s="76">
        <v>0</v>
      </c>
      <c r="S861" s="76">
        <v>1.5</v>
      </c>
      <c r="T861" s="76">
        <f>STOCK[[#This Row],[Costo Unitario (USD)]]+STOCK[[#This Row],[Costo Envío (USD)]]+STOCK[[#This Row],[Comisión 10%]]</f>
        <v>20.6</v>
      </c>
      <c r="U861" s="76">
        <f>STOCK[[#This Row],[Costo total]]*1.5</f>
        <v>30.9</v>
      </c>
      <c r="V861" s="76">
        <v>25</v>
      </c>
      <c r="W861" s="76">
        <f>STOCK[[#This Row],[Precio Final]]-STOCK[[#This Row],[Costo total]]</f>
        <v>4.4</v>
      </c>
      <c r="X861" s="76">
        <f>STOCK[[#This Row],[Ganancia Unitaria]]*STOCK[[#This Row],[Salidas]]</f>
        <v>13.2</v>
      </c>
      <c r="AA861" s="76">
        <f>STOCK[[#This Row],[Costo total]]*STOCK[[#This Row],[Entradas]]</f>
        <v>61.8</v>
      </c>
      <c r="AB861" s="76">
        <f>STOCK[[#This Row],[Stock Actual]]*STOCK[[#This Row],[Costo total]]</f>
        <v>0</v>
      </c>
    </row>
    <row r="862" s="77" customFormat="1" ht="50" customHeight="1" spans="1:28">
      <c r="A862" s="77" t="s">
        <v>1709</v>
      </c>
      <c r="B862" s="6"/>
      <c r="C862" s="77" t="s">
        <v>30</v>
      </c>
      <c r="D862" s="77" t="s">
        <v>1012</v>
      </c>
      <c r="E862" s="77" t="s">
        <v>1710</v>
      </c>
      <c r="F862" s="77" t="s">
        <v>1711</v>
      </c>
      <c r="G862" s="77" t="s">
        <v>34</v>
      </c>
      <c r="H862" s="77">
        <f>STOCK[[#This Row],[Precio Final]]</f>
        <v>13</v>
      </c>
      <c r="I862" s="77">
        <f>STOCK[[#This Row],[Precio Venta Ideal (x1.5)]]</f>
        <v>19.95</v>
      </c>
      <c r="J862" s="92">
        <v>3</v>
      </c>
      <c r="K862" s="92">
        <f>SUMIFS(VENTAS[Cantidad],VENTAS[Código del producto Vendido],STOCK[[#This Row],[Code]])</f>
        <v>3</v>
      </c>
      <c r="L862" s="92">
        <f>STOCK[[#This Row],[Entradas]]-STOCK[[#This Row],[Salidas]]</f>
        <v>0</v>
      </c>
      <c r="M862" s="77">
        <f>STOCK[[#This Row],[Precio Final]]*10%</f>
        <v>1.3</v>
      </c>
      <c r="N862" s="77">
        <v>0</v>
      </c>
      <c r="O862" s="77">
        <v>0</v>
      </c>
      <c r="P862" s="77">
        <v>10</v>
      </c>
      <c r="Q862" s="92">
        <v>0</v>
      </c>
      <c r="R862" s="77">
        <v>0</v>
      </c>
      <c r="S862" s="77">
        <v>2</v>
      </c>
      <c r="T862" s="76">
        <f>STOCK[[#This Row],[Costo Unitario (USD)]]+STOCK[[#This Row],[Costo Envío (USD)]]+STOCK[[#This Row],[Comisión 10%]]</f>
        <v>13.3</v>
      </c>
      <c r="U862" s="77">
        <f>STOCK[[#This Row],[Costo total]]*1.5</f>
        <v>19.95</v>
      </c>
      <c r="V862" s="77">
        <v>13</v>
      </c>
      <c r="W862" s="77">
        <f>STOCK[[#This Row],[Precio Final]]-STOCK[[#This Row],[Costo total]]</f>
        <v>-0.300000000000001</v>
      </c>
      <c r="X862" s="77">
        <f>STOCK[[#This Row],[Ganancia Unitaria]]*STOCK[[#This Row],[Salidas]]</f>
        <v>-0.900000000000002</v>
      </c>
      <c r="AA862" s="77">
        <f>STOCK[[#This Row],[Costo total]]*STOCK[[#This Row],[Entradas]]</f>
        <v>39.9</v>
      </c>
      <c r="AB862" s="77">
        <f>STOCK[[#This Row],[Stock Actual]]*STOCK[[#This Row],[Costo total]]</f>
        <v>0</v>
      </c>
    </row>
    <row r="863" s="76" customFormat="1" ht="50" customHeight="1" spans="1:28">
      <c r="A863" s="76" t="s">
        <v>1712</v>
      </c>
      <c r="B863" s="6"/>
      <c r="C863" s="76" t="s">
        <v>30</v>
      </c>
      <c r="D863" s="76" t="s">
        <v>1012</v>
      </c>
      <c r="E863" s="76" t="s">
        <v>1710</v>
      </c>
      <c r="F863" s="76" t="s">
        <v>1274</v>
      </c>
      <c r="G863" s="76" t="s">
        <v>34</v>
      </c>
      <c r="H863" s="76">
        <f>STOCK[[#This Row],[Precio Final]]</f>
        <v>13</v>
      </c>
      <c r="I863" s="76">
        <f>STOCK[[#This Row],[Precio Venta Ideal (x1.5)]]</f>
        <v>19.95</v>
      </c>
      <c r="J863" s="91">
        <v>3</v>
      </c>
      <c r="K863" s="91">
        <f>SUMIFS(VENTAS[Cantidad],VENTAS[Código del producto Vendido],STOCK[[#This Row],[Code]])</f>
        <v>3</v>
      </c>
      <c r="L863" s="91">
        <f>STOCK[[#This Row],[Entradas]]-STOCK[[#This Row],[Salidas]]</f>
        <v>0</v>
      </c>
      <c r="M863" s="76">
        <f>STOCK[[#This Row],[Precio Final]]*10%</f>
        <v>1.3</v>
      </c>
      <c r="N863" s="76">
        <v>0</v>
      </c>
      <c r="O863" s="76">
        <v>0</v>
      </c>
      <c r="P863" s="76">
        <v>10</v>
      </c>
      <c r="Q863" s="91">
        <v>0</v>
      </c>
      <c r="R863" s="76">
        <v>0</v>
      </c>
      <c r="S863" s="76">
        <v>2</v>
      </c>
      <c r="T863" s="76">
        <f>STOCK[[#This Row],[Costo Unitario (USD)]]+STOCK[[#This Row],[Costo Envío (USD)]]+STOCK[[#This Row],[Comisión 10%]]</f>
        <v>13.3</v>
      </c>
      <c r="U863" s="76">
        <f>STOCK[[#This Row],[Costo total]]*1.5</f>
        <v>19.95</v>
      </c>
      <c r="V863" s="76">
        <v>13</v>
      </c>
      <c r="W863" s="76">
        <f>STOCK[[#This Row],[Precio Final]]-STOCK[[#This Row],[Costo total]]</f>
        <v>-0.300000000000001</v>
      </c>
      <c r="X863" s="76">
        <f>STOCK[[#This Row],[Ganancia Unitaria]]*STOCK[[#This Row],[Salidas]]</f>
        <v>-0.900000000000002</v>
      </c>
      <c r="AA863" s="76">
        <f>STOCK[[#This Row],[Costo total]]*STOCK[[#This Row],[Entradas]]</f>
        <v>39.9</v>
      </c>
      <c r="AB863" s="76">
        <f>STOCK[[#This Row],[Stock Actual]]*STOCK[[#This Row],[Costo total]]</f>
        <v>0</v>
      </c>
    </row>
    <row r="864" s="77" customFormat="1" ht="50" customHeight="1" spans="1:28">
      <c r="A864" s="77" t="s">
        <v>1713</v>
      </c>
      <c r="B864" s="6"/>
      <c r="C864" s="77" t="s">
        <v>30</v>
      </c>
      <c r="D864" s="77" t="s">
        <v>1714</v>
      </c>
      <c r="E864" s="77" t="s">
        <v>1715</v>
      </c>
      <c r="F864" s="77" t="s">
        <v>47</v>
      </c>
      <c r="G864" s="77" t="s">
        <v>702</v>
      </c>
      <c r="H864" s="77">
        <f>STOCK[[#This Row],[Precio Final]]</f>
        <v>30</v>
      </c>
      <c r="I864" s="77">
        <f>STOCK[[#This Row],[Precio Venta Ideal (x1.5)]]</f>
        <v>24</v>
      </c>
      <c r="J864" s="92">
        <v>1</v>
      </c>
      <c r="K864" s="92">
        <f>SUMIFS(VENTAS[Cantidad],VENTAS[Código del producto Vendido],STOCK[[#This Row],[Code]])</f>
        <v>0</v>
      </c>
      <c r="L864" s="92">
        <f>STOCK[[#This Row],[Entradas]]-STOCK[[#This Row],[Salidas]]</f>
        <v>1</v>
      </c>
      <c r="M864" s="77">
        <f>STOCK[[#This Row],[Precio Final]]*10%</f>
        <v>3</v>
      </c>
      <c r="N864" s="77">
        <v>0</v>
      </c>
      <c r="O864" s="77">
        <v>0</v>
      </c>
      <c r="P864" s="77">
        <v>10</v>
      </c>
      <c r="Q864" s="92">
        <v>0</v>
      </c>
      <c r="R864" s="77">
        <v>0</v>
      </c>
      <c r="S864" s="77">
        <v>3</v>
      </c>
      <c r="T864" s="76">
        <f>STOCK[[#This Row],[Costo Unitario (USD)]]+STOCK[[#This Row],[Costo Envío (USD)]]+STOCK[[#This Row],[Comisión 10%]]</f>
        <v>16</v>
      </c>
      <c r="U864" s="77">
        <f>STOCK[[#This Row],[Costo total]]*1.5</f>
        <v>24</v>
      </c>
      <c r="V864" s="77">
        <v>30</v>
      </c>
      <c r="W864" s="77">
        <f>STOCK[[#This Row],[Precio Final]]-STOCK[[#This Row],[Costo total]]</f>
        <v>14</v>
      </c>
      <c r="X864" s="77">
        <f>STOCK[[#This Row],[Ganancia Unitaria]]*STOCK[[#This Row],[Salidas]]</f>
        <v>0</v>
      </c>
      <c r="AA864" s="77">
        <f>STOCK[[#This Row],[Costo total]]*STOCK[[#This Row],[Entradas]]</f>
        <v>16</v>
      </c>
      <c r="AB864" s="77">
        <f>STOCK[[#This Row],[Stock Actual]]*STOCK[[#This Row],[Costo total]]</f>
        <v>16</v>
      </c>
    </row>
    <row r="865" s="76" customFormat="1" ht="50" customHeight="1" spans="1:28">
      <c r="A865" s="76" t="s">
        <v>1716</v>
      </c>
      <c r="B865" s="6"/>
      <c r="C865" s="76" t="s">
        <v>30</v>
      </c>
      <c r="D865" s="76" t="s">
        <v>42</v>
      </c>
      <c r="E865" s="76" t="s">
        <v>1717</v>
      </c>
      <c r="F865" s="76" t="s">
        <v>718</v>
      </c>
      <c r="G865" s="76" t="s">
        <v>702</v>
      </c>
      <c r="H865" s="76">
        <f>STOCK[[#This Row],[Precio Final]]</f>
        <v>28</v>
      </c>
      <c r="I865" s="76">
        <f>STOCK[[#This Row],[Precio Venta Ideal (x1.5)]]</f>
        <v>31.2</v>
      </c>
      <c r="J865" s="91">
        <v>1</v>
      </c>
      <c r="K865" s="91">
        <f>SUMIFS(VENTAS[Cantidad],VENTAS[Código del producto Vendido],STOCK[[#This Row],[Code]])</f>
        <v>1</v>
      </c>
      <c r="L865" s="91">
        <f>STOCK[[#This Row],[Entradas]]-STOCK[[#This Row],[Salidas]]</f>
        <v>0</v>
      </c>
      <c r="M865" s="76">
        <f>STOCK[[#This Row],[Precio Final]]*10%</f>
        <v>2.8</v>
      </c>
      <c r="N865" s="76">
        <v>0</v>
      </c>
      <c r="O865" s="76">
        <v>0</v>
      </c>
      <c r="P865" s="76">
        <v>15</v>
      </c>
      <c r="Q865" s="91">
        <v>0</v>
      </c>
      <c r="R865" s="76">
        <v>0</v>
      </c>
      <c r="S865" s="76">
        <v>3</v>
      </c>
      <c r="T865" s="76">
        <f>STOCK[[#This Row],[Costo Unitario (USD)]]+STOCK[[#This Row],[Costo Envío (USD)]]+STOCK[[#This Row],[Comisión 10%]]</f>
        <v>20.8</v>
      </c>
      <c r="U865" s="76">
        <f>STOCK[[#This Row],[Costo total]]*1.5</f>
        <v>31.2</v>
      </c>
      <c r="V865" s="76">
        <v>28</v>
      </c>
      <c r="W865" s="76">
        <f>STOCK[[#This Row],[Precio Final]]-STOCK[[#This Row],[Costo total]]</f>
        <v>7.2</v>
      </c>
      <c r="X865" s="76">
        <f>STOCK[[#This Row],[Ganancia Unitaria]]*STOCK[[#This Row],[Salidas]]</f>
        <v>7.2</v>
      </c>
      <c r="AA865" s="76">
        <f>STOCK[[#This Row],[Costo total]]*STOCK[[#This Row],[Entradas]]</f>
        <v>20.8</v>
      </c>
      <c r="AB865" s="76">
        <f>STOCK[[#This Row],[Stock Actual]]*STOCK[[#This Row],[Costo total]]</f>
        <v>0</v>
      </c>
    </row>
    <row r="866" s="77" customFormat="1" ht="50" customHeight="1" spans="1:28">
      <c r="A866" s="77" t="s">
        <v>1718</v>
      </c>
      <c r="B866" s="6"/>
      <c r="C866" s="77" t="s">
        <v>30</v>
      </c>
      <c r="D866" s="77" t="s">
        <v>1714</v>
      </c>
      <c r="E866" s="77" t="s">
        <v>1719</v>
      </c>
      <c r="F866" s="77" t="s">
        <v>443</v>
      </c>
      <c r="G866" s="77" t="s">
        <v>702</v>
      </c>
      <c r="H866" s="77">
        <f>STOCK[[#This Row],[Precio Final]]</f>
        <v>25</v>
      </c>
      <c r="I866" s="77">
        <f>STOCK[[#This Row],[Precio Venta Ideal (x1.5)]]</f>
        <v>23.25</v>
      </c>
      <c r="J866" s="92">
        <v>1</v>
      </c>
      <c r="K866" s="92">
        <f>SUMIFS(VENTAS[Cantidad],VENTAS[Código del producto Vendido],STOCK[[#This Row],[Code]])</f>
        <v>0</v>
      </c>
      <c r="L866" s="92">
        <f>STOCK[[#This Row],[Entradas]]-STOCK[[#This Row],[Salidas]]</f>
        <v>1</v>
      </c>
      <c r="M866" s="77">
        <f>STOCK[[#This Row],[Precio Final]]*10%</f>
        <v>2.5</v>
      </c>
      <c r="N866" s="77">
        <v>0</v>
      </c>
      <c r="O866" s="77">
        <v>0</v>
      </c>
      <c r="P866" s="77">
        <v>10</v>
      </c>
      <c r="Q866" s="92">
        <v>0</v>
      </c>
      <c r="R866" s="77">
        <v>0</v>
      </c>
      <c r="S866" s="77">
        <v>3</v>
      </c>
      <c r="T866" s="76">
        <f>STOCK[[#This Row],[Costo Unitario (USD)]]+STOCK[[#This Row],[Costo Envío (USD)]]+STOCK[[#This Row],[Comisión 10%]]</f>
        <v>15.5</v>
      </c>
      <c r="U866" s="77">
        <f>STOCK[[#This Row],[Costo total]]*1.5</f>
        <v>23.25</v>
      </c>
      <c r="V866" s="77">
        <v>25</v>
      </c>
      <c r="W866" s="77">
        <f>STOCK[[#This Row],[Precio Final]]-STOCK[[#This Row],[Costo total]]</f>
        <v>9.5</v>
      </c>
      <c r="X866" s="77">
        <f>STOCK[[#This Row],[Ganancia Unitaria]]*STOCK[[#This Row],[Salidas]]</f>
        <v>0</v>
      </c>
      <c r="AA866" s="77">
        <f>STOCK[[#This Row],[Costo total]]*STOCK[[#This Row],[Entradas]]</f>
        <v>15.5</v>
      </c>
      <c r="AB866" s="77">
        <f>STOCK[[#This Row],[Stock Actual]]*STOCK[[#This Row],[Costo total]]</f>
        <v>15.5</v>
      </c>
    </row>
    <row r="867" s="76" customFormat="1" ht="50" customHeight="1" spans="1:28">
      <c r="A867" s="76" t="s">
        <v>1720</v>
      </c>
      <c r="B867" s="6"/>
      <c r="C867" s="76" t="s">
        <v>30</v>
      </c>
      <c r="D867" s="76" t="s">
        <v>1714</v>
      </c>
      <c r="E867" s="76" t="s">
        <v>1721</v>
      </c>
      <c r="F867" s="76" t="s">
        <v>443</v>
      </c>
      <c r="G867" s="76" t="s">
        <v>702</v>
      </c>
      <c r="H867" s="76">
        <f>STOCK[[#This Row],[Precio Final]]</f>
        <v>25</v>
      </c>
      <c r="I867" s="76">
        <f>STOCK[[#This Row],[Precio Venta Ideal (x1.5)]]</f>
        <v>23.25</v>
      </c>
      <c r="J867" s="91">
        <v>2</v>
      </c>
      <c r="K867" s="91">
        <f>SUMIFS(VENTAS[Cantidad],VENTAS[Código del producto Vendido],STOCK[[#This Row],[Code]])</f>
        <v>1</v>
      </c>
      <c r="L867" s="91">
        <f>STOCK[[#This Row],[Entradas]]-STOCK[[#This Row],[Salidas]]</f>
        <v>1</v>
      </c>
      <c r="M867" s="76">
        <f>STOCK[[#This Row],[Precio Final]]*10%</f>
        <v>2.5</v>
      </c>
      <c r="N867" s="76">
        <v>0</v>
      </c>
      <c r="O867" s="76">
        <v>0</v>
      </c>
      <c r="P867" s="76">
        <v>10</v>
      </c>
      <c r="Q867" s="91">
        <v>0</v>
      </c>
      <c r="R867" s="76">
        <v>0</v>
      </c>
      <c r="S867" s="76">
        <v>3</v>
      </c>
      <c r="T867" s="76">
        <f>STOCK[[#This Row],[Costo Unitario (USD)]]+STOCK[[#This Row],[Costo Envío (USD)]]+STOCK[[#This Row],[Comisión 10%]]</f>
        <v>15.5</v>
      </c>
      <c r="U867" s="76">
        <f>STOCK[[#This Row],[Costo total]]*1.5</f>
        <v>23.25</v>
      </c>
      <c r="V867" s="76">
        <v>25</v>
      </c>
      <c r="W867" s="76">
        <f>STOCK[[#This Row],[Precio Final]]-STOCK[[#This Row],[Costo total]]</f>
        <v>9.5</v>
      </c>
      <c r="X867" s="76">
        <f>STOCK[[#This Row],[Ganancia Unitaria]]*STOCK[[#This Row],[Salidas]]</f>
        <v>9.5</v>
      </c>
      <c r="AA867" s="76">
        <f>STOCK[[#This Row],[Costo total]]*STOCK[[#This Row],[Entradas]]</f>
        <v>31</v>
      </c>
      <c r="AB867" s="76">
        <f>STOCK[[#This Row],[Stock Actual]]*STOCK[[#This Row],[Costo total]]</f>
        <v>15.5</v>
      </c>
    </row>
    <row r="868" s="77" customFormat="1" ht="50" customHeight="1" spans="1:28">
      <c r="A868" s="77" t="s">
        <v>1722</v>
      </c>
      <c r="B868" s="6"/>
      <c r="C868" s="77" t="s">
        <v>30</v>
      </c>
      <c r="D868" s="77" t="s">
        <v>42</v>
      </c>
      <c r="E868" s="77" t="s">
        <v>1723</v>
      </c>
      <c r="F868" s="77" t="s">
        <v>47</v>
      </c>
      <c r="G868" s="77" t="s">
        <v>1294</v>
      </c>
      <c r="H868" s="77">
        <f>STOCK[[#This Row],[Precio Final]]</f>
        <v>19</v>
      </c>
      <c r="I868" s="77">
        <f>STOCK[[#This Row],[Precio Venta Ideal (x1.5)]]</f>
        <v>19.35</v>
      </c>
      <c r="J868" s="92">
        <v>1</v>
      </c>
      <c r="K868" s="92">
        <f>SUMIFS(VENTAS[Cantidad],VENTAS[Código del producto Vendido],STOCK[[#This Row],[Code]])</f>
        <v>1</v>
      </c>
      <c r="L868" s="92">
        <f>STOCK[[#This Row],[Entradas]]-STOCK[[#This Row],[Salidas]]</f>
        <v>0</v>
      </c>
      <c r="M868" s="77">
        <f>STOCK[[#This Row],[Precio Final]]*10%</f>
        <v>1.9</v>
      </c>
      <c r="N868" s="77">
        <v>0</v>
      </c>
      <c r="O868" s="77">
        <v>0</v>
      </c>
      <c r="P868" s="77">
        <v>8</v>
      </c>
      <c r="Q868" s="92">
        <v>0</v>
      </c>
      <c r="R868" s="77">
        <v>0</v>
      </c>
      <c r="S868" s="77">
        <v>3</v>
      </c>
      <c r="T868" s="76">
        <f>STOCK[[#This Row],[Costo Unitario (USD)]]+STOCK[[#This Row],[Costo Envío (USD)]]+STOCK[[#This Row],[Comisión 10%]]</f>
        <v>12.9</v>
      </c>
      <c r="U868" s="77">
        <f>STOCK[[#This Row],[Costo total]]*1.5</f>
        <v>19.35</v>
      </c>
      <c r="V868" s="77">
        <v>19</v>
      </c>
      <c r="W868" s="77">
        <f>STOCK[[#This Row],[Precio Final]]-STOCK[[#This Row],[Costo total]]</f>
        <v>6.1</v>
      </c>
      <c r="X868" s="77">
        <f>STOCK[[#This Row],[Ganancia Unitaria]]*STOCK[[#This Row],[Salidas]]</f>
        <v>6.1</v>
      </c>
      <c r="AA868" s="77">
        <f>STOCK[[#This Row],[Costo total]]*STOCK[[#This Row],[Entradas]]</f>
        <v>12.9</v>
      </c>
      <c r="AB868" s="77">
        <f>STOCK[[#This Row],[Stock Actual]]*STOCK[[#This Row],[Costo total]]</f>
        <v>0</v>
      </c>
    </row>
    <row r="869" s="76" customFormat="1" ht="50" customHeight="1" spans="1:28">
      <c r="A869" s="76" t="s">
        <v>1724</v>
      </c>
      <c r="B869" s="6"/>
      <c r="C869" s="76" t="s">
        <v>30</v>
      </c>
      <c r="D869" s="76" t="s">
        <v>215</v>
      </c>
      <c r="E869" s="76" t="s">
        <v>1725</v>
      </c>
      <c r="F869" s="76" t="s">
        <v>47</v>
      </c>
      <c r="G869" s="76" t="s">
        <v>34</v>
      </c>
      <c r="H869" s="76">
        <f>STOCK[[#This Row],[Precio Final]]</f>
        <v>18</v>
      </c>
      <c r="I869" s="76">
        <f>STOCK[[#This Row],[Precio Venta Ideal (x1.5)]]</f>
        <v>19.2</v>
      </c>
      <c r="J869" s="91">
        <v>1</v>
      </c>
      <c r="K869" s="91">
        <f>SUMIFS(VENTAS[Cantidad],VENTAS[Código del producto Vendido],STOCK[[#This Row],[Code]])</f>
        <v>0</v>
      </c>
      <c r="L869" s="91">
        <f>STOCK[[#This Row],[Entradas]]-STOCK[[#This Row],[Salidas]]</f>
        <v>1</v>
      </c>
      <c r="M869" s="76">
        <f>STOCK[[#This Row],[Precio Final]]*10%</f>
        <v>1.8</v>
      </c>
      <c r="N869" s="76">
        <v>0</v>
      </c>
      <c r="O869" s="76">
        <v>0</v>
      </c>
      <c r="P869" s="76">
        <v>6</v>
      </c>
      <c r="Q869" s="91">
        <v>0</v>
      </c>
      <c r="R869" s="76">
        <v>0</v>
      </c>
      <c r="S869" s="76">
        <v>5</v>
      </c>
      <c r="T869" s="76">
        <f>STOCK[[#This Row],[Costo Unitario (USD)]]+STOCK[[#This Row],[Costo Envío (USD)]]+STOCK[[#This Row],[Comisión 10%]]</f>
        <v>12.8</v>
      </c>
      <c r="U869" s="76">
        <f>STOCK[[#This Row],[Costo total]]*1.5</f>
        <v>19.2</v>
      </c>
      <c r="V869" s="76">
        <v>18</v>
      </c>
      <c r="W869" s="76">
        <f>STOCK[[#This Row],[Precio Final]]-STOCK[[#This Row],[Costo total]]</f>
        <v>5.2</v>
      </c>
      <c r="X869" s="76">
        <f>STOCK[[#This Row],[Ganancia Unitaria]]*STOCK[[#This Row],[Salidas]]</f>
        <v>0</v>
      </c>
      <c r="AA869" s="76">
        <f>STOCK[[#This Row],[Costo total]]*STOCK[[#This Row],[Entradas]]</f>
        <v>12.8</v>
      </c>
      <c r="AB869" s="76">
        <f>STOCK[[#This Row],[Stock Actual]]*STOCK[[#This Row],[Costo total]]</f>
        <v>12.8</v>
      </c>
    </row>
    <row r="870" s="77" customFormat="1" ht="50" customHeight="1" spans="1:28">
      <c r="A870" s="77" t="s">
        <v>1726</v>
      </c>
      <c r="B870" s="6"/>
      <c r="C870" s="77" t="s">
        <v>30</v>
      </c>
      <c r="D870" s="76" t="s">
        <v>514</v>
      </c>
      <c r="E870" s="77" t="s">
        <v>1523</v>
      </c>
      <c r="F870" s="77" t="s">
        <v>1440</v>
      </c>
      <c r="G870" s="77" t="s">
        <v>34</v>
      </c>
      <c r="H870" s="77">
        <f>STOCK[[#This Row],[Precio Final]]</f>
        <v>40</v>
      </c>
      <c r="I870" s="77">
        <f>STOCK[[#This Row],[Precio Venta Ideal (x1.5)]]</f>
        <v>47.25</v>
      </c>
      <c r="J870" s="92">
        <v>1</v>
      </c>
      <c r="K870" s="92">
        <f>SUMIFS(VENTAS[Cantidad],VENTAS[Código del producto Vendido],STOCK[[#This Row],[Code]])</f>
        <v>1</v>
      </c>
      <c r="L870" s="92">
        <f>STOCK[[#This Row],[Entradas]]-STOCK[[#This Row],[Salidas]]</f>
        <v>0</v>
      </c>
      <c r="M870" s="77">
        <f>STOCK[[#This Row],[Precio Final]]*10%</f>
        <v>4</v>
      </c>
      <c r="N870" s="77">
        <v>0</v>
      </c>
      <c r="O870" s="77">
        <v>0</v>
      </c>
      <c r="P870" s="77">
        <v>26</v>
      </c>
      <c r="Q870" s="92">
        <v>0</v>
      </c>
      <c r="R870" s="77">
        <v>0</v>
      </c>
      <c r="S870" s="77">
        <v>1.5</v>
      </c>
      <c r="T870" s="76">
        <f>STOCK[[#This Row],[Costo Unitario (USD)]]+STOCK[[#This Row],[Costo Envío (USD)]]+STOCK[[#This Row],[Comisión 10%]]</f>
        <v>31.5</v>
      </c>
      <c r="U870" s="77">
        <f>STOCK[[#This Row],[Costo total]]*1.5</f>
        <v>47.25</v>
      </c>
      <c r="V870" s="77">
        <v>40</v>
      </c>
      <c r="W870" s="77">
        <f>STOCK[[#This Row],[Precio Final]]-STOCK[[#This Row],[Costo total]]</f>
        <v>8.5</v>
      </c>
      <c r="X870" s="77">
        <f>STOCK[[#This Row],[Ganancia Unitaria]]*STOCK[[#This Row],[Salidas]]</f>
        <v>8.5</v>
      </c>
      <c r="Y870" s="77" t="s">
        <v>1470</v>
      </c>
      <c r="AA870" s="77">
        <f>STOCK[[#This Row],[Costo total]]*STOCK[[#This Row],[Entradas]]</f>
        <v>31.5</v>
      </c>
      <c r="AB870" s="77">
        <f>STOCK[[#This Row],[Stock Actual]]*STOCK[[#This Row],[Costo total]]</f>
        <v>0</v>
      </c>
    </row>
    <row r="871" s="76" customFormat="1" ht="50" customHeight="1" spans="1:28">
      <c r="A871" s="76" t="s">
        <v>1727</v>
      </c>
      <c r="B871" s="6"/>
      <c r="C871" s="76" t="s">
        <v>30</v>
      </c>
      <c r="D871" s="76" t="s">
        <v>1728</v>
      </c>
      <c r="E871" s="76" t="s">
        <v>1729</v>
      </c>
      <c r="F871" s="76" t="s">
        <v>1708</v>
      </c>
      <c r="G871" s="76" t="s">
        <v>34</v>
      </c>
      <c r="H871" s="76">
        <f>STOCK[[#This Row],[Precio Final]]</f>
        <v>25</v>
      </c>
      <c r="I871" s="76">
        <f>STOCK[[#This Row],[Precio Venta Ideal (x1.5)]]</f>
        <v>30.6617647058823</v>
      </c>
      <c r="J871" s="91">
        <v>2</v>
      </c>
      <c r="K871" s="91">
        <f>SUMIFS(VENTAS[Cantidad],VENTAS[Código del producto Vendido],STOCK[[#This Row],[Code]])</f>
        <v>2</v>
      </c>
      <c r="L871" s="91">
        <f>STOCK[[#This Row],[Entradas]]-STOCK[[#This Row],[Salidas]]</f>
        <v>0</v>
      </c>
      <c r="M871" s="76">
        <f>STOCK[[#This Row],[Precio Final]]*10%</f>
        <v>2.5</v>
      </c>
      <c r="N871" s="76">
        <v>237</v>
      </c>
      <c r="O871" s="76">
        <v>17</v>
      </c>
      <c r="P871" s="76">
        <v>13.9411764705882</v>
      </c>
      <c r="Q871" s="91">
        <v>0</v>
      </c>
      <c r="R871" s="76">
        <v>0</v>
      </c>
      <c r="S871" s="76">
        <v>4</v>
      </c>
      <c r="T871" s="76">
        <f>STOCK[[#This Row],[Costo Unitario (USD)]]+STOCK[[#This Row],[Costo Envío (USD)]]+STOCK[[#This Row],[Comisión 10%]]</f>
        <v>20.4411764705882</v>
      </c>
      <c r="U871" s="76">
        <f>STOCK[[#This Row],[Costo total]]*1.5</f>
        <v>30.6617647058823</v>
      </c>
      <c r="V871" s="76">
        <v>25</v>
      </c>
      <c r="W871" s="76">
        <f>STOCK[[#This Row],[Precio Final]]-STOCK[[#This Row],[Costo total]]</f>
        <v>4.5588235294118</v>
      </c>
      <c r="X871" s="76">
        <f>STOCK[[#This Row],[Ganancia Unitaria]]*STOCK[[#This Row],[Salidas]]</f>
        <v>9.1176470588236</v>
      </c>
      <c r="Y871" s="76" t="s">
        <v>1730</v>
      </c>
      <c r="Z871" s="76">
        <f>STOCK[[#This Row],[Costo Envío (USD)]]*STOCK[[#This Row],[Entradas]]</f>
        <v>8</v>
      </c>
      <c r="AA871" s="76">
        <f>STOCK[[#This Row],[Costo total]]*STOCK[[#This Row],[Entradas]]</f>
        <v>40.8823529411764</v>
      </c>
      <c r="AB871" s="76">
        <f>STOCK[[#This Row],[Stock Actual]]*STOCK[[#This Row],[Costo total]]</f>
        <v>0</v>
      </c>
    </row>
    <row r="872" s="77" customFormat="1" ht="50" customHeight="1" spans="1:28">
      <c r="A872" s="77" t="s">
        <v>1731</v>
      </c>
      <c r="B872" s="6"/>
      <c r="C872" s="77" t="s">
        <v>30</v>
      </c>
      <c r="D872" s="77" t="s">
        <v>1728</v>
      </c>
      <c r="E872" s="77" t="s">
        <v>1729</v>
      </c>
      <c r="F872" s="77" t="s">
        <v>1732</v>
      </c>
      <c r="G872" s="77" t="s">
        <v>34</v>
      </c>
      <c r="H872" s="77">
        <f>STOCK[[#This Row],[Precio Final]]</f>
        <v>25</v>
      </c>
      <c r="I872" s="77">
        <f>STOCK[[#This Row],[Precio Venta Ideal (x1.5)]]</f>
        <v>30.6617647058823</v>
      </c>
      <c r="J872" s="92">
        <v>2</v>
      </c>
      <c r="K872" s="92">
        <f>SUMIFS(VENTAS[Cantidad],VENTAS[Código del producto Vendido],STOCK[[#This Row],[Code]])</f>
        <v>2</v>
      </c>
      <c r="L872" s="92">
        <f>STOCK[[#This Row],[Entradas]]-STOCK[[#This Row],[Salidas]]</f>
        <v>0</v>
      </c>
      <c r="M872" s="77">
        <f>STOCK[[#This Row],[Precio Final]]*10%</f>
        <v>2.5</v>
      </c>
      <c r="N872" s="77">
        <v>237</v>
      </c>
      <c r="O872" s="77">
        <v>17</v>
      </c>
      <c r="P872" s="77">
        <v>13.9411764705882</v>
      </c>
      <c r="Q872" s="92">
        <v>0</v>
      </c>
      <c r="R872" s="77">
        <v>0</v>
      </c>
      <c r="S872" s="77">
        <v>4</v>
      </c>
      <c r="T872" s="76">
        <f>STOCK[[#This Row],[Costo Unitario (USD)]]+STOCK[[#This Row],[Costo Envío (USD)]]+STOCK[[#This Row],[Comisión 10%]]</f>
        <v>20.4411764705882</v>
      </c>
      <c r="U872" s="77">
        <f>STOCK[[#This Row],[Costo total]]*1.5</f>
        <v>30.6617647058823</v>
      </c>
      <c r="V872" s="77">
        <v>25</v>
      </c>
      <c r="W872" s="77">
        <f>STOCK[[#This Row],[Precio Final]]-STOCK[[#This Row],[Costo total]]</f>
        <v>4.5588235294118</v>
      </c>
      <c r="X872" s="77">
        <f>STOCK[[#This Row],[Ganancia Unitaria]]*STOCK[[#This Row],[Salidas]]</f>
        <v>9.1176470588236</v>
      </c>
      <c r="Y872" s="77" t="s">
        <v>1730</v>
      </c>
      <c r="Z872" s="77">
        <f>STOCK[[#This Row],[Costo Envío (USD)]]*STOCK[[#This Row],[Entradas]]</f>
        <v>8</v>
      </c>
      <c r="AA872" s="77">
        <f>STOCK[[#This Row],[Costo total]]*STOCK[[#This Row],[Entradas]]</f>
        <v>40.8823529411764</v>
      </c>
      <c r="AB872" s="77">
        <f>STOCK[[#This Row],[Stock Actual]]*STOCK[[#This Row],[Costo total]]</f>
        <v>0</v>
      </c>
    </row>
    <row r="873" s="76" customFormat="1" ht="50" customHeight="1" spans="1:28">
      <c r="A873" s="76" t="s">
        <v>1733</v>
      </c>
      <c r="B873" s="6"/>
      <c r="C873" s="76" t="s">
        <v>30</v>
      </c>
      <c r="D873" s="76" t="s">
        <v>1728</v>
      </c>
      <c r="E873" s="76" t="s">
        <v>1734</v>
      </c>
      <c r="F873" s="76" t="s">
        <v>60</v>
      </c>
      <c r="G873" s="76" t="s">
        <v>34</v>
      </c>
      <c r="H873" s="76">
        <f>STOCK[[#This Row],[Precio Final]]</f>
        <v>25</v>
      </c>
      <c r="I873" s="76">
        <f>STOCK[[#This Row],[Precio Venta Ideal (x1.5)]]</f>
        <v>30.6617647058823</v>
      </c>
      <c r="J873" s="91">
        <v>3</v>
      </c>
      <c r="K873" s="91">
        <f>SUMIFS(VENTAS[Cantidad],VENTAS[Código del producto Vendido],STOCK[[#This Row],[Code]])</f>
        <v>3</v>
      </c>
      <c r="L873" s="91">
        <f>STOCK[[#This Row],[Entradas]]-STOCK[[#This Row],[Salidas]]</f>
        <v>0</v>
      </c>
      <c r="M873" s="76">
        <f>STOCK[[#This Row],[Precio Final]]*10%</f>
        <v>2.5</v>
      </c>
      <c r="N873" s="76">
        <v>237</v>
      </c>
      <c r="O873" s="76">
        <v>17</v>
      </c>
      <c r="P873" s="76">
        <v>13.9411764705882</v>
      </c>
      <c r="Q873" s="91">
        <v>0</v>
      </c>
      <c r="R873" s="76">
        <v>0</v>
      </c>
      <c r="S873" s="76">
        <v>4</v>
      </c>
      <c r="T873" s="76">
        <f>STOCK[[#This Row],[Costo Unitario (USD)]]+STOCK[[#This Row],[Costo Envío (USD)]]+STOCK[[#This Row],[Comisión 10%]]</f>
        <v>20.4411764705882</v>
      </c>
      <c r="U873" s="76">
        <f>STOCK[[#This Row],[Costo total]]*1.5</f>
        <v>30.6617647058823</v>
      </c>
      <c r="V873" s="76">
        <v>25</v>
      </c>
      <c r="W873" s="76">
        <f>STOCK[[#This Row],[Precio Final]]-STOCK[[#This Row],[Costo total]]</f>
        <v>4.5588235294118</v>
      </c>
      <c r="X873" s="76">
        <f>STOCK[[#This Row],[Ganancia Unitaria]]*STOCK[[#This Row],[Salidas]]</f>
        <v>13.6764705882354</v>
      </c>
      <c r="Y873" s="76" t="s">
        <v>1730</v>
      </c>
      <c r="Z873" s="76">
        <f>STOCK[[#This Row],[Costo Envío (USD)]]*STOCK[[#This Row],[Entradas]]</f>
        <v>12</v>
      </c>
      <c r="AA873" s="76">
        <f>STOCK[[#This Row],[Costo total]]*STOCK[[#This Row],[Entradas]]</f>
        <v>61.3235294117646</v>
      </c>
      <c r="AB873" s="76">
        <f>STOCK[[#This Row],[Stock Actual]]*STOCK[[#This Row],[Costo total]]</f>
        <v>0</v>
      </c>
    </row>
    <row r="874" s="77" customFormat="1" ht="50" customHeight="1" spans="1:28">
      <c r="A874" s="77" t="s">
        <v>1735</v>
      </c>
      <c r="B874" s="6"/>
      <c r="C874" s="77" t="s">
        <v>30</v>
      </c>
      <c r="D874" s="77" t="s">
        <v>1728</v>
      </c>
      <c r="E874" s="77" t="s">
        <v>1734</v>
      </c>
      <c r="F874" s="77" t="s">
        <v>47</v>
      </c>
      <c r="G874" s="77" t="s">
        <v>34</v>
      </c>
      <c r="H874" s="77">
        <f>STOCK[[#This Row],[Precio Final]]</f>
        <v>25</v>
      </c>
      <c r="I874" s="77">
        <f>STOCK[[#This Row],[Precio Venta Ideal (x1.5)]]</f>
        <v>30.6617647058823</v>
      </c>
      <c r="J874" s="92">
        <v>2</v>
      </c>
      <c r="K874" s="92">
        <f>SUMIFS(VENTAS[Cantidad],VENTAS[Código del producto Vendido],STOCK[[#This Row],[Code]])</f>
        <v>2</v>
      </c>
      <c r="L874" s="92">
        <f>STOCK[[#This Row],[Entradas]]-STOCK[[#This Row],[Salidas]]</f>
        <v>0</v>
      </c>
      <c r="M874" s="77">
        <f>STOCK[[#This Row],[Precio Final]]*10%</f>
        <v>2.5</v>
      </c>
      <c r="N874" s="77">
        <v>237</v>
      </c>
      <c r="O874" s="77">
        <v>17</v>
      </c>
      <c r="P874" s="77">
        <v>13.9411764705882</v>
      </c>
      <c r="Q874" s="92">
        <v>0</v>
      </c>
      <c r="R874" s="77">
        <v>0</v>
      </c>
      <c r="S874" s="77">
        <v>4</v>
      </c>
      <c r="T874" s="76">
        <f>STOCK[[#This Row],[Costo Unitario (USD)]]+STOCK[[#This Row],[Costo Envío (USD)]]+STOCK[[#This Row],[Comisión 10%]]</f>
        <v>20.4411764705882</v>
      </c>
      <c r="U874" s="77">
        <f>STOCK[[#This Row],[Costo total]]*1.5</f>
        <v>30.6617647058823</v>
      </c>
      <c r="V874" s="77">
        <v>25</v>
      </c>
      <c r="W874" s="77">
        <f>STOCK[[#This Row],[Precio Final]]-STOCK[[#This Row],[Costo total]]</f>
        <v>4.5588235294118</v>
      </c>
      <c r="X874" s="77">
        <f>STOCK[[#This Row],[Ganancia Unitaria]]*STOCK[[#This Row],[Salidas]]</f>
        <v>9.1176470588236</v>
      </c>
      <c r="Y874" s="77" t="s">
        <v>1730</v>
      </c>
      <c r="Z874" s="77">
        <f>STOCK[[#This Row],[Costo Envío (USD)]]*STOCK[[#This Row],[Entradas]]</f>
        <v>8</v>
      </c>
      <c r="AA874" s="77">
        <f>STOCK[[#This Row],[Costo total]]*STOCK[[#This Row],[Entradas]]</f>
        <v>40.8823529411764</v>
      </c>
      <c r="AB874" s="77">
        <f>STOCK[[#This Row],[Stock Actual]]*STOCK[[#This Row],[Costo total]]</f>
        <v>0</v>
      </c>
    </row>
    <row r="875" s="76" customFormat="1" ht="50" customHeight="1" spans="1:28">
      <c r="A875" s="76" t="s">
        <v>1736</v>
      </c>
      <c r="B875" s="6"/>
      <c r="C875" s="76" t="s">
        <v>30</v>
      </c>
      <c r="D875" s="76" t="s">
        <v>1728</v>
      </c>
      <c r="E875" s="76" t="s">
        <v>1737</v>
      </c>
      <c r="F875" s="76" t="s">
        <v>60</v>
      </c>
      <c r="G875" s="76" t="s">
        <v>34</v>
      </c>
      <c r="H875" s="76">
        <f>STOCK[[#This Row],[Precio Final]]</f>
        <v>25</v>
      </c>
      <c r="I875" s="76">
        <f>STOCK[[#This Row],[Precio Venta Ideal (x1.5)]]</f>
        <v>30.6617647058823</v>
      </c>
      <c r="J875" s="91">
        <v>2</v>
      </c>
      <c r="K875" s="91">
        <f>SUMIFS(VENTAS[Cantidad],VENTAS[Código del producto Vendido],STOCK[[#This Row],[Code]])</f>
        <v>2</v>
      </c>
      <c r="L875" s="91">
        <f>STOCK[[#This Row],[Entradas]]-STOCK[[#This Row],[Salidas]]</f>
        <v>0</v>
      </c>
      <c r="M875" s="76">
        <f>STOCK[[#This Row],[Precio Final]]*10%</f>
        <v>2.5</v>
      </c>
      <c r="N875" s="76">
        <v>237</v>
      </c>
      <c r="O875" s="76">
        <v>17</v>
      </c>
      <c r="P875" s="76">
        <v>13.9411764705882</v>
      </c>
      <c r="Q875" s="91">
        <v>0</v>
      </c>
      <c r="R875" s="76">
        <v>0</v>
      </c>
      <c r="S875" s="76">
        <v>4</v>
      </c>
      <c r="T875" s="76">
        <f>STOCK[[#This Row],[Costo Unitario (USD)]]+STOCK[[#This Row],[Costo Envío (USD)]]+STOCK[[#This Row],[Comisión 10%]]</f>
        <v>20.4411764705882</v>
      </c>
      <c r="U875" s="76">
        <f>STOCK[[#This Row],[Costo total]]*1.5</f>
        <v>30.6617647058823</v>
      </c>
      <c r="V875" s="76">
        <v>25</v>
      </c>
      <c r="W875" s="76">
        <f>STOCK[[#This Row],[Precio Final]]-STOCK[[#This Row],[Costo total]]</f>
        <v>4.5588235294118</v>
      </c>
      <c r="X875" s="76">
        <f>STOCK[[#This Row],[Ganancia Unitaria]]*STOCK[[#This Row],[Salidas]]</f>
        <v>9.1176470588236</v>
      </c>
      <c r="Y875" s="76" t="s">
        <v>1730</v>
      </c>
      <c r="Z875" s="76">
        <f>STOCK[[#This Row],[Costo Envío (USD)]]*STOCK[[#This Row],[Entradas]]</f>
        <v>8</v>
      </c>
      <c r="AA875" s="76">
        <f>STOCK[[#This Row],[Costo total]]*STOCK[[#This Row],[Entradas]]</f>
        <v>40.8823529411764</v>
      </c>
      <c r="AB875" s="76">
        <f>STOCK[[#This Row],[Stock Actual]]*STOCK[[#This Row],[Costo total]]</f>
        <v>0</v>
      </c>
    </row>
    <row r="876" s="77" customFormat="1" ht="50" customHeight="1" spans="1:28">
      <c r="A876" s="77" t="s">
        <v>1738</v>
      </c>
      <c r="B876" s="6"/>
      <c r="C876" s="77" t="s">
        <v>30</v>
      </c>
      <c r="D876" s="77" t="s">
        <v>1739</v>
      </c>
      <c r="E876" s="77" t="s">
        <v>1737</v>
      </c>
      <c r="F876" s="77" t="s">
        <v>257</v>
      </c>
      <c r="G876" s="77" t="s">
        <v>34</v>
      </c>
      <c r="H876" s="77">
        <f>STOCK[[#This Row],[Precio Final]]</f>
        <v>25</v>
      </c>
      <c r="I876" s="77">
        <f>STOCK[[#This Row],[Precio Venta Ideal (x1.5)]]</f>
        <v>30.6617647058823</v>
      </c>
      <c r="J876" s="92">
        <v>2</v>
      </c>
      <c r="K876" s="92">
        <f>SUMIFS(VENTAS[Cantidad],VENTAS[Código del producto Vendido],STOCK[[#This Row],[Code]])</f>
        <v>2</v>
      </c>
      <c r="L876" s="92">
        <f>STOCK[[#This Row],[Entradas]]-STOCK[[#This Row],[Salidas]]</f>
        <v>0</v>
      </c>
      <c r="M876" s="77">
        <f>STOCK[[#This Row],[Precio Final]]*10%</f>
        <v>2.5</v>
      </c>
      <c r="N876" s="77">
        <v>237</v>
      </c>
      <c r="O876" s="77">
        <v>17</v>
      </c>
      <c r="P876" s="77">
        <v>13.9411764705882</v>
      </c>
      <c r="Q876" s="92">
        <v>0</v>
      </c>
      <c r="R876" s="77">
        <v>0</v>
      </c>
      <c r="S876" s="77">
        <v>4</v>
      </c>
      <c r="T876" s="76">
        <f>STOCK[[#This Row],[Costo Unitario (USD)]]+STOCK[[#This Row],[Costo Envío (USD)]]+STOCK[[#This Row],[Comisión 10%]]</f>
        <v>20.4411764705882</v>
      </c>
      <c r="U876" s="77">
        <f>STOCK[[#This Row],[Costo total]]*1.5</f>
        <v>30.6617647058823</v>
      </c>
      <c r="V876" s="77">
        <v>25</v>
      </c>
      <c r="W876" s="77">
        <f>STOCK[[#This Row],[Precio Final]]-STOCK[[#This Row],[Costo total]]</f>
        <v>4.5588235294118</v>
      </c>
      <c r="X876" s="77">
        <f>STOCK[[#This Row],[Ganancia Unitaria]]*STOCK[[#This Row],[Salidas]]</f>
        <v>9.1176470588236</v>
      </c>
      <c r="Y876" s="77" t="s">
        <v>1730</v>
      </c>
      <c r="Z876" s="77">
        <f>STOCK[[#This Row],[Costo Envío (USD)]]*STOCK[[#This Row],[Entradas]]</f>
        <v>8</v>
      </c>
      <c r="AA876" s="77">
        <f>STOCK[[#This Row],[Costo total]]*STOCK[[#This Row],[Entradas]]</f>
        <v>40.8823529411764</v>
      </c>
      <c r="AB876" s="77">
        <f>STOCK[[#This Row],[Stock Actual]]*STOCK[[#This Row],[Costo total]]</f>
        <v>0</v>
      </c>
    </row>
    <row r="877" s="76" customFormat="1" ht="50" customHeight="1" spans="1:28">
      <c r="A877" s="76" t="s">
        <v>1740</v>
      </c>
      <c r="B877" s="6"/>
      <c r="C877" s="76" t="s">
        <v>30</v>
      </c>
      <c r="D877" s="76" t="s">
        <v>1741</v>
      </c>
      <c r="E877" s="76" t="s">
        <v>1742</v>
      </c>
      <c r="F877" s="76" t="s">
        <v>60</v>
      </c>
      <c r="G877" s="76" t="s">
        <v>1599</v>
      </c>
      <c r="H877" s="76">
        <f>STOCK[[#This Row],[Precio Final]]</f>
        <v>22</v>
      </c>
      <c r="I877" s="76">
        <f>STOCK[[#This Row],[Precio Venta Ideal (x1.5)]]</f>
        <v>23.3294117647059</v>
      </c>
      <c r="J877" s="91">
        <v>4</v>
      </c>
      <c r="K877" s="91">
        <f>SUMIFS(VENTAS[Cantidad],VENTAS[Código del producto Vendido],STOCK[[#This Row],[Code]])</f>
        <v>2</v>
      </c>
      <c r="L877" s="91">
        <f>STOCK[[#This Row],[Entradas]]-STOCK[[#This Row],[Salidas]]</f>
        <v>2</v>
      </c>
      <c r="M877" s="76">
        <f>STOCK[[#This Row],[Precio Final]]*10%</f>
        <v>2.2</v>
      </c>
      <c r="N877" s="76">
        <v>159</v>
      </c>
      <c r="O877" s="76">
        <v>17</v>
      </c>
      <c r="P877" s="76">
        <v>9.35294117647059</v>
      </c>
      <c r="Q877" s="91">
        <v>0</v>
      </c>
      <c r="R877" s="76">
        <v>0</v>
      </c>
      <c r="S877" s="76">
        <v>4</v>
      </c>
      <c r="T877" s="76">
        <f>STOCK[[#This Row],[Costo Unitario (USD)]]+STOCK[[#This Row],[Costo Envío (USD)]]+STOCK[[#This Row],[Comisión 10%]]</f>
        <v>15.5529411764706</v>
      </c>
      <c r="U877" s="76">
        <f>STOCK[[#This Row],[Costo total]]*1.5</f>
        <v>23.3294117647059</v>
      </c>
      <c r="V877" s="76">
        <v>22</v>
      </c>
      <c r="W877" s="76">
        <f>STOCK[[#This Row],[Precio Final]]-STOCK[[#This Row],[Costo total]]</f>
        <v>6.44705882352941</v>
      </c>
      <c r="X877" s="76">
        <f>STOCK[[#This Row],[Ganancia Unitaria]]*STOCK[[#This Row],[Salidas]]</f>
        <v>12.8941176470588</v>
      </c>
      <c r="Y877" s="76" t="s">
        <v>1730</v>
      </c>
      <c r="Z877" s="76">
        <f>STOCK[[#This Row],[Costo Envío (USD)]]*STOCK[[#This Row],[Entradas]]</f>
        <v>16</v>
      </c>
      <c r="AA877" s="76">
        <f>STOCK[[#This Row],[Costo total]]*STOCK[[#This Row],[Entradas]]</f>
        <v>62.2117647058824</v>
      </c>
      <c r="AB877" s="76">
        <f>STOCK[[#This Row],[Stock Actual]]*STOCK[[#This Row],[Costo total]]</f>
        <v>31.1058823529412</v>
      </c>
    </row>
    <row r="878" s="77" customFormat="1" ht="50" customHeight="1" spans="1:28">
      <c r="A878" s="77" t="s">
        <v>1743</v>
      </c>
      <c r="B878" s="6"/>
      <c r="C878" s="77" t="s">
        <v>30</v>
      </c>
      <c r="D878" s="77" t="s">
        <v>1741</v>
      </c>
      <c r="E878" s="77" t="s">
        <v>1742</v>
      </c>
      <c r="F878" s="77" t="s">
        <v>210</v>
      </c>
      <c r="G878" s="77" t="s">
        <v>34</v>
      </c>
      <c r="H878" s="77">
        <f>STOCK[[#This Row],[Precio Final]]</f>
        <v>22</v>
      </c>
      <c r="I878" s="77">
        <f>STOCK[[#This Row],[Precio Venta Ideal (x1.5)]]</f>
        <v>23.3294117647059</v>
      </c>
      <c r="J878" s="92">
        <v>2</v>
      </c>
      <c r="K878" s="92">
        <f>SUMIFS(VENTAS[Cantidad],VENTAS[Código del producto Vendido],STOCK[[#This Row],[Code]])</f>
        <v>2</v>
      </c>
      <c r="L878" s="92">
        <f>STOCK[[#This Row],[Entradas]]-STOCK[[#This Row],[Salidas]]</f>
        <v>0</v>
      </c>
      <c r="M878" s="77">
        <f>STOCK[[#This Row],[Precio Final]]*10%</f>
        <v>2.2</v>
      </c>
      <c r="N878" s="77">
        <v>159</v>
      </c>
      <c r="O878" s="77">
        <v>17</v>
      </c>
      <c r="P878" s="77">
        <v>9.35294117647059</v>
      </c>
      <c r="Q878" s="92">
        <v>0</v>
      </c>
      <c r="R878" s="77">
        <v>0</v>
      </c>
      <c r="S878" s="77">
        <v>4</v>
      </c>
      <c r="T878" s="76">
        <f>STOCK[[#This Row],[Costo Unitario (USD)]]+STOCK[[#This Row],[Costo Envío (USD)]]+STOCK[[#This Row],[Comisión 10%]]</f>
        <v>15.5529411764706</v>
      </c>
      <c r="U878" s="77">
        <f>STOCK[[#This Row],[Costo total]]*1.5</f>
        <v>23.3294117647059</v>
      </c>
      <c r="V878" s="77">
        <v>22</v>
      </c>
      <c r="W878" s="77">
        <f>STOCK[[#This Row],[Precio Final]]-STOCK[[#This Row],[Costo total]]</f>
        <v>6.44705882352941</v>
      </c>
      <c r="X878" s="77">
        <f>STOCK[[#This Row],[Ganancia Unitaria]]*STOCK[[#This Row],[Salidas]]</f>
        <v>12.8941176470588</v>
      </c>
      <c r="Y878" s="77" t="s">
        <v>1730</v>
      </c>
      <c r="Z878" s="77">
        <f>STOCK[[#This Row],[Costo Envío (USD)]]*STOCK[[#This Row],[Entradas]]</f>
        <v>8</v>
      </c>
      <c r="AA878" s="77">
        <f>STOCK[[#This Row],[Costo total]]*STOCK[[#This Row],[Entradas]]</f>
        <v>31.1058823529412</v>
      </c>
      <c r="AB878" s="77">
        <f>STOCK[[#This Row],[Stock Actual]]*STOCK[[#This Row],[Costo total]]</f>
        <v>0</v>
      </c>
    </row>
    <row r="879" s="76" customFormat="1" ht="50" customHeight="1" spans="1:28">
      <c r="A879" s="76" t="s">
        <v>1744</v>
      </c>
      <c r="B879" s="6"/>
      <c r="C879" s="76" t="s">
        <v>30</v>
      </c>
      <c r="D879" s="77" t="s">
        <v>36</v>
      </c>
      <c r="E879" s="76" t="s">
        <v>1745</v>
      </c>
      <c r="F879" s="76" t="s">
        <v>1045</v>
      </c>
      <c r="G879" s="76" t="s">
        <v>34</v>
      </c>
      <c r="H879" s="76">
        <f>STOCK[[#This Row],[Precio Final]]</f>
        <v>20</v>
      </c>
      <c r="I879" s="76">
        <f>STOCK[[#This Row],[Precio Venta Ideal (x1.5)]]</f>
        <v>17.3823529411765</v>
      </c>
      <c r="J879" s="91">
        <v>1</v>
      </c>
      <c r="K879" s="91">
        <f>SUMIFS(VENTAS[Cantidad],VENTAS[Código del producto Vendido],STOCK[[#This Row],[Code]])</f>
        <v>1</v>
      </c>
      <c r="L879" s="91">
        <f>STOCK[[#This Row],[Entradas]]-STOCK[[#This Row],[Salidas]]</f>
        <v>0</v>
      </c>
      <c r="M879" s="76">
        <f>STOCK[[#This Row],[Precio Final]]*10%</f>
        <v>2</v>
      </c>
      <c r="N879" s="76">
        <v>112</v>
      </c>
      <c r="O879" s="76">
        <v>17</v>
      </c>
      <c r="P879" s="76">
        <v>6.58823529411765</v>
      </c>
      <c r="Q879" s="91">
        <v>0</v>
      </c>
      <c r="R879" s="76">
        <v>0</v>
      </c>
      <c r="S879" s="76">
        <v>3</v>
      </c>
      <c r="T879" s="76">
        <f>STOCK[[#This Row],[Costo Unitario (USD)]]+STOCK[[#This Row],[Costo Envío (USD)]]+STOCK[[#This Row],[Comisión 10%]]</f>
        <v>11.5882352941177</v>
      </c>
      <c r="U879" s="76">
        <f>STOCK[[#This Row],[Costo total]]*1.5</f>
        <v>17.3823529411765</v>
      </c>
      <c r="V879" s="76">
        <v>20</v>
      </c>
      <c r="W879" s="76">
        <f>STOCK[[#This Row],[Precio Final]]-STOCK[[#This Row],[Costo total]]</f>
        <v>8.41176470588235</v>
      </c>
      <c r="X879" s="76">
        <f>STOCK[[#This Row],[Ganancia Unitaria]]*STOCK[[#This Row],[Salidas]]</f>
        <v>8.41176470588235</v>
      </c>
      <c r="Y879" s="76" t="s">
        <v>1730</v>
      </c>
      <c r="Z879" s="76">
        <f>STOCK[[#This Row],[Costo Envío (USD)]]*STOCK[[#This Row],[Entradas]]</f>
        <v>3</v>
      </c>
      <c r="AA879" s="76">
        <f>STOCK[[#This Row],[Costo total]]*STOCK[[#This Row],[Entradas]]</f>
        <v>11.5882352941177</v>
      </c>
      <c r="AB879" s="76">
        <f>STOCK[[#This Row],[Stock Actual]]*STOCK[[#This Row],[Costo total]]</f>
        <v>0</v>
      </c>
    </row>
    <row r="880" s="77" customFormat="1" ht="50" customHeight="1" spans="1:28">
      <c r="A880" s="77" t="s">
        <v>1746</v>
      </c>
      <c r="B880" s="6"/>
      <c r="C880" s="77" t="s">
        <v>30</v>
      </c>
      <c r="D880" s="77" t="s">
        <v>974</v>
      </c>
      <c r="E880" s="77" t="s">
        <v>1747</v>
      </c>
      <c r="F880" s="77" t="s">
        <v>40</v>
      </c>
      <c r="G880" s="77" t="s">
        <v>702</v>
      </c>
      <c r="H880" s="77">
        <f>STOCK[[#This Row],[Precio Final]]</f>
        <v>35</v>
      </c>
      <c r="I880" s="77">
        <f>STOCK[[#This Row],[Precio Venta Ideal (x1.5)]]</f>
        <v>48.75</v>
      </c>
      <c r="J880" s="92">
        <v>1</v>
      </c>
      <c r="K880" s="92">
        <f>SUMIFS(VENTAS[Cantidad],VENTAS[Código del producto Vendido],STOCK[[#This Row],[Code]])</f>
        <v>1</v>
      </c>
      <c r="L880" s="92">
        <f>STOCK[[#This Row],[Entradas]]-STOCK[[#This Row],[Salidas]]</f>
        <v>0</v>
      </c>
      <c r="M880" s="77">
        <f>STOCK[[#This Row],[Precio Final]]*10%</f>
        <v>3.5</v>
      </c>
      <c r="N880" s="77">
        <v>159</v>
      </c>
      <c r="O880" s="77">
        <v>17</v>
      </c>
      <c r="P880" s="77">
        <v>25</v>
      </c>
      <c r="Q880" s="92">
        <v>0</v>
      </c>
      <c r="R880" s="77">
        <v>0</v>
      </c>
      <c r="S880" s="77">
        <v>4</v>
      </c>
      <c r="T880" s="76">
        <f>STOCK[[#This Row],[Costo Unitario (USD)]]+STOCK[[#This Row],[Costo Envío (USD)]]+STOCK[[#This Row],[Comisión 10%]]</f>
        <v>32.5</v>
      </c>
      <c r="U880" s="77">
        <f>STOCK[[#This Row],[Costo total]]*1.5</f>
        <v>48.75</v>
      </c>
      <c r="V880" s="77">
        <v>35</v>
      </c>
      <c r="W880" s="77">
        <f>STOCK[[#This Row],[Precio Final]]-STOCK[[#This Row],[Costo total]]</f>
        <v>2.5</v>
      </c>
      <c r="X880" s="77">
        <f>STOCK[[#This Row],[Ganancia Unitaria]]*STOCK[[#This Row],[Salidas]]</f>
        <v>2.5</v>
      </c>
      <c r="Y880" s="77" t="s">
        <v>1730</v>
      </c>
      <c r="Z880" s="77">
        <v>0</v>
      </c>
      <c r="AA880" s="77">
        <f>STOCK[[#This Row],[Costo total]]*STOCK[[#This Row],[Entradas]]</f>
        <v>32.5</v>
      </c>
      <c r="AB880" s="77">
        <f>STOCK[[#This Row],[Stock Actual]]*STOCK[[#This Row],[Costo total]]</f>
        <v>0</v>
      </c>
    </row>
    <row r="881" s="76" customFormat="1" ht="50" customHeight="1" spans="1:28">
      <c r="A881" s="76" t="s">
        <v>1748</v>
      </c>
      <c r="B881" s="6"/>
      <c r="C881" s="76" t="s">
        <v>30</v>
      </c>
      <c r="D881" s="76" t="s">
        <v>1749</v>
      </c>
      <c r="E881" s="76" t="s">
        <v>1750</v>
      </c>
      <c r="F881" s="76" t="s">
        <v>1751</v>
      </c>
      <c r="G881" s="76" t="s">
        <v>1599</v>
      </c>
      <c r="H881" s="76">
        <f>STOCK[[#This Row],[Precio Final]]</f>
        <v>25</v>
      </c>
      <c r="I881" s="76">
        <f>STOCK[[#This Row],[Precio Venta Ideal (x1.5)]]</f>
        <v>22.3676470588236</v>
      </c>
      <c r="J881" s="91">
        <v>4</v>
      </c>
      <c r="K881" s="91">
        <f>SUMIFS(VENTAS[Cantidad],VENTAS[Código del producto Vendido],STOCK[[#This Row],[Code]])</f>
        <v>4</v>
      </c>
      <c r="L881" s="91">
        <f>STOCK[[#This Row],[Entradas]]-STOCK[[#This Row],[Salidas]]</f>
        <v>0</v>
      </c>
      <c r="M881" s="76">
        <f>STOCK[[#This Row],[Precio Final]]*10%</f>
        <v>2.5</v>
      </c>
      <c r="N881" s="76">
        <v>211</v>
      </c>
      <c r="O881" s="76">
        <v>17</v>
      </c>
      <c r="P881" s="76">
        <v>12.4117647058824</v>
      </c>
      <c r="Q881" s="91">
        <v>0</v>
      </c>
      <c r="R881" s="76">
        <v>0</v>
      </c>
      <c r="S881" s="76">
        <v>0</v>
      </c>
      <c r="T881" s="76">
        <f>STOCK[[#This Row],[Costo Unitario (USD)]]+STOCK[[#This Row],[Costo Envío (USD)]]+STOCK[[#This Row],[Comisión 10%]]</f>
        <v>14.9117647058824</v>
      </c>
      <c r="U881" s="76">
        <f>STOCK[[#This Row],[Costo total]]*1.5</f>
        <v>22.3676470588236</v>
      </c>
      <c r="V881" s="76">
        <v>25</v>
      </c>
      <c r="W881" s="76">
        <f>STOCK[[#This Row],[Precio Final]]-STOCK[[#This Row],[Costo total]]</f>
        <v>10.0882352941176</v>
      </c>
      <c r="X881" s="76">
        <f>STOCK[[#This Row],[Ganancia Unitaria]]*STOCK[[#This Row],[Salidas]]</f>
        <v>40.3529411764704</v>
      </c>
      <c r="Y881" s="76" t="s">
        <v>1730</v>
      </c>
      <c r="Z881" s="76">
        <f>STOCK[[#This Row],[Costo Envío (USD)]]*STOCK[[#This Row],[Entradas]]</f>
        <v>0</v>
      </c>
      <c r="AA881" s="76">
        <f>STOCK[[#This Row],[Costo total]]*STOCK[[#This Row],[Entradas]]</f>
        <v>59.6470588235296</v>
      </c>
      <c r="AB881" s="76">
        <f>STOCK[[#This Row],[Stock Actual]]*STOCK[[#This Row],[Costo total]]</f>
        <v>0</v>
      </c>
    </row>
    <row r="882" s="77" customFormat="1" ht="50" customHeight="1" spans="1:28">
      <c r="A882" s="77" t="s">
        <v>1752</v>
      </c>
      <c r="B882" s="6"/>
      <c r="C882" s="77" t="s">
        <v>30</v>
      </c>
      <c r="D882" s="77" t="s">
        <v>1753</v>
      </c>
      <c r="E882" s="77" t="s">
        <v>1742</v>
      </c>
      <c r="F882" s="77" t="s">
        <v>40</v>
      </c>
      <c r="G882" s="77" t="s">
        <v>34</v>
      </c>
      <c r="H882" s="77">
        <f>STOCK[[#This Row],[Precio Final]]</f>
        <v>22</v>
      </c>
      <c r="I882" s="77">
        <f>STOCK[[#This Row],[Precio Venta Ideal (x1.5)]]</f>
        <v>23.3294117647059</v>
      </c>
      <c r="J882" s="92">
        <v>3</v>
      </c>
      <c r="K882" s="92">
        <f>SUMIFS(VENTAS[Cantidad],VENTAS[Código del producto Vendido],STOCK[[#This Row],[Code]])</f>
        <v>0</v>
      </c>
      <c r="L882" s="92">
        <f>STOCK[[#This Row],[Entradas]]-STOCK[[#This Row],[Salidas]]</f>
        <v>3</v>
      </c>
      <c r="M882" s="77">
        <f>STOCK[[#This Row],[Precio Final]]*10%</f>
        <v>2.2</v>
      </c>
      <c r="N882" s="77">
        <v>159</v>
      </c>
      <c r="O882" s="77">
        <v>17</v>
      </c>
      <c r="P882" s="77">
        <v>9.35294117647059</v>
      </c>
      <c r="Q882" s="92">
        <v>0</v>
      </c>
      <c r="R882" s="77">
        <v>0</v>
      </c>
      <c r="S882" s="77">
        <v>4</v>
      </c>
      <c r="T882" s="76">
        <f>STOCK[[#This Row],[Costo Unitario (USD)]]+STOCK[[#This Row],[Costo Envío (USD)]]+STOCK[[#This Row],[Comisión 10%]]</f>
        <v>15.5529411764706</v>
      </c>
      <c r="U882" s="77">
        <f>STOCK[[#This Row],[Costo total]]*1.5</f>
        <v>23.3294117647059</v>
      </c>
      <c r="V882" s="77">
        <v>22</v>
      </c>
      <c r="W882" s="77">
        <f>STOCK[[#This Row],[Precio Final]]-STOCK[[#This Row],[Costo total]]</f>
        <v>6.44705882352941</v>
      </c>
      <c r="X882" s="77">
        <f>STOCK[[#This Row],[Ganancia Unitaria]]*STOCK[[#This Row],[Salidas]]</f>
        <v>0</v>
      </c>
      <c r="Y882" s="77" t="s">
        <v>1730</v>
      </c>
      <c r="Z882" s="77">
        <f>STOCK[[#This Row],[Costo Envío (USD)]]*STOCK[[#This Row],[Entradas]]</f>
        <v>12</v>
      </c>
      <c r="AA882" s="77">
        <f>STOCK[[#This Row],[Costo total]]*STOCK[[#This Row],[Entradas]]</f>
        <v>46.6588235294118</v>
      </c>
      <c r="AB882" s="77">
        <f>STOCK[[#This Row],[Stock Actual]]*STOCK[[#This Row],[Costo total]]</f>
        <v>46.6588235294118</v>
      </c>
    </row>
    <row r="883" s="76" customFormat="1" ht="50" customHeight="1" spans="1:28">
      <c r="A883" s="76" t="s">
        <v>1754</v>
      </c>
      <c r="B883" s="6"/>
      <c r="C883" s="76" t="s">
        <v>30</v>
      </c>
      <c r="D883" s="76" t="s">
        <v>1480</v>
      </c>
      <c r="E883" s="76" t="s">
        <v>1755</v>
      </c>
      <c r="F883" s="76" t="s">
        <v>1756</v>
      </c>
      <c r="G883" s="76" t="s">
        <v>34</v>
      </c>
      <c r="H883" s="76">
        <f>STOCK[[#This Row],[Precio Final]]</f>
        <v>30</v>
      </c>
      <c r="I883" s="76">
        <f>STOCK[[#This Row],[Precio Venta Ideal (x1.5)]]</f>
        <v>41.2058823529412</v>
      </c>
      <c r="J883" s="91">
        <v>3</v>
      </c>
      <c r="K883" s="91">
        <f>SUMIFS(VENTAS[Cantidad],VENTAS[Código del producto Vendido],STOCK[[#This Row],[Code]])</f>
        <v>3</v>
      </c>
      <c r="L883" s="91">
        <f>STOCK[[#This Row],[Entradas]]-STOCK[[#This Row],[Salidas]]</f>
        <v>0</v>
      </c>
      <c r="M883" s="76">
        <f>STOCK[[#This Row],[Precio Final]]*10%</f>
        <v>3</v>
      </c>
      <c r="N883" s="76">
        <v>348</v>
      </c>
      <c r="O883" s="76">
        <v>17</v>
      </c>
      <c r="P883" s="76">
        <v>20.4705882352941</v>
      </c>
      <c r="Q883" s="91">
        <v>0</v>
      </c>
      <c r="R883" s="76">
        <v>0</v>
      </c>
      <c r="S883" s="76">
        <v>4</v>
      </c>
      <c r="T883" s="76">
        <f>STOCK[[#This Row],[Costo Unitario (USD)]]+STOCK[[#This Row],[Costo Envío (USD)]]+STOCK[[#This Row],[Comisión 10%]]</f>
        <v>27.4705882352941</v>
      </c>
      <c r="U883" s="76">
        <f>STOCK[[#This Row],[Costo total]]*1.5</f>
        <v>41.2058823529412</v>
      </c>
      <c r="V883" s="76">
        <v>30</v>
      </c>
      <c r="W883" s="76">
        <f>STOCK[[#This Row],[Precio Final]]-STOCK[[#This Row],[Costo total]]</f>
        <v>2.5294117647059</v>
      </c>
      <c r="X883" s="76">
        <f>STOCK[[#This Row],[Ganancia Unitaria]]*STOCK[[#This Row],[Salidas]]</f>
        <v>7.58823529411769</v>
      </c>
      <c r="Y883" s="76" t="s">
        <v>1730</v>
      </c>
      <c r="Z883" s="76">
        <f>STOCK[[#This Row],[Costo Envío (USD)]]*STOCK[[#This Row],[Entradas]]</f>
        <v>12</v>
      </c>
      <c r="AA883" s="76">
        <f>STOCK[[#This Row],[Costo total]]*STOCK[[#This Row],[Entradas]]</f>
        <v>82.4117647058823</v>
      </c>
      <c r="AB883" s="76">
        <f>STOCK[[#This Row],[Stock Actual]]*STOCK[[#This Row],[Costo total]]</f>
        <v>0</v>
      </c>
    </row>
    <row r="884" s="77" customFormat="1" ht="50" customHeight="1" spans="1:28">
      <c r="A884" s="77" t="s">
        <v>1757</v>
      </c>
      <c r="B884" s="6"/>
      <c r="C884" s="77" t="s">
        <v>30</v>
      </c>
      <c r="D884" s="77" t="s">
        <v>1480</v>
      </c>
      <c r="E884" s="77" t="s">
        <v>1755</v>
      </c>
      <c r="F884" s="77" t="s">
        <v>1758</v>
      </c>
      <c r="G884" s="77" t="s">
        <v>1599</v>
      </c>
      <c r="H884" s="77">
        <f>STOCK[[#This Row],[Precio Final]]</f>
        <v>30</v>
      </c>
      <c r="I884" s="77">
        <f>STOCK[[#This Row],[Precio Venta Ideal (x1.5)]]</f>
        <v>42.7058823529412</v>
      </c>
      <c r="J884" s="92">
        <v>3</v>
      </c>
      <c r="K884" s="92">
        <f>SUMIFS(VENTAS[Cantidad],VENTAS[Código del producto Vendido],STOCK[[#This Row],[Code]])</f>
        <v>3</v>
      </c>
      <c r="L884" s="92">
        <f>STOCK[[#This Row],[Entradas]]-STOCK[[#This Row],[Salidas]]</f>
        <v>0</v>
      </c>
      <c r="M884" s="77">
        <f>STOCK[[#This Row],[Precio Final]]*10%</f>
        <v>3</v>
      </c>
      <c r="N884" s="77">
        <v>348</v>
      </c>
      <c r="O884" s="77">
        <v>17</v>
      </c>
      <c r="P884" s="77">
        <v>20.4705882352941</v>
      </c>
      <c r="Q884" s="92">
        <v>0</v>
      </c>
      <c r="R884" s="77">
        <v>0</v>
      </c>
      <c r="S884" s="77">
        <v>5</v>
      </c>
      <c r="T884" s="76">
        <f>STOCK[[#This Row],[Costo Unitario (USD)]]+STOCK[[#This Row],[Costo Envío (USD)]]+STOCK[[#This Row],[Comisión 10%]]</f>
        <v>28.4705882352941</v>
      </c>
      <c r="U884" s="77">
        <f>STOCK[[#This Row],[Costo total]]*1.5</f>
        <v>42.7058823529412</v>
      </c>
      <c r="V884" s="77">
        <v>30</v>
      </c>
      <c r="W884" s="77">
        <f>STOCK[[#This Row],[Precio Final]]-STOCK[[#This Row],[Costo total]]</f>
        <v>1.5294117647059</v>
      </c>
      <c r="X884" s="77">
        <f>STOCK[[#This Row],[Ganancia Unitaria]]*STOCK[[#This Row],[Salidas]]</f>
        <v>4.58823529411769</v>
      </c>
      <c r="Y884" s="77" t="s">
        <v>1730</v>
      </c>
      <c r="Z884" s="77">
        <f>STOCK[[#This Row],[Costo Envío (USD)]]*STOCK[[#This Row],[Entradas]]</f>
        <v>15</v>
      </c>
      <c r="AA884" s="77">
        <f>STOCK[[#This Row],[Costo total]]*STOCK[[#This Row],[Entradas]]</f>
        <v>85.4117647058823</v>
      </c>
      <c r="AB884" s="77">
        <f>STOCK[[#This Row],[Stock Actual]]*STOCK[[#This Row],[Costo total]]</f>
        <v>0</v>
      </c>
    </row>
    <row r="885" s="76" customFormat="1" ht="50" customHeight="1" spans="1:28">
      <c r="A885" s="76" t="s">
        <v>1759</v>
      </c>
      <c r="B885" s="6"/>
      <c r="C885" s="76" t="s">
        <v>30</v>
      </c>
      <c r="D885" s="76" t="s">
        <v>1480</v>
      </c>
      <c r="E885" s="76" t="s">
        <v>1755</v>
      </c>
      <c r="F885" s="76" t="s">
        <v>762</v>
      </c>
      <c r="G885" s="76" t="s">
        <v>1599</v>
      </c>
      <c r="H885" s="76">
        <f>STOCK[[#This Row],[Precio Final]]</f>
        <v>32</v>
      </c>
      <c r="I885" s="76">
        <f>STOCK[[#This Row],[Precio Venta Ideal (x1.5)]]</f>
        <v>43.0058823529411</v>
      </c>
      <c r="J885" s="91">
        <v>4</v>
      </c>
      <c r="K885" s="91">
        <f>SUMIFS(VENTAS[Cantidad],VENTAS[Código del producto Vendido],STOCK[[#This Row],[Code]])</f>
        <v>3</v>
      </c>
      <c r="L885" s="91">
        <f>STOCK[[#This Row],[Entradas]]-STOCK[[#This Row],[Salidas]]</f>
        <v>1</v>
      </c>
      <c r="M885" s="76">
        <f>STOCK[[#This Row],[Precio Final]]*10%</f>
        <v>3.2</v>
      </c>
      <c r="N885" s="76">
        <v>348</v>
      </c>
      <c r="O885" s="76">
        <v>17</v>
      </c>
      <c r="P885" s="76">
        <v>20.4705882352941</v>
      </c>
      <c r="Q885" s="91">
        <v>0</v>
      </c>
      <c r="R885" s="76">
        <v>0</v>
      </c>
      <c r="S885" s="76">
        <v>5</v>
      </c>
      <c r="T885" s="76">
        <f>STOCK[[#This Row],[Costo Unitario (USD)]]+STOCK[[#This Row],[Costo Envío (USD)]]+STOCK[[#This Row],[Comisión 10%]]</f>
        <v>28.6705882352941</v>
      </c>
      <c r="U885" s="76">
        <f>STOCK[[#This Row],[Costo total]]*1.5</f>
        <v>43.0058823529411</v>
      </c>
      <c r="V885" s="76">
        <v>32</v>
      </c>
      <c r="W885" s="76">
        <f>STOCK[[#This Row],[Precio Final]]-STOCK[[#This Row],[Costo total]]</f>
        <v>3.3294117647059</v>
      </c>
      <c r="X885" s="76">
        <f>STOCK[[#This Row],[Ganancia Unitaria]]*STOCK[[#This Row],[Salidas]]</f>
        <v>9.9882352941177</v>
      </c>
      <c r="Y885" s="76" t="s">
        <v>1730</v>
      </c>
      <c r="Z885" s="76">
        <f>STOCK[[#This Row],[Costo Envío (USD)]]*STOCK[[#This Row],[Entradas]]</f>
        <v>20</v>
      </c>
      <c r="AA885" s="76">
        <f>STOCK[[#This Row],[Costo total]]*STOCK[[#This Row],[Entradas]]</f>
        <v>114.682352941176</v>
      </c>
      <c r="AB885" s="76">
        <f>STOCK[[#This Row],[Stock Actual]]*STOCK[[#This Row],[Costo total]]</f>
        <v>28.6705882352941</v>
      </c>
    </row>
    <row r="886" s="77" customFormat="1" ht="50" customHeight="1" spans="1:28">
      <c r="A886" s="77" t="s">
        <v>1760</v>
      </c>
      <c r="B886" s="6"/>
      <c r="C886" s="77" t="s">
        <v>30</v>
      </c>
      <c r="D886" s="77" t="s">
        <v>1480</v>
      </c>
      <c r="E886" s="77" t="s">
        <v>1755</v>
      </c>
      <c r="F886" s="77" t="s">
        <v>1676</v>
      </c>
      <c r="G886" s="77" t="s">
        <v>1599</v>
      </c>
      <c r="H886" s="77">
        <f>STOCK[[#This Row],[Precio Final]]</f>
        <v>30</v>
      </c>
      <c r="I886" s="77">
        <f>STOCK[[#This Row],[Precio Venta Ideal (x1.5)]]</f>
        <v>42.7058823529412</v>
      </c>
      <c r="J886" s="92">
        <v>3</v>
      </c>
      <c r="K886" s="92">
        <f>SUMIFS(VENTAS[Cantidad],VENTAS[Código del producto Vendido],STOCK[[#This Row],[Code]])</f>
        <v>3</v>
      </c>
      <c r="L886" s="92">
        <f>STOCK[[#This Row],[Entradas]]-STOCK[[#This Row],[Salidas]]</f>
        <v>0</v>
      </c>
      <c r="M886" s="77">
        <f>STOCK[[#This Row],[Precio Final]]*10%</f>
        <v>3</v>
      </c>
      <c r="N886" s="77">
        <v>348</v>
      </c>
      <c r="O886" s="77">
        <v>17</v>
      </c>
      <c r="P886" s="77">
        <v>20.4705882352941</v>
      </c>
      <c r="Q886" s="92">
        <v>0</v>
      </c>
      <c r="R886" s="77">
        <v>0</v>
      </c>
      <c r="S886" s="77">
        <v>5</v>
      </c>
      <c r="T886" s="76">
        <f>STOCK[[#This Row],[Costo Unitario (USD)]]+STOCK[[#This Row],[Costo Envío (USD)]]+STOCK[[#This Row],[Comisión 10%]]</f>
        <v>28.4705882352941</v>
      </c>
      <c r="U886" s="77">
        <f>STOCK[[#This Row],[Costo total]]*1.5</f>
        <v>42.7058823529412</v>
      </c>
      <c r="V886" s="77">
        <v>30</v>
      </c>
      <c r="W886" s="77">
        <f>STOCK[[#This Row],[Precio Final]]-STOCK[[#This Row],[Costo total]]</f>
        <v>1.5294117647059</v>
      </c>
      <c r="X886" s="77">
        <f>STOCK[[#This Row],[Ganancia Unitaria]]*STOCK[[#This Row],[Salidas]]</f>
        <v>4.58823529411769</v>
      </c>
      <c r="Y886" s="77" t="s">
        <v>1730</v>
      </c>
      <c r="Z886" s="77">
        <f>STOCK[[#This Row],[Costo Envío (USD)]]*STOCK[[#This Row],[Entradas]]</f>
        <v>15</v>
      </c>
      <c r="AA886" s="77">
        <f>STOCK[[#This Row],[Costo total]]*STOCK[[#This Row],[Entradas]]</f>
        <v>85.4117647058823</v>
      </c>
      <c r="AB886" s="77">
        <f>STOCK[[#This Row],[Stock Actual]]*STOCK[[#This Row],[Costo total]]</f>
        <v>0</v>
      </c>
    </row>
    <row r="887" s="76" customFormat="1" ht="50" customHeight="1" spans="1:28">
      <c r="A887" s="76" t="s">
        <v>1761</v>
      </c>
      <c r="B887" s="6"/>
      <c r="C887" s="76" t="s">
        <v>30</v>
      </c>
      <c r="D887" s="76" t="s">
        <v>1762</v>
      </c>
      <c r="E887" s="76" t="s">
        <v>1763</v>
      </c>
      <c r="F887" s="76" t="s">
        <v>524</v>
      </c>
      <c r="G887" s="76" t="s">
        <v>1599</v>
      </c>
      <c r="H887" s="76">
        <f>STOCK[[#This Row],[Precio Final]]</f>
        <v>1.2</v>
      </c>
      <c r="I887" s="76">
        <f>STOCK[[#This Row],[Precio Venta Ideal (x1.5)]]</f>
        <v>0.634411764705882</v>
      </c>
      <c r="J887" s="91">
        <v>10</v>
      </c>
      <c r="K887" s="91">
        <f>SUMIFS(VENTAS[Cantidad],VENTAS[Código del producto Vendido],STOCK[[#This Row],[Code]])</f>
        <v>0</v>
      </c>
      <c r="L887" s="91">
        <f>STOCK[[#This Row],[Entradas]]-STOCK[[#This Row],[Salidas]]</f>
        <v>10</v>
      </c>
      <c r="M887" s="76">
        <f>STOCK[[#This Row],[Precio Final]]*10%</f>
        <v>0.12</v>
      </c>
      <c r="N887" s="76">
        <v>4.3</v>
      </c>
      <c r="O887" s="76">
        <v>17</v>
      </c>
      <c r="P887" s="76">
        <v>0.252941176470588</v>
      </c>
      <c r="Q887" s="91">
        <v>0</v>
      </c>
      <c r="R887" s="76">
        <v>0</v>
      </c>
      <c r="S887" s="76">
        <v>0.05</v>
      </c>
      <c r="T887" s="76">
        <f>STOCK[[#This Row],[Costo Unitario (USD)]]+STOCK[[#This Row],[Costo Envío (USD)]]+STOCK[[#This Row],[Comisión 10%]]</f>
        <v>0.422941176470588</v>
      </c>
      <c r="U887" s="76">
        <f>STOCK[[#This Row],[Costo total]]*1.5</f>
        <v>0.634411764705882</v>
      </c>
      <c r="V887" s="76">
        <v>1.2</v>
      </c>
      <c r="W887" s="76">
        <f>STOCK[[#This Row],[Precio Final]]-STOCK[[#This Row],[Costo total]]</f>
        <v>0.777058823529412</v>
      </c>
      <c r="X887" s="76">
        <f>STOCK[[#This Row],[Ganancia Unitaria]]*STOCK[[#This Row],[Salidas]]</f>
        <v>0</v>
      </c>
      <c r="Y887" s="76" t="s">
        <v>1730</v>
      </c>
      <c r="Z887" s="76">
        <f>STOCK[[#This Row],[Costo Envío (USD)]]*STOCK[[#This Row],[Entradas]]</f>
        <v>0.5</v>
      </c>
      <c r="AA887" s="76">
        <f>STOCK[[#This Row],[Costo total]]*STOCK[[#This Row],[Entradas]]</f>
        <v>4.22941176470588</v>
      </c>
      <c r="AB887" s="76">
        <f>STOCK[[#This Row],[Stock Actual]]*STOCK[[#This Row],[Costo total]]</f>
        <v>4.22941176470588</v>
      </c>
    </row>
    <row r="888" s="77" customFormat="1" ht="50" customHeight="1" spans="1:28">
      <c r="A888" s="77" t="s">
        <v>1764</v>
      </c>
      <c r="B888" s="6"/>
      <c r="C888" s="77" t="s">
        <v>30</v>
      </c>
      <c r="D888" s="77" t="s">
        <v>1762</v>
      </c>
      <c r="E888" s="77" t="s">
        <v>1765</v>
      </c>
      <c r="F888" s="77" t="s">
        <v>524</v>
      </c>
      <c r="G888" s="77" t="s">
        <v>1599</v>
      </c>
      <c r="H888" s="77">
        <f>STOCK[[#This Row],[Precio Final]]</f>
        <v>1.2</v>
      </c>
      <c r="I888" s="77">
        <f>STOCK[[#This Row],[Precio Venta Ideal (x1.5)]]</f>
        <v>0.634411764705882</v>
      </c>
      <c r="J888" s="92">
        <v>10</v>
      </c>
      <c r="K888" s="92">
        <f>SUMIFS(VENTAS[Cantidad],VENTAS[Código del producto Vendido],STOCK[[#This Row],[Code]])</f>
        <v>0</v>
      </c>
      <c r="L888" s="92">
        <f>STOCK[[#This Row],[Entradas]]-STOCK[[#This Row],[Salidas]]</f>
        <v>10</v>
      </c>
      <c r="M888" s="77">
        <f>STOCK[[#This Row],[Precio Final]]*10%</f>
        <v>0.12</v>
      </c>
      <c r="N888" s="77">
        <v>4.3</v>
      </c>
      <c r="O888" s="77">
        <v>17</v>
      </c>
      <c r="P888" s="77">
        <v>0.252941176470588</v>
      </c>
      <c r="Q888" s="92">
        <v>0</v>
      </c>
      <c r="R888" s="77">
        <v>0</v>
      </c>
      <c r="S888" s="77">
        <v>0.05</v>
      </c>
      <c r="T888" s="76">
        <f>STOCK[[#This Row],[Costo Unitario (USD)]]+STOCK[[#This Row],[Costo Envío (USD)]]+STOCK[[#This Row],[Comisión 10%]]</f>
        <v>0.422941176470588</v>
      </c>
      <c r="U888" s="77">
        <f>STOCK[[#This Row],[Costo total]]*1.5</f>
        <v>0.634411764705882</v>
      </c>
      <c r="V888" s="77">
        <v>1.2</v>
      </c>
      <c r="W888" s="77">
        <f>STOCK[[#This Row],[Precio Final]]-STOCK[[#This Row],[Costo total]]</f>
        <v>0.777058823529412</v>
      </c>
      <c r="X888" s="77">
        <f>STOCK[[#This Row],[Ganancia Unitaria]]*STOCK[[#This Row],[Salidas]]</f>
        <v>0</v>
      </c>
      <c r="Y888" s="77" t="s">
        <v>1730</v>
      </c>
      <c r="Z888" s="77">
        <f>STOCK[[#This Row],[Costo Envío (USD)]]*STOCK[[#This Row],[Entradas]]</f>
        <v>0.5</v>
      </c>
      <c r="AA888" s="77">
        <f>STOCK[[#This Row],[Costo total]]*STOCK[[#This Row],[Entradas]]</f>
        <v>4.22941176470588</v>
      </c>
      <c r="AB888" s="77">
        <f>STOCK[[#This Row],[Stock Actual]]*STOCK[[#This Row],[Costo total]]</f>
        <v>4.22941176470588</v>
      </c>
    </row>
    <row r="889" s="76" customFormat="1" ht="50" customHeight="1" spans="1:28">
      <c r="A889" s="76" t="s">
        <v>1766</v>
      </c>
      <c r="B889" s="6"/>
      <c r="C889" s="76" t="s">
        <v>30</v>
      </c>
      <c r="D889" s="76" t="s">
        <v>1767</v>
      </c>
      <c r="E889" s="76" t="s">
        <v>1768</v>
      </c>
      <c r="F889" s="76" t="s">
        <v>524</v>
      </c>
      <c r="G889" s="76" t="s">
        <v>1599</v>
      </c>
      <c r="H889" s="76">
        <f>STOCK[[#This Row],[Precio Final]]</f>
        <v>1</v>
      </c>
      <c r="I889" s="76">
        <f>STOCK[[#This Row],[Precio Venta Ideal (x1.5)]]</f>
        <v>0.794117647058823</v>
      </c>
      <c r="J889" s="91">
        <v>20</v>
      </c>
      <c r="K889" s="91">
        <f>SUMIFS(VENTAS[Cantidad],VENTAS[Código del producto Vendido],STOCK[[#This Row],[Code]])</f>
        <v>7</v>
      </c>
      <c r="L889" s="91">
        <f>STOCK[[#This Row],[Entradas]]-STOCK[[#This Row],[Salidas]]</f>
        <v>13</v>
      </c>
      <c r="M889" s="76">
        <f>STOCK[[#This Row],[Precio Final]]*10%</f>
        <v>0.1</v>
      </c>
      <c r="N889" s="76">
        <v>6.45</v>
      </c>
      <c r="O889" s="76">
        <v>17</v>
      </c>
      <c r="P889" s="76">
        <v>0.379411764705882</v>
      </c>
      <c r="Q889" s="91">
        <v>0</v>
      </c>
      <c r="R889" s="76">
        <v>0</v>
      </c>
      <c r="S889" s="76">
        <v>0.05</v>
      </c>
      <c r="T889" s="76">
        <f>STOCK[[#This Row],[Costo Unitario (USD)]]+STOCK[[#This Row],[Costo Envío (USD)]]+STOCK[[#This Row],[Comisión 10%]]</f>
        <v>0.529411764705882</v>
      </c>
      <c r="U889" s="76">
        <f>STOCK[[#This Row],[Costo total]]*1.5</f>
        <v>0.794117647058823</v>
      </c>
      <c r="V889" s="76">
        <v>1</v>
      </c>
      <c r="W889" s="76">
        <f>STOCK[[#This Row],[Precio Final]]-STOCK[[#This Row],[Costo total]]</f>
        <v>0.470588235294118</v>
      </c>
      <c r="X889" s="76">
        <f>STOCK[[#This Row],[Ganancia Unitaria]]*STOCK[[#This Row],[Salidas]]</f>
        <v>3.29411764705883</v>
      </c>
      <c r="Y889" s="76" t="s">
        <v>1730</v>
      </c>
      <c r="Z889" s="76">
        <f>STOCK[[#This Row],[Costo Envío (USD)]]*STOCK[[#This Row],[Entradas]]</f>
        <v>1</v>
      </c>
      <c r="AA889" s="76">
        <f>STOCK[[#This Row],[Costo total]]*STOCK[[#This Row],[Entradas]]</f>
        <v>10.5882352941176</v>
      </c>
      <c r="AB889" s="76">
        <f>STOCK[[#This Row],[Stock Actual]]*STOCK[[#This Row],[Costo total]]</f>
        <v>6.88235294117647</v>
      </c>
    </row>
    <row r="890" s="77" customFormat="1" ht="50" customHeight="1" spans="1:28">
      <c r="A890" s="77" t="s">
        <v>1769</v>
      </c>
      <c r="B890" s="6"/>
      <c r="C890" s="77" t="s">
        <v>30</v>
      </c>
      <c r="D890" s="77" t="s">
        <v>1770</v>
      </c>
      <c r="E890" s="77" t="s">
        <v>1742</v>
      </c>
      <c r="F890" s="77" t="s">
        <v>44</v>
      </c>
      <c r="G890" s="77" t="s">
        <v>1599</v>
      </c>
      <c r="H890" s="77">
        <f>STOCK[[#This Row],[Precio Final]]</f>
        <v>22</v>
      </c>
      <c r="I890" s="77">
        <f>STOCK[[#This Row],[Precio Venta Ideal (x1.5)]]</f>
        <v>23.3294117647059</v>
      </c>
      <c r="J890" s="92">
        <v>3</v>
      </c>
      <c r="K890" s="92">
        <f>SUMIFS(VENTAS[Cantidad],VENTAS[Código del producto Vendido],STOCK[[#This Row],[Code]])</f>
        <v>1</v>
      </c>
      <c r="L890" s="92">
        <f>STOCK[[#This Row],[Entradas]]-STOCK[[#This Row],[Salidas]]</f>
        <v>2</v>
      </c>
      <c r="M890" s="77">
        <f>STOCK[[#This Row],[Precio Final]]*10%</f>
        <v>2.2</v>
      </c>
      <c r="N890" s="77">
        <v>159</v>
      </c>
      <c r="O890" s="77">
        <v>17</v>
      </c>
      <c r="P890" s="77">
        <v>9.35294117647059</v>
      </c>
      <c r="Q890" s="92">
        <v>0</v>
      </c>
      <c r="R890" s="77">
        <v>0</v>
      </c>
      <c r="S890" s="77">
        <v>4</v>
      </c>
      <c r="T890" s="76">
        <f>STOCK[[#This Row],[Costo Unitario (USD)]]+STOCK[[#This Row],[Costo Envío (USD)]]+STOCK[[#This Row],[Comisión 10%]]</f>
        <v>15.5529411764706</v>
      </c>
      <c r="U890" s="77">
        <f>STOCK[[#This Row],[Costo total]]*1.5</f>
        <v>23.3294117647059</v>
      </c>
      <c r="V890" s="77">
        <v>22</v>
      </c>
      <c r="W890" s="77">
        <f>STOCK[[#This Row],[Precio Final]]-STOCK[[#This Row],[Costo total]]</f>
        <v>6.44705882352941</v>
      </c>
      <c r="X890" s="77">
        <f>STOCK[[#This Row],[Ganancia Unitaria]]*STOCK[[#This Row],[Salidas]]</f>
        <v>6.44705882352941</v>
      </c>
      <c r="Y890" s="77" t="s">
        <v>1730</v>
      </c>
      <c r="Z890" s="77">
        <f>STOCK[[#This Row],[Costo Envío (USD)]]*STOCK[[#This Row],[Entradas]]</f>
        <v>12</v>
      </c>
      <c r="AA890" s="77">
        <f>STOCK[[#This Row],[Costo total]]*STOCK[[#This Row],[Entradas]]</f>
        <v>46.6588235294118</v>
      </c>
      <c r="AB890" s="77">
        <f>STOCK[[#This Row],[Stock Actual]]*STOCK[[#This Row],[Costo total]]</f>
        <v>31.1058823529412</v>
      </c>
    </row>
    <row r="891" s="76" customFormat="1" ht="50" customHeight="1" spans="1:28">
      <c r="A891" s="76" t="s">
        <v>1771</v>
      </c>
      <c r="B891" s="6"/>
      <c r="C891" s="76" t="s">
        <v>30</v>
      </c>
      <c r="D891" s="76" t="s">
        <v>36</v>
      </c>
      <c r="E891" s="76" t="s">
        <v>1772</v>
      </c>
      <c r="F891" s="76" t="s">
        <v>38</v>
      </c>
      <c r="G891" s="76" t="s">
        <v>1599</v>
      </c>
      <c r="H891" s="76">
        <f>STOCK[[#This Row],[Precio Final]]</f>
        <v>20</v>
      </c>
      <c r="I891" s="76">
        <f>STOCK[[#This Row],[Precio Venta Ideal (x1.5)]]</f>
        <v>21.5294117647059</v>
      </c>
      <c r="J891" s="91">
        <v>1</v>
      </c>
      <c r="K891" s="91">
        <f>SUMIFS(VENTAS[Cantidad],VENTAS[Código del producto Vendido],STOCK[[#This Row],[Code]])</f>
        <v>0</v>
      </c>
      <c r="L891" s="91">
        <f>STOCK[[#This Row],[Entradas]]-STOCK[[#This Row],[Salidas]]</f>
        <v>1</v>
      </c>
      <c r="M891" s="76">
        <f>STOCK[[#This Row],[Precio Final]]*10%</f>
        <v>2</v>
      </c>
      <c r="N891" s="76">
        <v>142</v>
      </c>
      <c r="O891" s="76">
        <v>17</v>
      </c>
      <c r="P891" s="76">
        <v>8.35294117647059</v>
      </c>
      <c r="Q891" s="91">
        <v>0</v>
      </c>
      <c r="R891" s="76">
        <v>0</v>
      </c>
      <c r="S891" s="76">
        <v>4</v>
      </c>
      <c r="T891" s="76">
        <f>STOCK[[#This Row],[Costo Unitario (USD)]]+STOCK[[#This Row],[Costo Envío (USD)]]+STOCK[[#This Row],[Comisión 10%]]</f>
        <v>14.3529411764706</v>
      </c>
      <c r="U891" s="76">
        <f>STOCK[[#This Row],[Costo total]]*1.5</f>
        <v>21.5294117647059</v>
      </c>
      <c r="V891" s="76">
        <v>20</v>
      </c>
      <c r="W891" s="76">
        <f>STOCK[[#This Row],[Precio Final]]-STOCK[[#This Row],[Costo total]]</f>
        <v>5.64705882352941</v>
      </c>
      <c r="X891" s="76">
        <f>STOCK[[#This Row],[Ganancia Unitaria]]*STOCK[[#This Row],[Salidas]]</f>
        <v>0</v>
      </c>
      <c r="Y891" s="76" t="s">
        <v>1730</v>
      </c>
      <c r="Z891" s="76">
        <f>STOCK[[#This Row],[Costo Envío (USD)]]*STOCK[[#This Row],[Entradas]]</f>
        <v>4</v>
      </c>
      <c r="AA891" s="76">
        <f>STOCK[[#This Row],[Costo total]]*STOCK[[#This Row],[Entradas]]</f>
        <v>14.3529411764706</v>
      </c>
      <c r="AB891" s="76">
        <f>STOCK[[#This Row],[Stock Actual]]*STOCK[[#This Row],[Costo total]]</f>
        <v>14.3529411764706</v>
      </c>
    </row>
    <row r="892" s="77" customFormat="1" ht="50" customHeight="1" spans="1:28">
      <c r="A892" s="77" t="s">
        <v>1773</v>
      </c>
      <c r="B892" s="6"/>
      <c r="C892" s="77" t="s">
        <v>30</v>
      </c>
      <c r="D892" s="76" t="s">
        <v>36</v>
      </c>
      <c r="E892" s="76" t="s">
        <v>1772</v>
      </c>
      <c r="F892" s="77" t="s">
        <v>60</v>
      </c>
      <c r="G892" s="77" t="s">
        <v>1599</v>
      </c>
      <c r="H892" s="77">
        <f>STOCK[[#This Row],[Precio Final]]</f>
        <v>20</v>
      </c>
      <c r="I892" s="77">
        <f>STOCK[[#This Row],[Precio Venta Ideal (x1.5)]]</f>
        <v>21.5294117647059</v>
      </c>
      <c r="J892" s="92">
        <v>1</v>
      </c>
      <c r="K892" s="92">
        <f>SUMIFS(VENTAS[Cantidad],VENTAS[Código del producto Vendido],STOCK[[#This Row],[Code]])</f>
        <v>0</v>
      </c>
      <c r="L892" s="92">
        <f>STOCK[[#This Row],[Entradas]]-STOCK[[#This Row],[Salidas]]</f>
        <v>1</v>
      </c>
      <c r="M892" s="77">
        <f>STOCK[[#This Row],[Precio Final]]*10%</f>
        <v>2</v>
      </c>
      <c r="N892" s="77">
        <v>142</v>
      </c>
      <c r="O892" s="77">
        <v>17</v>
      </c>
      <c r="P892" s="77">
        <v>8.35294117647059</v>
      </c>
      <c r="Q892" s="92">
        <v>0</v>
      </c>
      <c r="R892" s="77">
        <v>0</v>
      </c>
      <c r="S892" s="77">
        <v>4</v>
      </c>
      <c r="T892" s="76">
        <f>STOCK[[#This Row],[Costo Unitario (USD)]]+STOCK[[#This Row],[Costo Envío (USD)]]+STOCK[[#This Row],[Comisión 10%]]</f>
        <v>14.3529411764706</v>
      </c>
      <c r="U892" s="77">
        <f>STOCK[[#This Row],[Costo total]]*1.5</f>
        <v>21.5294117647059</v>
      </c>
      <c r="V892" s="77">
        <v>20</v>
      </c>
      <c r="W892" s="77">
        <f>STOCK[[#This Row],[Precio Final]]-STOCK[[#This Row],[Costo total]]</f>
        <v>5.64705882352941</v>
      </c>
      <c r="X892" s="77">
        <f>STOCK[[#This Row],[Ganancia Unitaria]]*STOCK[[#This Row],[Salidas]]</f>
        <v>0</v>
      </c>
      <c r="Y892" s="77" t="s">
        <v>1730</v>
      </c>
      <c r="Z892" s="77">
        <f>STOCK[[#This Row],[Costo Envío (USD)]]*STOCK[[#This Row],[Entradas]]</f>
        <v>4</v>
      </c>
      <c r="AA892" s="77">
        <f>STOCK[[#This Row],[Costo total]]*STOCK[[#This Row],[Entradas]]</f>
        <v>14.3529411764706</v>
      </c>
      <c r="AB892" s="77">
        <f>STOCK[[#This Row],[Stock Actual]]*STOCK[[#This Row],[Costo total]]</f>
        <v>14.3529411764706</v>
      </c>
    </row>
    <row r="893" s="76" customFormat="1" ht="50" customHeight="1" spans="1:28">
      <c r="A893" s="76" t="s">
        <v>1774</v>
      </c>
      <c r="B893" s="6"/>
      <c r="C893" s="76" t="s">
        <v>30</v>
      </c>
      <c r="D893" s="76" t="s">
        <v>974</v>
      </c>
      <c r="E893" s="76" t="s">
        <v>1772</v>
      </c>
      <c r="F893" s="76" t="s">
        <v>47</v>
      </c>
      <c r="G893" s="76" t="s">
        <v>1599</v>
      </c>
      <c r="H893" s="76">
        <f>STOCK[[#This Row],[Precio Final]]</f>
        <v>20</v>
      </c>
      <c r="I893" s="76">
        <f>STOCK[[#This Row],[Precio Venta Ideal (x1.5)]]</f>
        <v>21.5294117647059</v>
      </c>
      <c r="J893" s="91">
        <v>1</v>
      </c>
      <c r="K893" s="91">
        <f>SUMIFS(VENTAS[Cantidad],VENTAS[Código del producto Vendido],STOCK[[#This Row],[Code]])</f>
        <v>0</v>
      </c>
      <c r="L893" s="91">
        <f>STOCK[[#This Row],[Entradas]]-STOCK[[#This Row],[Salidas]]</f>
        <v>1</v>
      </c>
      <c r="M893" s="76">
        <f>STOCK[[#This Row],[Precio Final]]*10%</f>
        <v>2</v>
      </c>
      <c r="N893" s="76">
        <v>142</v>
      </c>
      <c r="O893" s="76">
        <v>17</v>
      </c>
      <c r="P893" s="76">
        <v>8.35294117647059</v>
      </c>
      <c r="Q893" s="91">
        <v>0</v>
      </c>
      <c r="R893" s="76">
        <v>0</v>
      </c>
      <c r="S893" s="76">
        <v>4</v>
      </c>
      <c r="T893" s="76">
        <f>STOCK[[#This Row],[Costo Unitario (USD)]]+STOCK[[#This Row],[Costo Envío (USD)]]+STOCK[[#This Row],[Comisión 10%]]</f>
        <v>14.3529411764706</v>
      </c>
      <c r="U893" s="76">
        <f>STOCK[[#This Row],[Costo total]]*1.5</f>
        <v>21.5294117647059</v>
      </c>
      <c r="V893" s="76">
        <v>20</v>
      </c>
      <c r="W893" s="76">
        <f>STOCK[[#This Row],[Precio Final]]-STOCK[[#This Row],[Costo total]]</f>
        <v>5.64705882352941</v>
      </c>
      <c r="X893" s="76">
        <f>STOCK[[#This Row],[Ganancia Unitaria]]*STOCK[[#This Row],[Salidas]]</f>
        <v>0</v>
      </c>
      <c r="Y893" s="76" t="s">
        <v>1730</v>
      </c>
      <c r="Z893" s="76">
        <f>STOCK[[#This Row],[Costo Envío (USD)]]*STOCK[[#This Row],[Entradas]]</f>
        <v>4</v>
      </c>
      <c r="AA893" s="76">
        <f>STOCK[[#This Row],[Costo total]]*STOCK[[#This Row],[Entradas]]</f>
        <v>14.3529411764706</v>
      </c>
      <c r="AB893" s="76">
        <f>STOCK[[#This Row],[Stock Actual]]*STOCK[[#This Row],[Costo total]]</f>
        <v>14.3529411764706</v>
      </c>
    </row>
    <row r="894" s="77" customFormat="1" ht="50" customHeight="1" spans="1:28">
      <c r="A894" s="77" t="s">
        <v>1775</v>
      </c>
      <c r="B894" s="6"/>
      <c r="C894" s="77" t="s">
        <v>30</v>
      </c>
      <c r="D894" s="77" t="s">
        <v>974</v>
      </c>
      <c r="E894" s="77" t="s">
        <v>1776</v>
      </c>
      <c r="F894" s="77" t="s">
        <v>204</v>
      </c>
      <c r="G894" s="77" t="s">
        <v>1599</v>
      </c>
      <c r="H894" s="77">
        <f>STOCK[[#This Row],[Precio Final]]</f>
        <v>20</v>
      </c>
      <c r="I894" s="77">
        <f>STOCK[[#This Row],[Precio Venta Ideal (x1.5)]]</f>
        <v>21.5294117647059</v>
      </c>
      <c r="J894" s="92">
        <v>1</v>
      </c>
      <c r="K894" s="92">
        <f>SUMIFS(VENTAS[Cantidad],VENTAS[Código del producto Vendido],STOCK[[#This Row],[Code]])</f>
        <v>1</v>
      </c>
      <c r="L894" s="92">
        <f>STOCK[[#This Row],[Entradas]]-STOCK[[#This Row],[Salidas]]</f>
        <v>0</v>
      </c>
      <c r="M894" s="77">
        <f>STOCK[[#This Row],[Precio Final]]*10%</f>
        <v>2</v>
      </c>
      <c r="N894" s="77">
        <v>142</v>
      </c>
      <c r="O894" s="77">
        <v>17</v>
      </c>
      <c r="P894" s="77">
        <v>8.35294117647059</v>
      </c>
      <c r="Q894" s="92">
        <v>0</v>
      </c>
      <c r="R894" s="77">
        <v>0</v>
      </c>
      <c r="S894" s="77">
        <v>4</v>
      </c>
      <c r="T894" s="76">
        <f>STOCK[[#This Row],[Costo Unitario (USD)]]+STOCK[[#This Row],[Costo Envío (USD)]]+STOCK[[#This Row],[Comisión 10%]]</f>
        <v>14.3529411764706</v>
      </c>
      <c r="U894" s="77">
        <f>STOCK[[#This Row],[Costo total]]*1.5</f>
        <v>21.5294117647059</v>
      </c>
      <c r="V894" s="77">
        <v>20</v>
      </c>
      <c r="W894" s="77">
        <f>STOCK[[#This Row],[Precio Final]]-STOCK[[#This Row],[Costo total]]</f>
        <v>5.64705882352941</v>
      </c>
      <c r="X894" s="77">
        <f>STOCK[[#This Row],[Ganancia Unitaria]]*STOCK[[#This Row],[Salidas]]</f>
        <v>5.64705882352941</v>
      </c>
      <c r="Y894" s="77" t="s">
        <v>1730</v>
      </c>
      <c r="Z894" s="77">
        <f>STOCK[[#This Row],[Costo Envío (USD)]]*STOCK[[#This Row],[Entradas]]</f>
        <v>4</v>
      </c>
      <c r="AA894" s="77">
        <f>STOCK[[#This Row],[Costo total]]*STOCK[[#This Row],[Entradas]]</f>
        <v>14.3529411764706</v>
      </c>
      <c r="AB894" s="77">
        <f>STOCK[[#This Row],[Stock Actual]]*STOCK[[#This Row],[Costo total]]</f>
        <v>0</v>
      </c>
    </row>
    <row r="895" s="76" customFormat="1" ht="50" customHeight="1" spans="1:28">
      <c r="A895" s="76" t="s">
        <v>1777</v>
      </c>
      <c r="B895" s="6"/>
      <c r="C895" s="76" t="s">
        <v>30</v>
      </c>
      <c r="D895" s="77" t="s">
        <v>36</v>
      </c>
      <c r="E895" s="76" t="s">
        <v>1778</v>
      </c>
      <c r="F895" s="76" t="s">
        <v>210</v>
      </c>
      <c r="G895" s="76" t="s">
        <v>1599</v>
      </c>
      <c r="H895" s="76">
        <f>STOCK[[#This Row],[Precio Final]]</f>
        <v>20</v>
      </c>
      <c r="I895" s="76">
        <f>STOCK[[#This Row],[Precio Venta Ideal (x1.5)]]</f>
        <v>21.5294117647059</v>
      </c>
      <c r="J895" s="91">
        <v>2</v>
      </c>
      <c r="K895" s="91">
        <f>SUMIFS(VENTAS[Cantidad],VENTAS[Código del producto Vendido],STOCK[[#This Row],[Code]])</f>
        <v>2</v>
      </c>
      <c r="L895" s="91">
        <f>STOCK[[#This Row],[Entradas]]-STOCK[[#This Row],[Salidas]]</f>
        <v>0</v>
      </c>
      <c r="M895" s="76">
        <f>STOCK[[#This Row],[Precio Final]]*10%</f>
        <v>2</v>
      </c>
      <c r="N895" s="76">
        <v>142</v>
      </c>
      <c r="O895" s="76">
        <v>17</v>
      </c>
      <c r="P895" s="76">
        <v>8.35294117647059</v>
      </c>
      <c r="Q895" s="91">
        <v>0</v>
      </c>
      <c r="R895" s="76">
        <v>0</v>
      </c>
      <c r="S895" s="76">
        <v>4</v>
      </c>
      <c r="T895" s="76">
        <f>STOCK[[#This Row],[Costo Unitario (USD)]]+STOCK[[#This Row],[Costo Envío (USD)]]+STOCK[[#This Row],[Comisión 10%]]</f>
        <v>14.3529411764706</v>
      </c>
      <c r="U895" s="76">
        <f>STOCK[[#This Row],[Costo total]]*1.5</f>
        <v>21.5294117647059</v>
      </c>
      <c r="V895" s="76">
        <v>20</v>
      </c>
      <c r="W895" s="76">
        <f>STOCK[[#This Row],[Precio Final]]-STOCK[[#This Row],[Costo total]]</f>
        <v>5.64705882352941</v>
      </c>
      <c r="X895" s="76">
        <f>STOCK[[#This Row],[Ganancia Unitaria]]*STOCK[[#This Row],[Salidas]]</f>
        <v>11.2941176470588</v>
      </c>
      <c r="Y895" s="76" t="s">
        <v>1730</v>
      </c>
      <c r="Z895" s="76">
        <f>STOCK[[#This Row],[Costo Envío (USD)]]*STOCK[[#This Row],[Entradas]]</f>
        <v>8</v>
      </c>
      <c r="AA895" s="76">
        <f>STOCK[[#This Row],[Costo total]]*STOCK[[#This Row],[Entradas]]</f>
        <v>28.7058823529412</v>
      </c>
      <c r="AB895" s="76">
        <f>STOCK[[#This Row],[Stock Actual]]*STOCK[[#This Row],[Costo total]]</f>
        <v>0</v>
      </c>
    </row>
    <row r="896" s="77" customFormat="1" ht="50" customHeight="1" spans="1:28">
      <c r="A896" s="77" t="s">
        <v>1779</v>
      </c>
      <c r="B896" s="6"/>
      <c r="C896" s="77" t="s">
        <v>30</v>
      </c>
      <c r="D896" s="77" t="s">
        <v>974</v>
      </c>
      <c r="E896" s="77" t="s">
        <v>1778</v>
      </c>
      <c r="F896" s="77" t="s">
        <v>47</v>
      </c>
      <c r="G896" s="77" t="s">
        <v>1599</v>
      </c>
      <c r="H896" s="77">
        <f>STOCK[[#This Row],[Precio Final]]</f>
        <v>20</v>
      </c>
      <c r="I896" s="77">
        <f>STOCK[[#This Row],[Precio Venta Ideal (x1.5)]]</f>
        <v>21.5294117647059</v>
      </c>
      <c r="J896" s="92">
        <v>2</v>
      </c>
      <c r="K896" s="92">
        <f>SUMIFS(VENTAS[Cantidad],VENTAS[Código del producto Vendido],STOCK[[#This Row],[Code]])</f>
        <v>1</v>
      </c>
      <c r="L896" s="92">
        <f>STOCK[[#This Row],[Entradas]]-STOCK[[#This Row],[Salidas]]</f>
        <v>1</v>
      </c>
      <c r="M896" s="77">
        <f>STOCK[[#This Row],[Precio Final]]*10%</f>
        <v>2</v>
      </c>
      <c r="N896" s="77">
        <v>142</v>
      </c>
      <c r="O896" s="77">
        <v>17</v>
      </c>
      <c r="P896" s="77">
        <v>8.35294117647059</v>
      </c>
      <c r="Q896" s="92">
        <v>0</v>
      </c>
      <c r="R896" s="77">
        <v>0</v>
      </c>
      <c r="S896" s="77">
        <v>4</v>
      </c>
      <c r="T896" s="76">
        <f>STOCK[[#This Row],[Costo Unitario (USD)]]+STOCK[[#This Row],[Costo Envío (USD)]]+STOCK[[#This Row],[Comisión 10%]]</f>
        <v>14.3529411764706</v>
      </c>
      <c r="U896" s="77">
        <f>STOCK[[#This Row],[Costo total]]*1.5</f>
        <v>21.5294117647059</v>
      </c>
      <c r="V896" s="77">
        <v>20</v>
      </c>
      <c r="W896" s="77">
        <f>STOCK[[#This Row],[Precio Final]]-STOCK[[#This Row],[Costo total]]</f>
        <v>5.64705882352941</v>
      </c>
      <c r="X896" s="77">
        <f>STOCK[[#This Row],[Ganancia Unitaria]]*STOCK[[#This Row],[Salidas]]</f>
        <v>5.64705882352941</v>
      </c>
      <c r="Y896" s="77" t="s">
        <v>1730</v>
      </c>
      <c r="Z896" s="77">
        <f>STOCK[[#This Row],[Costo Envío (USD)]]*STOCK[[#This Row],[Entradas]]</f>
        <v>8</v>
      </c>
      <c r="AA896" s="77">
        <f>STOCK[[#This Row],[Costo total]]*STOCK[[#This Row],[Entradas]]</f>
        <v>28.7058823529412</v>
      </c>
      <c r="AB896" s="77">
        <f>STOCK[[#This Row],[Stock Actual]]*STOCK[[#This Row],[Costo total]]</f>
        <v>14.3529411764706</v>
      </c>
    </row>
    <row r="897" s="76" customFormat="1" ht="50" customHeight="1" spans="1:28">
      <c r="A897" s="76" t="s">
        <v>1780</v>
      </c>
      <c r="B897" s="6"/>
      <c r="C897" s="76" t="s">
        <v>30</v>
      </c>
      <c r="D897" s="76" t="s">
        <v>1781</v>
      </c>
      <c r="E897" s="76" t="s">
        <v>1782</v>
      </c>
      <c r="F897" s="76" t="s">
        <v>524</v>
      </c>
      <c r="G897" s="76" t="s">
        <v>34</v>
      </c>
      <c r="H897" s="76">
        <f>STOCK[[#This Row],[Precio Final]]</f>
        <v>10</v>
      </c>
      <c r="I897" s="76">
        <f>STOCK[[#This Row],[Precio Venta Ideal (x1.5)]]</f>
        <v>7.23529411764707</v>
      </c>
      <c r="J897" s="91">
        <v>2</v>
      </c>
      <c r="K897" s="91">
        <f>SUMIFS(VENTAS[Cantidad],VENTAS[Código del producto Vendido],STOCK[[#This Row],[Code]])</f>
        <v>2</v>
      </c>
      <c r="L897" s="91">
        <f>STOCK[[#This Row],[Entradas]]-STOCK[[#This Row],[Salidas]]</f>
        <v>0</v>
      </c>
      <c r="M897" s="76">
        <f>STOCK[[#This Row],[Precio Final]]*10%</f>
        <v>1</v>
      </c>
      <c r="N897" s="76">
        <v>48</v>
      </c>
      <c r="O897" s="76">
        <v>17</v>
      </c>
      <c r="P897" s="76">
        <v>2.82352941176471</v>
      </c>
      <c r="Q897" s="91">
        <v>0</v>
      </c>
      <c r="R897" s="76">
        <v>0</v>
      </c>
      <c r="S897" s="76">
        <v>1</v>
      </c>
      <c r="T897" s="76">
        <f>STOCK[[#This Row],[Costo Unitario (USD)]]+STOCK[[#This Row],[Costo Envío (USD)]]+STOCK[[#This Row],[Comisión 10%]]</f>
        <v>4.82352941176471</v>
      </c>
      <c r="U897" s="76">
        <f>STOCK[[#This Row],[Costo total]]*1.5</f>
        <v>7.23529411764707</v>
      </c>
      <c r="V897" s="76">
        <v>10</v>
      </c>
      <c r="W897" s="76">
        <f>STOCK[[#This Row],[Precio Final]]-STOCK[[#This Row],[Costo total]]</f>
        <v>5.17647058823529</v>
      </c>
      <c r="X897" s="76">
        <f>STOCK[[#This Row],[Ganancia Unitaria]]*STOCK[[#This Row],[Salidas]]</f>
        <v>10.3529411764706</v>
      </c>
      <c r="Y897" s="76" t="s">
        <v>1730</v>
      </c>
      <c r="Z897" s="76">
        <f>STOCK[[#This Row],[Costo Envío (USD)]]*STOCK[[#This Row],[Entradas]]</f>
        <v>2</v>
      </c>
      <c r="AA897" s="76">
        <f>STOCK[[#This Row],[Costo total]]*STOCK[[#This Row],[Entradas]]</f>
        <v>9.64705882352942</v>
      </c>
      <c r="AB897" s="76">
        <f>STOCK[[#This Row],[Stock Actual]]*STOCK[[#This Row],[Costo total]]</f>
        <v>0</v>
      </c>
    </row>
    <row r="898" s="77" customFormat="1" ht="50" customHeight="1" spans="1:28">
      <c r="A898" s="77" t="s">
        <v>1783</v>
      </c>
      <c r="B898" s="6"/>
      <c r="C898" s="77" t="s">
        <v>30</v>
      </c>
      <c r="D898" s="77" t="s">
        <v>36</v>
      </c>
      <c r="E898" s="77" t="s">
        <v>1745</v>
      </c>
      <c r="F898" s="77" t="s">
        <v>47</v>
      </c>
      <c r="G898" s="77" t="s">
        <v>34</v>
      </c>
      <c r="H898" s="77">
        <f>STOCK[[#This Row],[Precio Final]]</f>
        <v>20</v>
      </c>
      <c r="I898" s="77">
        <f>STOCK[[#This Row],[Precio Venta Ideal (x1.5)]]</f>
        <v>17.3823529411765</v>
      </c>
      <c r="J898" s="92">
        <v>1</v>
      </c>
      <c r="K898" s="92">
        <f>SUMIFS(VENTAS[Cantidad],VENTAS[Código del producto Vendido],STOCK[[#This Row],[Code]])</f>
        <v>1</v>
      </c>
      <c r="L898" s="92">
        <f>STOCK[[#This Row],[Entradas]]-STOCK[[#This Row],[Salidas]]</f>
        <v>0</v>
      </c>
      <c r="M898" s="77">
        <f>STOCK[[#This Row],[Precio Final]]*10%</f>
        <v>2</v>
      </c>
      <c r="N898" s="77">
        <v>112</v>
      </c>
      <c r="O898" s="77">
        <v>17</v>
      </c>
      <c r="P898" s="77">
        <v>6.58823529411765</v>
      </c>
      <c r="Q898" s="92">
        <v>0</v>
      </c>
      <c r="R898" s="77">
        <v>0</v>
      </c>
      <c r="S898" s="77">
        <v>3</v>
      </c>
      <c r="T898" s="76">
        <f>STOCK[[#This Row],[Costo Unitario (USD)]]+STOCK[[#This Row],[Costo Envío (USD)]]+STOCK[[#This Row],[Comisión 10%]]</f>
        <v>11.5882352941177</v>
      </c>
      <c r="U898" s="77">
        <f>STOCK[[#This Row],[Costo total]]*1.5</f>
        <v>17.3823529411765</v>
      </c>
      <c r="V898" s="77">
        <v>20</v>
      </c>
      <c r="W898" s="77">
        <f>STOCK[[#This Row],[Precio Final]]-STOCK[[#This Row],[Costo total]]</f>
        <v>8.41176470588235</v>
      </c>
      <c r="X898" s="77">
        <f>STOCK[[#This Row],[Ganancia Unitaria]]*STOCK[[#This Row],[Salidas]]</f>
        <v>8.41176470588235</v>
      </c>
      <c r="Y898" s="77" t="s">
        <v>1730</v>
      </c>
      <c r="Z898" s="77">
        <f>STOCK[[#This Row],[Costo Envío (USD)]]*STOCK[[#This Row],[Entradas]]</f>
        <v>3</v>
      </c>
      <c r="AA898" s="77">
        <f>STOCK[[#This Row],[Costo total]]*STOCK[[#This Row],[Entradas]]</f>
        <v>11.5882352941177</v>
      </c>
      <c r="AB898" s="77">
        <f>STOCK[[#This Row],[Stock Actual]]*STOCK[[#This Row],[Costo total]]</f>
        <v>0</v>
      </c>
    </row>
    <row r="899" s="76" customFormat="1" ht="50" customHeight="1" spans="1:28">
      <c r="A899" s="76" t="s">
        <v>1784</v>
      </c>
      <c r="B899" s="6"/>
      <c r="C899" s="76" t="s">
        <v>30</v>
      </c>
      <c r="D899" s="76" t="s">
        <v>974</v>
      </c>
      <c r="E899" s="76" t="s">
        <v>1785</v>
      </c>
      <c r="F899" s="76" t="s">
        <v>44</v>
      </c>
      <c r="G899" s="76" t="s">
        <v>34</v>
      </c>
      <c r="H899" s="76">
        <f>STOCK[[#This Row],[Precio Final]]</f>
        <v>20</v>
      </c>
      <c r="I899" s="76">
        <f>STOCK[[#This Row],[Precio Venta Ideal (x1.5)]]</f>
        <v>17.3823529411765</v>
      </c>
      <c r="J899" s="91">
        <v>1</v>
      </c>
      <c r="K899" s="91">
        <f>SUMIFS(VENTAS[Cantidad],VENTAS[Código del producto Vendido],STOCK[[#This Row],[Code]])</f>
        <v>1</v>
      </c>
      <c r="L899" s="91">
        <f>STOCK[[#This Row],[Entradas]]-STOCK[[#This Row],[Salidas]]</f>
        <v>0</v>
      </c>
      <c r="M899" s="76">
        <f>STOCK[[#This Row],[Precio Final]]*10%</f>
        <v>2</v>
      </c>
      <c r="N899" s="76">
        <v>112</v>
      </c>
      <c r="O899" s="76">
        <v>17</v>
      </c>
      <c r="P899" s="76">
        <v>6.58823529411765</v>
      </c>
      <c r="Q899" s="91">
        <v>0</v>
      </c>
      <c r="R899" s="76">
        <v>0</v>
      </c>
      <c r="S899" s="76">
        <v>3</v>
      </c>
      <c r="T899" s="76">
        <f>STOCK[[#This Row],[Costo Unitario (USD)]]+STOCK[[#This Row],[Costo Envío (USD)]]+STOCK[[#This Row],[Comisión 10%]]</f>
        <v>11.5882352941177</v>
      </c>
      <c r="U899" s="76">
        <f>STOCK[[#This Row],[Costo total]]*1.5</f>
        <v>17.3823529411765</v>
      </c>
      <c r="V899" s="76">
        <v>20</v>
      </c>
      <c r="W899" s="76">
        <f>STOCK[[#This Row],[Precio Final]]-STOCK[[#This Row],[Costo total]]</f>
        <v>8.41176470588235</v>
      </c>
      <c r="X899" s="76">
        <f>STOCK[[#This Row],[Ganancia Unitaria]]*STOCK[[#This Row],[Salidas]]</f>
        <v>8.41176470588235</v>
      </c>
      <c r="Y899" s="76" t="s">
        <v>1730</v>
      </c>
      <c r="Z899" s="76">
        <f>STOCK[[#This Row],[Costo Envío (USD)]]*STOCK[[#This Row],[Entradas]]</f>
        <v>3</v>
      </c>
      <c r="AA899" s="76">
        <f>STOCK[[#This Row],[Costo total]]*STOCK[[#This Row],[Entradas]]</f>
        <v>11.5882352941177</v>
      </c>
      <c r="AB899" s="76">
        <f>STOCK[[#This Row],[Stock Actual]]*STOCK[[#This Row],[Costo total]]</f>
        <v>0</v>
      </c>
    </row>
    <row r="900" s="77" customFormat="1" ht="50" customHeight="1" spans="1:28">
      <c r="A900" s="77" t="s">
        <v>1786</v>
      </c>
      <c r="B900" s="6"/>
      <c r="C900" s="77" t="s">
        <v>30</v>
      </c>
      <c r="D900" s="77" t="s">
        <v>1787</v>
      </c>
      <c r="E900" s="77" t="s">
        <v>1788</v>
      </c>
      <c r="F900" s="77" t="s">
        <v>1789</v>
      </c>
      <c r="G900" s="77" t="s">
        <v>34</v>
      </c>
      <c r="H900" s="77">
        <f>STOCK[[#This Row],[Precio Final]]</f>
        <v>8</v>
      </c>
      <c r="I900" s="77">
        <f>STOCK[[#This Row],[Precio Venta Ideal (x1.5)]]</f>
        <v>7.55294117647059</v>
      </c>
      <c r="J900" s="92">
        <v>2</v>
      </c>
      <c r="K900" s="92">
        <f>SUMIFS(VENTAS[Cantidad],VENTAS[Código del producto Vendido],STOCK[[#This Row],[Code]])</f>
        <v>2</v>
      </c>
      <c r="L900" s="92">
        <f>STOCK[[#This Row],[Entradas]]-STOCK[[#This Row],[Salidas]]</f>
        <v>0</v>
      </c>
      <c r="M900" s="77">
        <f>STOCK[[#This Row],[Precio Final]]*10%</f>
        <v>0.8</v>
      </c>
      <c r="N900" s="77">
        <v>55</v>
      </c>
      <c r="O900" s="77">
        <v>17</v>
      </c>
      <c r="P900" s="77">
        <v>3.23529411764706</v>
      </c>
      <c r="Q900" s="92">
        <v>0</v>
      </c>
      <c r="R900" s="77">
        <v>0</v>
      </c>
      <c r="S900" s="77">
        <v>1</v>
      </c>
      <c r="T900" s="76">
        <f>STOCK[[#This Row],[Costo Unitario (USD)]]+STOCK[[#This Row],[Costo Envío (USD)]]+STOCK[[#This Row],[Comisión 10%]]</f>
        <v>5.03529411764706</v>
      </c>
      <c r="U900" s="77">
        <f>STOCK[[#This Row],[Costo total]]*1.5</f>
        <v>7.55294117647059</v>
      </c>
      <c r="V900" s="77">
        <v>8</v>
      </c>
      <c r="W900" s="77">
        <f>STOCK[[#This Row],[Precio Final]]-STOCK[[#This Row],[Costo total]]</f>
        <v>2.96470588235294</v>
      </c>
      <c r="X900" s="77">
        <f>STOCK[[#This Row],[Ganancia Unitaria]]*STOCK[[#This Row],[Salidas]]</f>
        <v>5.92941176470588</v>
      </c>
      <c r="Y900" s="77" t="s">
        <v>1730</v>
      </c>
      <c r="Z900" s="77">
        <f>STOCK[[#This Row],[Costo Envío (USD)]]*STOCK[[#This Row],[Entradas]]</f>
        <v>2</v>
      </c>
      <c r="AA900" s="77">
        <f>STOCK[[#This Row],[Costo total]]*STOCK[[#This Row],[Entradas]]</f>
        <v>10.0705882352941</v>
      </c>
      <c r="AB900" s="77">
        <f>STOCK[[#This Row],[Stock Actual]]*STOCK[[#This Row],[Costo total]]</f>
        <v>0</v>
      </c>
    </row>
    <row r="901" s="76" customFormat="1" ht="50" customHeight="1" spans="1:28">
      <c r="A901" s="76" t="s">
        <v>1790</v>
      </c>
      <c r="B901" s="6"/>
      <c r="C901" s="76" t="s">
        <v>30</v>
      </c>
      <c r="D901" s="76" t="s">
        <v>1781</v>
      </c>
      <c r="E901" s="76" t="s">
        <v>1791</v>
      </c>
      <c r="F901" s="76" t="s">
        <v>524</v>
      </c>
      <c r="G901" s="76" t="s">
        <v>34</v>
      </c>
      <c r="H901" s="76">
        <f>STOCK[[#This Row],[Precio Final]]</f>
        <v>8</v>
      </c>
      <c r="I901" s="76">
        <f>STOCK[[#This Row],[Precio Venta Ideal (x1.5)]]</f>
        <v>6.84705882352941</v>
      </c>
      <c r="J901" s="91">
        <v>1</v>
      </c>
      <c r="K901" s="91">
        <f>SUMIFS(VENTAS[Cantidad],VENTAS[Código del producto Vendido],STOCK[[#This Row],[Code]])</f>
        <v>1</v>
      </c>
      <c r="L901" s="91">
        <f>STOCK[[#This Row],[Entradas]]-STOCK[[#This Row],[Salidas]]</f>
        <v>0</v>
      </c>
      <c r="M901" s="76">
        <f>STOCK[[#This Row],[Precio Final]]*10%</f>
        <v>0.8</v>
      </c>
      <c r="N901" s="76">
        <v>47</v>
      </c>
      <c r="O901" s="76">
        <v>17</v>
      </c>
      <c r="P901" s="76">
        <v>2.76470588235294</v>
      </c>
      <c r="Q901" s="91">
        <v>0</v>
      </c>
      <c r="R901" s="76">
        <v>0</v>
      </c>
      <c r="S901" s="76">
        <v>1</v>
      </c>
      <c r="T901" s="76">
        <f>STOCK[[#This Row],[Costo Unitario (USD)]]+STOCK[[#This Row],[Costo Envío (USD)]]+STOCK[[#This Row],[Comisión 10%]]</f>
        <v>4.56470588235294</v>
      </c>
      <c r="U901" s="76">
        <f>STOCK[[#This Row],[Costo total]]*1.5</f>
        <v>6.84705882352941</v>
      </c>
      <c r="V901" s="76">
        <v>8</v>
      </c>
      <c r="W901" s="76">
        <f>STOCK[[#This Row],[Precio Final]]-STOCK[[#This Row],[Costo total]]</f>
        <v>3.43529411764706</v>
      </c>
      <c r="X901" s="76">
        <f>STOCK[[#This Row],[Ganancia Unitaria]]*STOCK[[#This Row],[Salidas]]</f>
        <v>3.43529411764706</v>
      </c>
      <c r="Y901" s="76" t="s">
        <v>1730</v>
      </c>
      <c r="Z901" s="76">
        <f>STOCK[[#This Row],[Costo Envío (USD)]]*STOCK[[#This Row],[Entradas]]</f>
        <v>1</v>
      </c>
      <c r="AA901" s="76">
        <f>STOCK[[#This Row],[Costo total]]*STOCK[[#This Row],[Entradas]]</f>
        <v>4.56470588235294</v>
      </c>
      <c r="AB901" s="76">
        <f>STOCK[[#This Row],[Stock Actual]]*STOCK[[#This Row],[Costo total]]</f>
        <v>0</v>
      </c>
    </row>
    <row r="902" s="77" customFormat="1" ht="50" customHeight="1" spans="1:28">
      <c r="A902" s="77" t="s">
        <v>1792</v>
      </c>
      <c r="B902" s="12"/>
      <c r="C902" s="77" t="s">
        <v>30</v>
      </c>
      <c r="D902" s="77" t="s">
        <v>1793</v>
      </c>
      <c r="E902" s="77" t="s">
        <v>1794</v>
      </c>
      <c r="F902" s="77" t="s">
        <v>1795</v>
      </c>
      <c r="G902" s="77" t="s">
        <v>34</v>
      </c>
      <c r="H902" s="77">
        <f>STOCK[[#This Row],[Precio Final]]</f>
        <v>2</v>
      </c>
      <c r="I902" s="77">
        <f>STOCK[[#This Row],[Precio Venta Ideal (x1.5)]]</f>
        <v>2.38676470588235</v>
      </c>
      <c r="J902" s="92">
        <v>3</v>
      </c>
      <c r="K902" s="92">
        <f>SUMIFS(VENTAS[Cantidad],VENTAS[Código del producto Vendido],STOCK[[#This Row],[Code]])</f>
        <v>3</v>
      </c>
      <c r="L902" s="92">
        <f>STOCK[[#This Row],[Entradas]]-STOCK[[#This Row],[Salidas]]</f>
        <v>0</v>
      </c>
      <c r="M902" s="77">
        <f>STOCK[[#This Row],[Precio Final]]*10%</f>
        <v>0.2</v>
      </c>
      <c r="N902" s="77">
        <v>16</v>
      </c>
      <c r="O902" s="77">
        <v>17</v>
      </c>
      <c r="P902" s="77">
        <v>0.941176470588235</v>
      </c>
      <c r="Q902" s="92">
        <v>0</v>
      </c>
      <c r="R902" s="77">
        <v>0</v>
      </c>
      <c r="S902" s="77">
        <v>0.45</v>
      </c>
      <c r="T902" s="76">
        <f>STOCK[[#This Row],[Costo Unitario (USD)]]+STOCK[[#This Row],[Costo Envío (USD)]]+STOCK[[#This Row],[Comisión 10%]]</f>
        <v>1.59117647058823</v>
      </c>
      <c r="U902" s="77">
        <f>STOCK[[#This Row],[Costo total]]*1.5</f>
        <v>2.38676470588235</v>
      </c>
      <c r="V902" s="77">
        <v>2</v>
      </c>
      <c r="W902" s="77">
        <f>STOCK[[#This Row],[Precio Final]]-STOCK[[#This Row],[Costo total]]</f>
        <v>0.408823529411765</v>
      </c>
      <c r="X902" s="77">
        <f>STOCK[[#This Row],[Ganancia Unitaria]]*STOCK[[#This Row],[Salidas]]</f>
        <v>1.2264705882353</v>
      </c>
      <c r="Y902" s="77" t="s">
        <v>1730</v>
      </c>
      <c r="Z902" s="77">
        <f>STOCK[[#This Row],[Costo Envío (USD)]]*STOCK[[#This Row],[Entradas]]</f>
        <v>1.35</v>
      </c>
      <c r="AA902" s="77">
        <f>STOCK[[#This Row],[Costo total]]*STOCK[[#This Row],[Entradas]]</f>
        <v>4.7735294117647</v>
      </c>
      <c r="AB902" s="77">
        <f>STOCK[[#This Row],[Stock Actual]]*STOCK[[#This Row],[Costo total]]</f>
        <v>0</v>
      </c>
    </row>
    <row r="903" s="76" customFormat="1" ht="50" customHeight="1" spans="1:28">
      <c r="A903" s="76" t="s">
        <v>1796</v>
      </c>
      <c r="B903" s="6"/>
      <c r="C903" s="76" t="s">
        <v>30</v>
      </c>
      <c r="D903" s="76" t="s">
        <v>1797</v>
      </c>
      <c r="E903" s="76" t="s">
        <v>1794</v>
      </c>
      <c r="F903" s="76" t="s">
        <v>524</v>
      </c>
      <c r="G903" s="76" t="s">
        <v>34</v>
      </c>
      <c r="H903" s="76">
        <f>STOCK[[#This Row],[Precio Final]]</f>
        <v>2</v>
      </c>
      <c r="I903" s="76">
        <f>STOCK[[#This Row],[Precio Venta Ideal (x1.5)]]</f>
        <v>2.38676470588235</v>
      </c>
      <c r="J903" s="91">
        <v>3</v>
      </c>
      <c r="K903" s="91">
        <f>SUMIFS(VENTAS[Cantidad],VENTAS[Código del producto Vendido],STOCK[[#This Row],[Code]])</f>
        <v>2</v>
      </c>
      <c r="L903" s="91">
        <f>STOCK[[#This Row],[Entradas]]-STOCK[[#This Row],[Salidas]]</f>
        <v>1</v>
      </c>
      <c r="M903" s="76">
        <f>STOCK[[#This Row],[Precio Final]]*10%</f>
        <v>0.2</v>
      </c>
      <c r="N903" s="76">
        <v>16</v>
      </c>
      <c r="O903" s="76">
        <v>17</v>
      </c>
      <c r="P903" s="76">
        <v>0.941176470588235</v>
      </c>
      <c r="Q903" s="91">
        <v>0</v>
      </c>
      <c r="R903" s="76">
        <v>0</v>
      </c>
      <c r="S903" s="76">
        <v>0.45</v>
      </c>
      <c r="T903" s="76">
        <f>STOCK[[#This Row],[Costo Unitario (USD)]]+STOCK[[#This Row],[Costo Envío (USD)]]+STOCK[[#This Row],[Comisión 10%]]</f>
        <v>1.59117647058823</v>
      </c>
      <c r="U903" s="76">
        <f>STOCK[[#This Row],[Costo total]]*1.5</f>
        <v>2.38676470588235</v>
      </c>
      <c r="V903" s="76">
        <v>2</v>
      </c>
      <c r="W903" s="76">
        <f>STOCK[[#This Row],[Precio Final]]-STOCK[[#This Row],[Costo total]]</f>
        <v>0.408823529411765</v>
      </c>
      <c r="X903" s="76">
        <f>STOCK[[#This Row],[Ganancia Unitaria]]*STOCK[[#This Row],[Salidas]]</f>
        <v>0.81764705882353</v>
      </c>
      <c r="Y903" s="76" t="s">
        <v>1730</v>
      </c>
      <c r="Z903" s="76">
        <f>STOCK[[#This Row],[Costo Envío (USD)]]*STOCK[[#This Row],[Entradas]]</f>
        <v>1.35</v>
      </c>
      <c r="AA903" s="76">
        <f>STOCK[[#This Row],[Costo total]]*STOCK[[#This Row],[Entradas]]</f>
        <v>4.7735294117647</v>
      </c>
      <c r="AB903" s="76">
        <f>STOCK[[#This Row],[Stock Actual]]*STOCK[[#This Row],[Costo total]]</f>
        <v>1.59117647058823</v>
      </c>
    </row>
    <row r="904" s="77" customFormat="1" ht="50" customHeight="1" spans="1:28">
      <c r="A904" s="77" t="s">
        <v>1798</v>
      </c>
      <c r="B904" s="6"/>
      <c r="C904" s="77" t="s">
        <v>30</v>
      </c>
      <c r="D904" s="77" t="s">
        <v>1793</v>
      </c>
      <c r="E904" s="77" t="s">
        <v>1794</v>
      </c>
      <c r="F904" s="77" t="s">
        <v>1799</v>
      </c>
      <c r="G904" s="77" t="s">
        <v>34</v>
      </c>
      <c r="H904" s="77">
        <f>STOCK[[#This Row],[Precio Final]]</f>
        <v>2</v>
      </c>
      <c r="I904" s="77">
        <f>STOCK[[#This Row],[Precio Venta Ideal (x1.5)]]</f>
        <v>2.38676470588235</v>
      </c>
      <c r="J904" s="92">
        <v>3</v>
      </c>
      <c r="K904" s="92">
        <f>SUMIFS(VENTAS[Cantidad],VENTAS[Código del producto Vendido],STOCK[[#This Row],[Code]])</f>
        <v>3</v>
      </c>
      <c r="L904" s="92">
        <f>STOCK[[#This Row],[Entradas]]-STOCK[[#This Row],[Salidas]]</f>
        <v>0</v>
      </c>
      <c r="M904" s="77">
        <f>STOCK[[#This Row],[Precio Final]]*10%</f>
        <v>0.2</v>
      </c>
      <c r="N904" s="77">
        <v>16</v>
      </c>
      <c r="O904" s="77">
        <v>17</v>
      </c>
      <c r="P904" s="77">
        <v>0.941176470588235</v>
      </c>
      <c r="Q904" s="92">
        <v>0</v>
      </c>
      <c r="R904" s="77">
        <v>0</v>
      </c>
      <c r="S904" s="77">
        <v>0.45</v>
      </c>
      <c r="T904" s="76">
        <f>STOCK[[#This Row],[Costo Unitario (USD)]]+STOCK[[#This Row],[Costo Envío (USD)]]+STOCK[[#This Row],[Comisión 10%]]</f>
        <v>1.59117647058823</v>
      </c>
      <c r="U904" s="77">
        <f>STOCK[[#This Row],[Costo total]]*1.5</f>
        <v>2.38676470588235</v>
      </c>
      <c r="V904" s="77">
        <v>2</v>
      </c>
      <c r="W904" s="77">
        <f>STOCK[[#This Row],[Precio Final]]-STOCK[[#This Row],[Costo total]]</f>
        <v>0.408823529411765</v>
      </c>
      <c r="X904" s="77">
        <f>STOCK[[#This Row],[Ganancia Unitaria]]*STOCK[[#This Row],[Salidas]]</f>
        <v>1.2264705882353</v>
      </c>
      <c r="Y904" s="77" t="s">
        <v>1730</v>
      </c>
      <c r="Z904" s="77">
        <f>STOCK[[#This Row],[Costo Envío (USD)]]*STOCK[[#This Row],[Entradas]]</f>
        <v>1.35</v>
      </c>
      <c r="AA904" s="77">
        <f>STOCK[[#This Row],[Costo total]]*STOCK[[#This Row],[Entradas]]</f>
        <v>4.7735294117647</v>
      </c>
      <c r="AB904" s="77">
        <f>STOCK[[#This Row],[Stock Actual]]*STOCK[[#This Row],[Costo total]]</f>
        <v>0</v>
      </c>
    </row>
    <row r="905" s="76" customFormat="1" ht="50" customHeight="1" spans="1:28">
      <c r="A905" s="76" t="s">
        <v>1800</v>
      </c>
      <c r="B905" s="6"/>
      <c r="C905" s="76" t="s">
        <v>30</v>
      </c>
      <c r="D905" s="76" t="s">
        <v>1753</v>
      </c>
      <c r="E905" s="76" t="s">
        <v>1801</v>
      </c>
      <c r="F905" s="76" t="s">
        <v>60</v>
      </c>
      <c r="G905" s="76" t="s">
        <v>34</v>
      </c>
      <c r="H905" s="76">
        <f>STOCK[[#This Row],[Precio Final]]</f>
        <v>25</v>
      </c>
      <c r="I905" s="76">
        <f>STOCK[[#This Row],[Precio Venta Ideal (x1.5)]]</f>
        <v>23.1617647058824</v>
      </c>
      <c r="J905" s="91">
        <v>2</v>
      </c>
      <c r="K905" s="91">
        <f>SUMIFS(VENTAS[Cantidad],VENTAS[Código del producto Vendido],STOCK[[#This Row],[Code]])</f>
        <v>1</v>
      </c>
      <c r="L905" s="91">
        <f>STOCK[[#This Row],[Entradas]]-STOCK[[#This Row],[Salidas]]</f>
        <v>1</v>
      </c>
      <c r="M905" s="76">
        <f>STOCK[[#This Row],[Precio Final]]*10%</f>
        <v>2.5</v>
      </c>
      <c r="N905" s="76">
        <v>169</v>
      </c>
      <c r="O905" s="76">
        <v>17</v>
      </c>
      <c r="P905" s="76">
        <v>9.94117647058824</v>
      </c>
      <c r="Q905" s="91">
        <v>0</v>
      </c>
      <c r="R905" s="76">
        <v>0</v>
      </c>
      <c r="S905" s="76">
        <v>3</v>
      </c>
      <c r="T905" s="76">
        <f>STOCK[[#This Row],[Costo Unitario (USD)]]+STOCK[[#This Row],[Costo Envío (USD)]]+STOCK[[#This Row],[Comisión 10%]]</f>
        <v>15.4411764705882</v>
      </c>
      <c r="U905" s="76">
        <f>STOCK[[#This Row],[Costo total]]*1.5</f>
        <v>23.1617647058824</v>
      </c>
      <c r="V905" s="76">
        <v>25</v>
      </c>
      <c r="W905" s="76">
        <f>STOCK[[#This Row],[Precio Final]]-STOCK[[#This Row],[Costo total]]</f>
        <v>9.55882352941176</v>
      </c>
      <c r="X905" s="76">
        <f>STOCK[[#This Row],[Ganancia Unitaria]]*STOCK[[#This Row],[Salidas]]</f>
        <v>9.55882352941176</v>
      </c>
      <c r="Y905" s="76" t="s">
        <v>1730</v>
      </c>
      <c r="Z905" s="76">
        <f>STOCK[[#This Row],[Costo Envío (USD)]]*STOCK[[#This Row],[Entradas]]</f>
        <v>6</v>
      </c>
      <c r="AA905" s="76">
        <f>STOCK[[#This Row],[Costo total]]*STOCK[[#This Row],[Entradas]]</f>
        <v>30.8823529411765</v>
      </c>
      <c r="AB905" s="76">
        <f>STOCK[[#This Row],[Stock Actual]]*STOCK[[#This Row],[Costo total]]</f>
        <v>15.4411764705882</v>
      </c>
    </row>
    <row r="906" s="77" customFormat="1" ht="50" customHeight="1" spans="1:28">
      <c r="A906" s="77" t="s">
        <v>1802</v>
      </c>
      <c r="B906" s="6"/>
      <c r="C906" s="77" t="s">
        <v>30</v>
      </c>
      <c r="D906" s="77" t="s">
        <v>202</v>
      </c>
      <c r="E906" s="77" t="s">
        <v>1803</v>
      </c>
      <c r="F906" s="77" t="s">
        <v>1804</v>
      </c>
      <c r="G906" s="77" t="s">
        <v>34</v>
      </c>
      <c r="H906" s="77">
        <f>STOCK[[#This Row],[Precio Final]]</f>
        <v>35</v>
      </c>
      <c r="I906" s="77">
        <f>STOCK[[#This Row],[Precio Venta Ideal (x1.5)]]</f>
        <v>36.0441176470588</v>
      </c>
      <c r="J906" s="92">
        <v>1</v>
      </c>
      <c r="K906" s="92">
        <f>SUMIFS(VENTAS[Cantidad],VENTAS[Código del producto Vendido],STOCK[[#This Row],[Code]])</f>
        <v>0</v>
      </c>
      <c r="L906" s="92">
        <f>STOCK[[#This Row],[Entradas]]-STOCK[[#This Row],[Salidas]]</f>
        <v>1</v>
      </c>
      <c r="M906" s="77">
        <f>STOCK[[#This Row],[Precio Final]]*10%</f>
        <v>3.5</v>
      </c>
      <c r="N906" s="77">
        <v>264</v>
      </c>
      <c r="O906" s="77">
        <v>17</v>
      </c>
      <c r="P906" s="77">
        <v>15.5294117647059</v>
      </c>
      <c r="Q906" s="92">
        <v>0</v>
      </c>
      <c r="R906" s="77">
        <v>0</v>
      </c>
      <c r="S906" s="77">
        <v>5</v>
      </c>
      <c r="T906" s="76">
        <f>STOCK[[#This Row],[Costo Unitario (USD)]]+STOCK[[#This Row],[Costo Envío (USD)]]+STOCK[[#This Row],[Comisión 10%]]</f>
        <v>24.0294117647059</v>
      </c>
      <c r="U906" s="77">
        <f>STOCK[[#This Row],[Costo total]]*1.5</f>
        <v>36.0441176470588</v>
      </c>
      <c r="V906" s="77">
        <v>35</v>
      </c>
      <c r="W906" s="77">
        <f>STOCK[[#This Row],[Precio Final]]-STOCK[[#This Row],[Costo total]]</f>
        <v>10.9705882352941</v>
      </c>
      <c r="X906" s="77">
        <f>STOCK[[#This Row],[Ganancia Unitaria]]*STOCK[[#This Row],[Salidas]]</f>
        <v>0</v>
      </c>
      <c r="Y906" s="77" t="s">
        <v>1730</v>
      </c>
      <c r="Z906" s="77">
        <f>STOCK[[#This Row],[Costo Envío (USD)]]*STOCK[[#This Row],[Entradas]]</f>
        <v>5</v>
      </c>
      <c r="AA906" s="77">
        <f>STOCK[[#This Row],[Costo total]]*STOCK[[#This Row],[Entradas]]</f>
        <v>24.0294117647059</v>
      </c>
      <c r="AB906" s="77">
        <f>STOCK[[#This Row],[Stock Actual]]*STOCK[[#This Row],[Costo total]]</f>
        <v>24.0294117647059</v>
      </c>
    </row>
    <row r="907" s="76" customFormat="1" ht="50" customHeight="1" spans="1:28">
      <c r="A907" s="76" t="s">
        <v>1805</v>
      </c>
      <c r="B907" s="13"/>
      <c r="C907" s="76" t="s">
        <v>30</v>
      </c>
      <c r="D907" s="76" t="s">
        <v>1806</v>
      </c>
      <c r="E907" s="76" t="s">
        <v>1807</v>
      </c>
      <c r="F907" s="76" t="s">
        <v>528</v>
      </c>
      <c r="G907" s="76" t="s">
        <v>34</v>
      </c>
      <c r="H907" s="76">
        <f>STOCK[[#This Row],[Precio Final]]</f>
        <v>3</v>
      </c>
      <c r="I907" s="76">
        <f>STOCK[[#This Row],[Precio Venta Ideal (x1.5)]]</f>
        <v>3.05294117647059</v>
      </c>
      <c r="J907" s="91">
        <v>3</v>
      </c>
      <c r="K907" s="91">
        <f>SUMIFS(VENTAS[Cantidad],VENTAS[Código del producto Vendido],STOCK[[#This Row],[Code]])</f>
        <v>3</v>
      </c>
      <c r="L907" s="91">
        <f>STOCK[[#This Row],[Entradas]]-STOCK[[#This Row],[Salidas]]</f>
        <v>0</v>
      </c>
      <c r="M907" s="76">
        <f>STOCK[[#This Row],[Precio Final]]*10%</f>
        <v>0.3</v>
      </c>
      <c r="N907" s="76">
        <v>21</v>
      </c>
      <c r="O907" s="76">
        <v>17</v>
      </c>
      <c r="P907" s="76">
        <v>1.23529411764706</v>
      </c>
      <c r="Q907" s="91">
        <v>0</v>
      </c>
      <c r="R907" s="76">
        <v>0</v>
      </c>
      <c r="S907" s="76">
        <v>0.5</v>
      </c>
      <c r="T907" s="76">
        <f>STOCK[[#This Row],[Costo Unitario (USD)]]+STOCK[[#This Row],[Costo Envío (USD)]]+STOCK[[#This Row],[Comisión 10%]]</f>
        <v>2.03529411764706</v>
      </c>
      <c r="U907" s="76">
        <f>STOCK[[#This Row],[Costo total]]*1.5</f>
        <v>3.05294117647059</v>
      </c>
      <c r="V907" s="76">
        <v>3</v>
      </c>
      <c r="W907" s="76">
        <f>STOCK[[#This Row],[Precio Final]]-STOCK[[#This Row],[Costo total]]</f>
        <v>0.96470588235294</v>
      </c>
      <c r="X907" s="76">
        <f>STOCK[[#This Row],[Ganancia Unitaria]]*STOCK[[#This Row],[Salidas]]</f>
        <v>2.89411764705882</v>
      </c>
      <c r="Y907" s="76" t="s">
        <v>1730</v>
      </c>
      <c r="Z907" s="76">
        <f>STOCK[[#This Row],[Costo Envío (USD)]]*STOCK[[#This Row],[Entradas]]</f>
        <v>1.5</v>
      </c>
      <c r="AA907" s="76">
        <f>STOCK[[#This Row],[Costo total]]*STOCK[[#This Row],[Entradas]]</f>
        <v>6.10588235294118</v>
      </c>
      <c r="AB907" s="76">
        <f>STOCK[[#This Row],[Stock Actual]]*STOCK[[#This Row],[Costo total]]</f>
        <v>0</v>
      </c>
    </row>
    <row r="908" s="77" customFormat="1" ht="50" customHeight="1" spans="1:28">
      <c r="A908" s="77" t="s">
        <v>1808</v>
      </c>
      <c r="B908" s="6"/>
      <c r="C908" s="77" t="s">
        <v>30</v>
      </c>
      <c r="D908" s="77" t="s">
        <v>1806</v>
      </c>
      <c r="E908" s="77" t="s">
        <v>1809</v>
      </c>
      <c r="F908" s="77" t="s">
        <v>528</v>
      </c>
      <c r="G908" s="77" t="s">
        <v>1810</v>
      </c>
      <c r="H908" s="77">
        <f>STOCK[[#This Row],[Precio Final]]</f>
        <v>3</v>
      </c>
      <c r="I908" s="77">
        <f>STOCK[[#This Row],[Precio Venta Ideal (x1.5)]]</f>
        <v>3.31764705882352</v>
      </c>
      <c r="J908" s="92">
        <v>1</v>
      </c>
      <c r="K908" s="92">
        <f>SUMIFS(VENTAS[Cantidad],VENTAS[Código del producto Vendido],STOCK[[#This Row],[Code]])</f>
        <v>1</v>
      </c>
      <c r="L908" s="92">
        <f>STOCK[[#This Row],[Entradas]]-STOCK[[#This Row],[Salidas]]</f>
        <v>0</v>
      </c>
      <c r="M908" s="77">
        <f>STOCK[[#This Row],[Precio Final]]*10%</f>
        <v>0.3</v>
      </c>
      <c r="N908" s="77">
        <v>24</v>
      </c>
      <c r="O908" s="77">
        <v>17</v>
      </c>
      <c r="P908" s="77">
        <v>1.41176470588235</v>
      </c>
      <c r="Q908" s="92">
        <v>0</v>
      </c>
      <c r="R908" s="77">
        <v>0</v>
      </c>
      <c r="S908" s="77">
        <v>0.5</v>
      </c>
      <c r="T908" s="76">
        <f>STOCK[[#This Row],[Costo Unitario (USD)]]+STOCK[[#This Row],[Costo Envío (USD)]]+STOCK[[#This Row],[Comisión 10%]]</f>
        <v>2.21176470588235</v>
      </c>
      <c r="U908" s="77">
        <f>STOCK[[#This Row],[Costo total]]*1.5</f>
        <v>3.31764705882352</v>
      </c>
      <c r="V908" s="77">
        <v>3</v>
      </c>
      <c r="W908" s="77">
        <f>STOCK[[#This Row],[Precio Final]]-STOCK[[#This Row],[Costo total]]</f>
        <v>0.78823529411765</v>
      </c>
      <c r="X908" s="77">
        <f>STOCK[[#This Row],[Ganancia Unitaria]]*STOCK[[#This Row],[Salidas]]</f>
        <v>0.78823529411765</v>
      </c>
      <c r="Y908" s="77" t="s">
        <v>1730</v>
      </c>
      <c r="Z908" s="77">
        <f>STOCK[[#This Row],[Costo Envío (USD)]]*STOCK[[#This Row],[Entradas]]</f>
        <v>0.5</v>
      </c>
      <c r="AA908" s="77">
        <f>STOCK[[#This Row],[Costo total]]*STOCK[[#This Row],[Entradas]]</f>
        <v>2.21176470588235</v>
      </c>
      <c r="AB908" s="77">
        <f>STOCK[[#This Row],[Stock Actual]]*STOCK[[#This Row],[Costo total]]</f>
        <v>0</v>
      </c>
    </row>
    <row r="909" s="76" customFormat="1" ht="50" customHeight="1" spans="1:28">
      <c r="A909" s="76" t="s">
        <v>1811</v>
      </c>
      <c r="B909" s="6"/>
      <c r="C909" s="76" t="s">
        <v>30</v>
      </c>
      <c r="D909" s="76" t="s">
        <v>42</v>
      </c>
      <c r="E909" s="76" t="s">
        <v>1812</v>
      </c>
      <c r="F909" s="76" t="s">
        <v>1711</v>
      </c>
      <c r="G909" s="76" t="s">
        <v>34</v>
      </c>
      <c r="H909" s="76">
        <f>STOCK[[#This Row],[Precio Final]]</f>
        <v>40</v>
      </c>
      <c r="I909" s="76">
        <f>STOCK[[#This Row],[Precio Venta Ideal (x1.5)]]</f>
        <v>40.4117647058823</v>
      </c>
      <c r="J909" s="91">
        <v>2</v>
      </c>
      <c r="K909" s="91">
        <f>SUMIFS(VENTAS[Cantidad],VENTAS[Código del producto Vendido],STOCK[[#This Row],[Code]])</f>
        <v>2</v>
      </c>
      <c r="L909" s="91">
        <f>STOCK[[#This Row],[Entradas]]-STOCK[[#This Row],[Salidas]]</f>
        <v>0</v>
      </c>
      <c r="M909" s="76">
        <f>STOCK[[#This Row],[Precio Final]]*10%</f>
        <v>4</v>
      </c>
      <c r="N909" s="76">
        <v>305</v>
      </c>
      <c r="O909" s="76">
        <v>17</v>
      </c>
      <c r="P909" s="76">
        <v>17.9411764705882</v>
      </c>
      <c r="Q909" s="91">
        <v>0</v>
      </c>
      <c r="R909" s="76">
        <v>0</v>
      </c>
      <c r="S909" s="76">
        <v>5</v>
      </c>
      <c r="T909" s="76">
        <f>STOCK[[#This Row],[Costo Unitario (USD)]]+STOCK[[#This Row],[Costo Envío (USD)]]+STOCK[[#This Row],[Comisión 10%]]</f>
        <v>26.9411764705882</v>
      </c>
      <c r="U909" s="76">
        <f>STOCK[[#This Row],[Costo total]]*1.5</f>
        <v>40.4117647058823</v>
      </c>
      <c r="V909" s="76">
        <v>40</v>
      </c>
      <c r="W909" s="76">
        <f>STOCK[[#This Row],[Precio Final]]-STOCK[[#This Row],[Costo total]]</f>
        <v>13.0588235294118</v>
      </c>
      <c r="X909" s="76">
        <f>STOCK[[#This Row],[Ganancia Unitaria]]*STOCK[[#This Row],[Salidas]]</f>
        <v>26.1176470588236</v>
      </c>
      <c r="Y909" s="76" t="s">
        <v>1730</v>
      </c>
      <c r="Z909" s="76">
        <f>STOCK[[#This Row],[Costo Envío (USD)]]*STOCK[[#This Row],[Entradas]]</f>
        <v>10</v>
      </c>
      <c r="AA909" s="76">
        <f>STOCK[[#This Row],[Costo total]]*STOCK[[#This Row],[Entradas]]</f>
        <v>53.8823529411764</v>
      </c>
      <c r="AB909" s="76">
        <f>STOCK[[#This Row],[Stock Actual]]*STOCK[[#This Row],[Costo total]]</f>
        <v>0</v>
      </c>
    </row>
    <row r="910" s="77" customFormat="1" ht="50" customHeight="1" spans="1:28">
      <c r="A910" s="77" t="s">
        <v>1813</v>
      </c>
      <c r="B910" s="6"/>
      <c r="C910" s="77" t="s">
        <v>30</v>
      </c>
      <c r="D910" s="77" t="s">
        <v>1814</v>
      </c>
      <c r="E910" s="77" t="s">
        <v>1815</v>
      </c>
      <c r="F910" s="77" t="s">
        <v>47</v>
      </c>
      <c r="G910" s="77" t="s">
        <v>34</v>
      </c>
      <c r="H910" s="77">
        <f>STOCK[[#This Row],[Precio Final]]</f>
        <v>25</v>
      </c>
      <c r="I910" s="77">
        <f>STOCK[[#This Row],[Precio Venta Ideal (x1.5)]]</f>
        <v>13.8970588235294</v>
      </c>
      <c r="J910" s="92">
        <v>1</v>
      </c>
      <c r="K910" s="92">
        <f>SUMIFS(VENTAS[Cantidad],VENTAS[Código del producto Vendido],STOCK[[#This Row],[Code]])</f>
        <v>0</v>
      </c>
      <c r="L910" s="92">
        <f>STOCK[[#This Row],[Entradas]]-STOCK[[#This Row],[Salidas]]</f>
        <v>1</v>
      </c>
      <c r="M910" s="77">
        <f>STOCK[[#This Row],[Precio Final]]*10%</f>
        <v>2.5</v>
      </c>
      <c r="N910" s="77">
        <v>115</v>
      </c>
      <c r="O910" s="77">
        <v>17</v>
      </c>
      <c r="P910" s="77">
        <v>6.76470588235294</v>
      </c>
      <c r="Q910" s="92">
        <v>0</v>
      </c>
      <c r="R910" s="77">
        <v>0</v>
      </c>
      <c r="S910" s="77">
        <v>0</v>
      </c>
      <c r="T910" s="76">
        <f>STOCK[[#This Row],[Costo Unitario (USD)]]+STOCK[[#This Row],[Costo Envío (USD)]]+STOCK[[#This Row],[Comisión 10%]]</f>
        <v>9.26470588235294</v>
      </c>
      <c r="U910" s="77">
        <f>STOCK[[#This Row],[Costo total]]*1.5</f>
        <v>13.8970588235294</v>
      </c>
      <c r="V910" s="77">
        <v>25</v>
      </c>
      <c r="W910" s="77">
        <f>STOCK[[#This Row],[Precio Final]]-STOCK[[#This Row],[Costo total]]</f>
        <v>15.7352941176471</v>
      </c>
      <c r="X910" s="77">
        <f>STOCK[[#This Row],[Ganancia Unitaria]]*STOCK[[#This Row],[Salidas]]</f>
        <v>0</v>
      </c>
      <c r="AA910" s="77">
        <f>STOCK[[#This Row],[Costo total]]*STOCK[[#This Row],[Entradas]]</f>
        <v>9.26470588235294</v>
      </c>
      <c r="AB910" s="77">
        <f>STOCK[[#This Row],[Stock Actual]]*STOCK[[#This Row],[Costo total]]</f>
        <v>9.26470588235294</v>
      </c>
    </row>
    <row r="911" s="76" customFormat="1" ht="50" customHeight="1" spans="1:28">
      <c r="A911" s="76" t="s">
        <v>1816</v>
      </c>
      <c r="B911" s="6"/>
      <c r="C911" s="76" t="s">
        <v>30</v>
      </c>
      <c r="D911" s="76" t="s">
        <v>1817</v>
      </c>
      <c r="E911" s="76" t="s">
        <v>1818</v>
      </c>
      <c r="F911" s="76" t="s">
        <v>1819</v>
      </c>
      <c r="G911" s="76" t="s">
        <v>1294</v>
      </c>
      <c r="H911" s="76">
        <f>STOCK[[#This Row],[Precio Final]]</f>
        <v>22</v>
      </c>
      <c r="I911" s="76">
        <f>STOCK[[#This Row],[Precio Venta Ideal (x1.5)]]</f>
        <v>19.485</v>
      </c>
      <c r="J911" s="91">
        <v>4</v>
      </c>
      <c r="K911" s="91">
        <f>SUMIFS(VENTAS[Cantidad],VENTAS[Código del producto Vendido],STOCK[[#This Row],[Code]])</f>
        <v>4</v>
      </c>
      <c r="L911" s="91">
        <f>STOCK[[#This Row],[Entradas]]-STOCK[[#This Row],[Salidas]]</f>
        <v>0</v>
      </c>
      <c r="M911" s="76">
        <f>STOCK[[#This Row],[Precio Final]]*10%</f>
        <v>2.2</v>
      </c>
      <c r="N911" s="76">
        <v>0</v>
      </c>
      <c r="O911" s="76">
        <v>0</v>
      </c>
      <c r="P911" s="76">
        <v>8.99</v>
      </c>
      <c r="Q911" s="91">
        <v>0</v>
      </c>
      <c r="R911" s="76">
        <v>0</v>
      </c>
      <c r="S911" s="76">
        <v>1.8</v>
      </c>
      <c r="T911" s="76">
        <f>STOCK[[#This Row],[Costo Unitario (USD)]]+STOCK[[#This Row],[Costo Envío (USD)]]+STOCK[[#This Row],[Comisión 10%]]</f>
        <v>12.99</v>
      </c>
      <c r="U911" s="76">
        <f>STOCK[[#This Row],[Costo total]]*1.5</f>
        <v>19.485</v>
      </c>
      <c r="V911" s="76">
        <v>22</v>
      </c>
      <c r="W911" s="76">
        <f>STOCK[[#This Row],[Precio Final]]-STOCK[[#This Row],[Costo total]]</f>
        <v>9.01</v>
      </c>
      <c r="X911" s="76">
        <f>STOCK[[#This Row],[Ganancia Unitaria]]*STOCK[[#This Row],[Salidas]]</f>
        <v>36.04</v>
      </c>
      <c r="Y911" s="76" t="s">
        <v>1820</v>
      </c>
      <c r="AA911" s="76">
        <f>STOCK[[#This Row],[Costo total]]*STOCK[[#This Row],[Entradas]]</f>
        <v>51.96</v>
      </c>
      <c r="AB911" s="76">
        <f>STOCK[[#This Row],[Stock Actual]]*STOCK[[#This Row],[Costo total]]</f>
        <v>0</v>
      </c>
    </row>
    <row r="912" s="77" customFormat="1" ht="50" customHeight="1" spans="1:28">
      <c r="A912" s="77" t="s">
        <v>1821</v>
      </c>
      <c r="B912" s="6"/>
      <c r="C912" s="77" t="s">
        <v>30</v>
      </c>
      <c r="D912" s="77" t="s">
        <v>1817</v>
      </c>
      <c r="E912" s="77" t="s">
        <v>1818</v>
      </c>
      <c r="F912" s="77" t="s">
        <v>1822</v>
      </c>
      <c r="G912" s="77" t="s">
        <v>1294</v>
      </c>
      <c r="H912" s="77">
        <f>STOCK[[#This Row],[Precio Final]]</f>
        <v>22</v>
      </c>
      <c r="I912" s="77">
        <f>STOCK[[#This Row],[Precio Venta Ideal (x1.5)]]</f>
        <v>19.485</v>
      </c>
      <c r="J912" s="92">
        <v>1</v>
      </c>
      <c r="K912" s="92">
        <f>SUMIFS(VENTAS[Cantidad],VENTAS[Código del producto Vendido],STOCK[[#This Row],[Code]])</f>
        <v>1</v>
      </c>
      <c r="L912" s="92">
        <f>STOCK[[#This Row],[Entradas]]-STOCK[[#This Row],[Salidas]]</f>
        <v>0</v>
      </c>
      <c r="M912" s="77">
        <f>STOCK[[#This Row],[Precio Final]]*10%</f>
        <v>2.2</v>
      </c>
      <c r="N912" s="77">
        <v>0</v>
      </c>
      <c r="O912" s="77">
        <v>0</v>
      </c>
      <c r="P912" s="77">
        <v>8.99</v>
      </c>
      <c r="Q912" s="92">
        <v>0</v>
      </c>
      <c r="R912" s="77">
        <v>0</v>
      </c>
      <c r="S912" s="77">
        <v>1.8</v>
      </c>
      <c r="T912" s="76">
        <f>STOCK[[#This Row],[Costo Unitario (USD)]]+STOCK[[#This Row],[Costo Envío (USD)]]+STOCK[[#This Row],[Comisión 10%]]</f>
        <v>12.99</v>
      </c>
      <c r="U912" s="77">
        <f>STOCK[[#This Row],[Costo total]]*1.5</f>
        <v>19.485</v>
      </c>
      <c r="V912" s="77">
        <v>22</v>
      </c>
      <c r="W912" s="77">
        <f>STOCK[[#This Row],[Precio Final]]-STOCK[[#This Row],[Costo total]]</f>
        <v>9.01</v>
      </c>
      <c r="X912" s="77">
        <f>STOCK[[#This Row],[Ganancia Unitaria]]*STOCK[[#This Row],[Salidas]]</f>
        <v>9.01</v>
      </c>
      <c r="Y912" s="77" t="s">
        <v>1820</v>
      </c>
      <c r="AA912" s="77">
        <f>STOCK[[#This Row],[Costo total]]*STOCK[[#This Row],[Entradas]]</f>
        <v>12.99</v>
      </c>
      <c r="AB912" s="77">
        <f>STOCK[[#This Row],[Stock Actual]]*STOCK[[#This Row],[Costo total]]</f>
        <v>0</v>
      </c>
    </row>
    <row r="913" s="76" customFormat="1" ht="50" customHeight="1" spans="1:28">
      <c r="A913" s="76" t="s">
        <v>1823</v>
      </c>
      <c r="B913" s="6"/>
      <c r="C913" s="76" t="s">
        <v>30</v>
      </c>
      <c r="D913" s="76" t="s">
        <v>42</v>
      </c>
      <c r="E913" s="76" t="s">
        <v>1818</v>
      </c>
      <c r="F913" s="76" t="s">
        <v>1824</v>
      </c>
      <c r="G913" s="76" t="s">
        <v>1294</v>
      </c>
      <c r="H913" s="76">
        <f>STOCK[[#This Row],[Precio Final]]</f>
        <v>22</v>
      </c>
      <c r="I913" s="76">
        <f>STOCK[[#This Row],[Precio Venta Ideal (x1.5)]]</f>
        <v>19.485</v>
      </c>
      <c r="J913" s="91">
        <v>2</v>
      </c>
      <c r="K913" s="91">
        <f>SUMIFS(VENTAS[Cantidad],VENTAS[Código del producto Vendido],STOCK[[#This Row],[Code]])</f>
        <v>2</v>
      </c>
      <c r="L913" s="91">
        <f>STOCK[[#This Row],[Entradas]]-STOCK[[#This Row],[Salidas]]</f>
        <v>0</v>
      </c>
      <c r="M913" s="76">
        <f>STOCK[[#This Row],[Precio Final]]*10%</f>
        <v>2.2</v>
      </c>
      <c r="N913" s="76">
        <v>0</v>
      </c>
      <c r="O913" s="76">
        <v>0</v>
      </c>
      <c r="P913" s="76">
        <v>8.99</v>
      </c>
      <c r="Q913" s="91">
        <v>0</v>
      </c>
      <c r="R913" s="76">
        <v>0</v>
      </c>
      <c r="S913" s="76">
        <v>1.8</v>
      </c>
      <c r="T913" s="76">
        <f>STOCK[[#This Row],[Costo Unitario (USD)]]+STOCK[[#This Row],[Costo Envío (USD)]]+STOCK[[#This Row],[Comisión 10%]]</f>
        <v>12.99</v>
      </c>
      <c r="U913" s="76">
        <f>STOCK[[#This Row],[Costo total]]*1.5</f>
        <v>19.485</v>
      </c>
      <c r="V913" s="76">
        <v>22</v>
      </c>
      <c r="W913" s="76">
        <f>STOCK[[#This Row],[Precio Final]]-STOCK[[#This Row],[Costo total]]</f>
        <v>9.01</v>
      </c>
      <c r="X913" s="76">
        <f>STOCK[[#This Row],[Ganancia Unitaria]]*STOCK[[#This Row],[Salidas]]</f>
        <v>18.02</v>
      </c>
      <c r="Y913" s="76" t="s">
        <v>1820</v>
      </c>
      <c r="AA913" s="76">
        <f>STOCK[[#This Row],[Costo total]]*STOCK[[#This Row],[Entradas]]</f>
        <v>25.98</v>
      </c>
      <c r="AB913" s="76">
        <f>STOCK[[#This Row],[Stock Actual]]*STOCK[[#This Row],[Costo total]]</f>
        <v>0</v>
      </c>
    </row>
    <row r="914" s="77" customFormat="1" ht="50" customHeight="1" spans="1:28">
      <c r="A914" s="77" t="s">
        <v>1825</v>
      </c>
      <c r="B914" s="6"/>
      <c r="C914" s="77" t="s">
        <v>30</v>
      </c>
      <c r="D914" s="77" t="s">
        <v>487</v>
      </c>
      <c r="E914" s="77" t="s">
        <v>1826</v>
      </c>
      <c r="F914" s="77" t="s">
        <v>524</v>
      </c>
      <c r="G914" s="77" t="s">
        <v>1294</v>
      </c>
      <c r="H914" s="77">
        <f>STOCK[[#This Row],[Precio Final]]</f>
        <v>25</v>
      </c>
      <c r="I914" s="77">
        <f>STOCK[[#This Row],[Precio Venta Ideal (x1.5)]]</f>
        <v>21.435</v>
      </c>
      <c r="J914" s="92">
        <v>2</v>
      </c>
      <c r="K914" s="92">
        <f>SUMIFS(VENTAS[Cantidad],VENTAS[Código del producto Vendido],STOCK[[#This Row],[Code]])</f>
        <v>1</v>
      </c>
      <c r="L914" s="92">
        <f>STOCK[[#This Row],[Entradas]]-STOCK[[#This Row],[Salidas]]</f>
        <v>1</v>
      </c>
      <c r="M914" s="77">
        <f>STOCK[[#This Row],[Precio Final]]*10%</f>
        <v>2.5</v>
      </c>
      <c r="N914" s="77">
        <v>0</v>
      </c>
      <c r="O914" s="77">
        <v>0</v>
      </c>
      <c r="P914" s="77">
        <v>9.99</v>
      </c>
      <c r="Q914" s="92">
        <v>0</v>
      </c>
      <c r="R914" s="77">
        <v>0</v>
      </c>
      <c r="S914" s="77">
        <v>1.8</v>
      </c>
      <c r="T914" s="76">
        <f>STOCK[[#This Row],[Costo Unitario (USD)]]+STOCK[[#This Row],[Costo Envío (USD)]]+STOCK[[#This Row],[Comisión 10%]]</f>
        <v>14.29</v>
      </c>
      <c r="U914" s="77">
        <f>STOCK[[#This Row],[Costo total]]*1.5</f>
        <v>21.435</v>
      </c>
      <c r="V914" s="77">
        <v>25</v>
      </c>
      <c r="W914" s="77">
        <f>STOCK[[#This Row],[Precio Final]]-STOCK[[#This Row],[Costo total]]</f>
        <v>10.71</v>
      </c>
      <c r="X914" s="77">
        <f>STOCK[[#This Row],[Ganancia Unitaria]]*STOCK[[#This Row],[Salidas]]</f>
        <v>10.71</v>
      </c>
      <c r="Y914" s="77" t="s">
        <v>1820</v>
      </c>
      <c r="AA914" s="77">
        <f>STOCK[[#This Row],[Costo total]]*STOCK[[#This Row],[Entradas]]</f>
        <v>28.58</v>
      </c>
      <c r="AB914" s="77">
        <f>STOCK[[#This Row],[Stock Actual]]*STOCK[[#This Row],[Costo total]]</f>
        <v>14.29</v>
      </c>
    </row>
    <row r="915" s="76" customFormat="1" ht="50" customHeight="1" spans="1:28">
      <c r="A915" s="76" t="s">
        <v>1827</v>
      </c>
      <c r="B915" s="6"/>
      <c r="C915" s="76" t="s">
        <v>30</v>
      </c>
      <c r="D915" s="76" t="s">
        <v>1828</v>
      </c>
      <c r="E915" s="76" t="s">
        <v>1829</v>
      </c>
      <c r="F915" s="76" t="s">
        <v>44</v>
      </c>
      <c r="G915" s="76" t="s">
        <v>1294</v>
      </c>
      <c r="H915" s="76">
        <f>STOCK[[#This Row],[Precio Final]]</f>
        <v>30</v>
      </c>
      <c r="I915" s="76">
        <f>STOCK[[#This Row],[Precio Venta Ideal (x1.5)]]</f>
        <v>29.685</v>
      </c>
      <c r="J915" s="91">
        <v>2</v>
      </c>
      <c r="K915" s="91">
        <f>SUMIFS(VENTAS[Cantidad],VENTAS[Código del producto Vendido],STOCK[[#This Row],[Code]])</f>
        <v>1</v>
      </c>
      <c r="L915" s="91">
        <f>STOCK[[#This Row],[Entradas]]-STOCK[[#This Row],[Salidas]]</f>
        <v>1</v>
      </c>
      <c r="M915" s="76">
        <f>STOCK[[#This Row],[Precio Final]]*10%</f>
        <v>3</v>
      </c>
      <c r="N915" s="76">
        <v>0</v>
      </c>
      <c r="O915" s="76">
        <v>0</v>
      </c>
      <c r="P915" s="76">
        <v>14.99</v>
      </c>
      <c r="Q915" s="91">
        <v>0</v>
      </c>
      <c r="R915" s="76">
        <v>0</v>
      </c>
      <c r="S915" s="76">
        <v>1.8</v>
      </c>
      <c r="T915" s="76">
        <f>STOCK[[#This Row],[Costo Unitario (USD)]]+STOCK[[#This Row],[Costo Envío (USD)]]+STOCK[[#This Row],[Comisión 10%]]</f>
        <v>19.79</v>
      </c>
      <c r="U915" s="76">
        <f>STOCK[[#This Row],[Costo total]]*1.5</f>
        <v>29.685</v>
      </c>
      <c r="V915" s="76">
        <v>30</v>
      </c>
      <c r="W915" s="76">
        <f>STOCK[[#This Row],[Precio Final]]-STOCK[[#This Row],[Costo total]]</f>
        <v>10.21</v>
      </c>
      <c r="X915" s="76">
        <f>STOCK[[#This Row],[Ganancia Unitaria]]*STOCK[[#This Row],[Salidas]]</f>
        <v>10.21</v>
      </c>
      <c r="Y915" s="76" t="s">
        <v>1820</v>
      </c>
      <c r="AA915" s="76">
        <f>STOCK[[#This Row],[Costo total]]*STOCK[[#This Row],[Entradas]]</f>
        <v>39.58</v>
      </c>
      <c r="AB915" s="76">
        <f>STOCK[[#This Row],[Stock Actual]]*STOCK[[#This Row],[Costo total]]</f>
        <v>19.79</v>
      </c>
    </row>
    <row r="916" s="77" customFormat="1" ht="50" customHeight="1" spans="1:28">
      <c r="A916" s="77" t="s">
        <v>1830</v>
      </c>
      <c r="B916" s="6"/>
      <c r="C916" s="77" t="s">
        <v>30</v>
      </c>
      <c r="D916" s="77" t="s">
        <v>1828</v>
      </c>
      <c r="E916" s="77" t="s">
        <v>1831</v>
      </c>
      <c r="F916" s="77" t="s">
        <v>60</v>
      </c>
      <c r="G916" s="77" t="s">
        <v>1294</v>
      </c>
      <c r="H916" s="77">
        <f>STOCK[[#This Row],[Precio Final]]</f>
        <v>25</v>
      </c>
      <c r="I916" s="77">
        <f>STOCK[[#This Row],[Precio Venta Ideal (x1.5)]]</f>
        <v>21.435</v>
      </c>
      <c r="J916" s="92">
        <v>1</v>
      </c>
      <c r="K916" s="92">
        <f>SUMIFS(VENTAS[Cantidad],VENTAS[Código del producto Vendido],STOCK[[#This Row],[Code]])</f>
        <v>1</v>
      </c>
      <c r="L916" s="92">
        <f>STOCK[[#This Row],[Entradas]]-STOCK[[#This Row],[Salidas]]</f>
        <v>0</v>
      </c>
      <c r="M916" s="77">
        <f>STOCK[[#This Row],[Precio Final]]*10%</f>
        <v>2.5</v>
      </c>
      <c r="N916" s="77">
        <v>0</v>
      </c>
      <c r="O916" s="77">
        <v>0</v>
      </c>
      <c r="P916" s="77">
        <v>9.99</v>
      </c>
      <c r="Q916" s="92">
        <v>0</v>
      </c>
      <c r="R916" s="77">
        <v>0</v>
      </c>
      <c r="S916" s="77">
        <v>1.8</v>
      </c>
      <c r="T916" s="76">
        <f>STOCK[[#This Row],[Costo Unitario (USD)]]+STOCK[[#This Row],[Costo Envío (USD)]]+STOCK[[#This Row],[Comisión 10%]]</f>
        <v>14.29</v>
      </c>
      <c r="U916" s="77">
        <f>STOCK[[#This Row],[Costo total]]*1.5</f>
        <v>21.435</v>
      </c>
      <c r="V916" s="77">
        <v>25</v>
      </c>
      <c r="W916" s="77">
        <f>STOCK[[#This Row],[Precio Final]]-STOCK[[#This Row],[Costo total]]</f>
        <v>10.71</v>
      </c>
      <c r="X916" s="77">
        <f>STOCK[[#This Row],[Ganancia Unitaria]]*STOCK[[#This Row],[Salidas]]</f>
        <v>10.71</v>
      </c>
      <c r="Y916" s="77" t="s">
        <v>1820</v>
      </c>
      <c r="AA916" s="77">
        <f>STOCK[[#This Row],[Costo total]]*STOCK[[#This Row],[Entradas]]</f>
        <v>14.29</v>
      </c>
      <c r="AB916" s="77">
        <f>STOCK[[#This Row],[Stock Actual]]*STOCK[[#This Row],[Costo total]]</f>
        <v>0</v>
      </c>
    </row>
    <row r="917" s="76" customFormat="1" ht="50" customHeight="1" spans="1:28">
      <c r="A917" s="76" t="s">
        <v>1832</v>
      </c>
      <c r="B917" s="6"/>
      <c r="C917" s="76" t="s">
        <v>30</v>
      </c>
      <c r="D917" s="76" t="s">
        <v>1828</v>
      </c>
      <c r="E917" s="76" t="s">
        <v>1831</v>
      </c>
      <c r="F917" s="76" t="s">
        <v>47</v>
      </c>
      <c r="G917" s="76" t="s">
        <v>1294</v>
      </c>
      <c r="H917" s="76">
        <f>STOCK[[#This Row],[Precio Final]]</f>
        <v>25</v>
      </c>
      <c r="I917" s="76">
        <f>STOCK[[#This Row],[Precio Venta Ideal (x1.5)]]</f>
        <v>21.435</v>
      </c>
      <c r="J917" s="91">
        <v>1</v>
      </c>
      <c r="K917" s="91">
        <f>SUMIFS(VENTAS[Cantidad],VENTAS[Código del producto Vendido],STOCK[[#This Row],[Code]])</f>
        <v>1</v>
      </c>
      <c r="L917" s="91">
        <f>STOCK[[#This Row],[Entradas]]-STOCK[[#This Row],[Salidas]]</f>
        <v>0</v>
      </c>
      <c r="M917" s="76">
        <f>STOCK[[#This Row],[Precio Final]]*10%</f>
        <v>2.5</v>
      </c>
      <c r="N917" s="76">
        <v>0</v>
      </c>
      <c r="O917" s="76">
        <v>0</v>
      </c>
      <c r="P917" s="76">
        <v>9.99</v>
      </c>
      <c r="Q917" s="91">
        <v>0</v>
      </c>
      <c r="R917" s="76">
        <v>0</v>
      </c>
      <c r="S917" s="76">
        <v>1.8</v>
      </c>
      <c r="T917" s="76">
        <f>STOCK[[#This Row],[Costo Unitario (USD)]]+STOCK[[#This Row],[Costo Envío (USD)]]+STOCK[[#This Row],[Comisión 10%]]</f>
        <v>14.29</v>
      </c>
      <c r="U917" s="76">
        <f>STOCK[[#This Row],[Costo total]]*1.5</f>
        <v>21.435</v>
      </c>
      <c r="V917" s="76">
        <v>25</v>
      </c>
      <c r="W917" s="76">
        <f>STOCK[[#This Row],[Precio Final]]-STOCK[[#This Row],[Costo total]]</f>
        <v>10.71</v>
      </c>
      <c r="X917" s="76">
        <f>STOCK[[#This Row],[Ganancia Unitaria]]*STOCK[[#This Row],[Salidas]]</f>
        <v>10.71</v>
      </c>
      <c r="Y917" s="76" t="s">
        <v>1820</v>
      </c>
      <c r="AA917" s="76">
        <f>STOCK[[#This Row],[Costo total]]*STOCK[[#This Row],[Entradas]]</f>
        <v>14.29</v>
      </c>
      <c r="AB917" s="76">
        <f>STOCK[[#This Row],[Stock Actual]]*STOCK[[#This Row],[Costo total]]</f>
        <v>0</v>
      </c>
    </row>
    <row r="918" s="77" customFormat="1" ht="50" customHeight="1" spans="1:28">
      <c r="A918" s="77" t="s">
        <v>1833</v>
      </c>
      <c r="B918" s="6"/>
      <c r="C918" s="77" t="s">
        <v>30</v>
      </c>
      <c r="D918" s="77" t="s">
        <v>1828</v>
      </c>
      <c r="E918" s="77" t="s">
        <v>1834</v>
      </c>
      <c r="F918" s="77" t="s">
        <v>1835</v>
      </c>
      <c r="G918" s="77" t="s">
        <v>1294</v>
      </c>
      <c r="H918" s="77">
        <f>STOCK[[#This Row],[Precio Final]]</f>
        <v>30</v>
      </c>
      <c r="I918" s="77">
        <f>STOCK[[#This Row],[Precio Venta Ideal (x1.5)]]</f>
        <v>22.185</v>
      </c>
      <c r="J918" s="92">
        <v>3</v>
      </c>
      <c r="K918" s="92">
        <f>SUMIFS(VENTAS[Cantidad],VENTAS[Código del producto Vendido],STOCK[[#This Row],[Code]])</f>
        <v>0</v>
      </c>
      <c r="L918" s="92">
        <f>STOCK[[#This Row],[Entradas]]-STOCK[[#This Row],[Salidas]]</f>
        <v>3</v>
      </c>
      <c r="M918" s="77">
        <f>STOCK[[#This Row],[Precio Final]]*10%</f>
        <v>3</v>
      </c>
      <c r="N918" s="77">
        <v>0</v>
      </c>
      <c r="O918" s="77">
        <v>0</v>
      </c>
      <c r="P918" s="77">
        <v>9.99</v>
      </c>
      <c r="Q918" s="92">
        <v>0</v>
      </c>
      <c r="R918" s="77">
        <v>0</v>
      </c>
      <c r="S918" s="77">
        <v>1.8</v>
      </c>
      <c r="T918" s="76">
        <f>STOCK[[#This Row],[Costo Unitario (USD)]]+STOCK[[#This Row],[Costo Envío (USD)]]+STOCK[[#This Row],[Comisión 10%]]</f>
        <v>14.79</v>
      </c>
      <c r="U918" s="77">
        <f>STOCK[[#This Row],[Costo total]]*1.5</f>
        <v>22.185</v>
      </c>
      <c r="V918" s="77">
        <v>30</v>
      </c>
      <c r="W918" s="77">
        <f>STOCK[[#This Row],[Precio Final]]-STOCK[[#This Row],[Costo total]]</f>
        <v>15.21</v>
      </c>
      <c r="X918" s="77">
        <f>STOCK[[#This Row],[Ganancia Unitaria]]*STOCK[[#This Row],[Salidas]]</f>
        <v>0</v>
      </c>
      <c r="Y918" s="77" t="s">
        <v>1820</v>
      </c>
      <c r="AA918" s="77">
        <f>STOCK[[#This Row],[Costo total]]*STOCK[[#This Row],[Entradas]]</f>
        <v>44.37</v>
      </c>
      <c r="AB918" s="77">
        <f>STOCK[[#This Row],[Stock Actual]]*STOCK[[#This Row],[Costo total]]</f>
        <v>44.37</v>
      </c>
    </row>
    <row r="919" s="76" customFormat="1" ht="50" customHeight="1" spans="1:28">
      <c r="A919" s="76" t="s">
        <v>1836</v>
      </c>
      <c r="B919" s="6"/>
      <c r="C919" s="76" t="s">
        <v>30</v>
      </c>
      <c r="D919" s="76" t="s">
        <v>1817</v>
      </c>
      <c r="E919" s="76" t="s">
        <v>1837</v>
      </c>
      <c r="F919" s="76" t="s">
        <v>1838</v>
      </c>
      <c r="G919" s="76" t="s">
        <v>1294</v>
      </c>
      <c r="H919" s="76">
        <f>STOCK[[#This Row],[Precio Final]]</f>
        <v>20</v>
      </c>
      <c r="I919" s="76">
        <f>STOCK[[#This Row],[Precio Venta Ideal (x1.5)]]</f>
        <v>20.685</v>
      </c>
      <c r="J919" s="91">
        <v>2</v>
      </c>
      <c r="K919" s="91">
        <f>SUMIFS(VENTAS[Cantidad],VENTAS[Código del producto Vendido],STOCK[[#This Row],[Code]])</f>
        <v>2</v>
      </c>
      <c r="L919" s="91">
        <f>STOCK[[#This Row],[Entradas]]-STOCK[[#This Row],[Salidas]]</f>
        <v>0</v>
      </c>
      <c r="M919" s="76">
        <f>STOCK[[#This Row],[Precio Final]]*10%</f>
        <v>2</v>
      </c>
      <c r="N919" s="76">
        <v>0</v>
      </c>
      <c r="O919" s="76">
        <v>0</v>
      </c>
      <c r="P919" s="76">
        <v>9.99</v>
      </c>
      <c r="Q919" s="91">
        <v>0</v>
      </c>
      <c r="R919" s="76">
        <v>0</v>
      </c>
      <c r="S919" s="76">
        <v>1.8</v>
      </c>
      <c r="T919" s="76">
        <f>STOCK[[#This Row],[Costo Unitario (USD)]]+STOCK[[#This Row],[Costo Envío (USD)]]+STOCK[[#This Row],[Comisión 10%]]</f>
        <v>13.79</v>
      </c>
      <c r="U919" s="76">
        <f>STOCK[[#This Row],[Costo total]]*1.5</f>
        <v>20.685</v>
      </c>
      <c r="V919" s="76">
        <v>20</v>
      </c>
      <c r="W919" s="76">
        <f>STOCK[[#This Row],[Precio Final]]-STOCK[[#This Row],[Costo total]]</f>
        <v>6.21</v>
      </c>
      <c r="X919" s="76">
        <f>STOCK[[#This Row],[Ganancia Unitaria]]*STOCK[[#This Row],[Salidas]]</f>
        <v>12.42</v>
      </c>
      <c r="Y919" s="76" t="s">
        <v>1820</v>
      </c>
      <c r="AA919" s="76">
        <f>STOCK[[#This Row],[Costo total]]*STOCK[[#This Row],[Entradas]]</f>
        <v>27.58</v>
      </c>
      <c r="AB919" s="76">
        <f>STOCK[[#This Row],[Stock Actual]]*STOCK[[#This Row],[Costo total]]</f>
        <v>0</v>
      </c>
    </row>
    <row r="920" s="77" customFormat="1" ht="50" customHeight="1" spans="1:28">
      <c r="A920" s="77" t="s">
        <v>1839</v>
      </c>
      <c r="B920" s="6"/>
      <c r="C920" s="77" t="s">
        <v>30</v>
      </c>
      <c r="D920" s="77" t="s">
        <v>1817</v>
      </c>
      <c r="E920" s="77" t="s">
        <v>1837</v>
      </c>
      <c r="F920" s="77" t="s">
        <v>1840</v>
      </c>
      <c r="G920" s="77" t="s">
        <v>1294</v>
      </c>
      <c r="H920" s="77">
        <f>STOCK[[#This Row],[Precio Final]]</f>
        <v>20</v>
      </c>
      <c r="I920" s="77">
        <f>STOCK[[#This Row],[Precio Venta Ideal (x1.5)]]</f>
        <v>20.685</v>
      </c>
      <c r="J920" s="92">
        <v>2</v>
      </c>
      <c r="K920" s="92">
        <f>SUMIFS(VENTAS[Cantidad],VENTAS[Código del producto Vendido],STOCK[[#This Row],[Code]])</f>
        <v>2</v>
      </c>
      <c r="L920" s="92">
        <f>STOCK[[#This Row],[Entradas]]-STOCK[[#This Row],[Salidas]]</f>
        <v>0</v>
      </c>
      <c r="M920" s="77">
        <f>STOCK[[#This Row],[Precio Final]]*10%</f>
        <v>2</v>
      </c>
      <c r="N920" s="77">
        <v>0</v>
      </c>
      <c r="O920" s="77">
        <v>0</v>
      </c>
      <c r="P920" s="77">
        <v>9.99</v>
      </c>
      <c r="Q920" s="92">
        <v>0</v>
      </c>
      <c r="R920" s="77">
        <v>0</v>
      </c>
      <c r="S920" s="77">
        <v>1.8</v>
      </c>
      <c r="T920" s="76">
        <f>STOCK[[#This Row],[Costo Unitario (USD)]]+STOCK[[#This Row],[Costo Envío (USD)]]+STOCK[[#This Row],[Comisión 10%]]</f>
        <v>13.79</v>
      </c>
      <c r="U920" s="77">
        <f>STOCK[[#This Row],[Costo total]]*1.5</f>
        <v>20.685</v>
      </c>
      <c r="V920" s="77">
        <v>20</v>
      </c>
      <c r="W920" s="77">
        <f>STOCK[[#This Row],[Precio Final]]-STOCK[[#This Row],[Costo total]]</f>
        <v>6.21</v>
      </c>
      <c r="X920" s="77">
        <f>STOCK[[#This Row],[Ganancia Unitaria]]*STOCK[[#This Row],[Salidas]]</f>
        <v>12.42</v>
      </c>
      <c r="Y920" s="77" t="s">
        <v>1820</v>
      </c>
      <c r="AA920" s="77">
        <f>STOCK[[#This Row],[Costo total]]*STOCK[[#This Row],[Entradas]]</f>
        <v>27.58</v>
      </c>
      <c r="AB920" s="77">
        <f>STOCK[[#This Row],[Stock Actual]]*STOCK[[#This Row],[Costo total]]</f>
        <v>0</v>
      </c>
    </row>
    <row r="921" s="76" customFormat="1" ht="50" customHeight="1" spans="1:28">
      <c r="A921" s="76" t="s">
        <v>1841</v>
      </c>
      <c r="B921" s="6"/>
      <c r="C921" s="76" t="s">
        <v>30</v>
      </c>
      <c r="D921" s="76" t="s">
        <v>1817</v>
      </c>
      <c r="E921" s="76" t="s">
        <v>1837</v>
      </c>
      <c r="F921" s="76" t="s">
        <v>1842</v>
      </c>
      <c r="G921" s="76" t="s">
        <v>1294</v>
      </c>
      <c r="H921" s="76">
        <f>STOCK[[#This Row],[Precio Final]]</f>
        <v>20</v>
      </c>
      <c r="I921" s="76">
        <f>STOCK[[#This Row],[Precio Venta Ideal (x1.5)]]</f>
        <v>20.685</v>
      </c>
      <c r="J921" s="91">
        <v>1</v>
      </c>
      <c r="K921" s="91">
        <f>SUMIFS(VENTAS[Cantidad],VENTAS[Código del producto Vendido],STOCK[[#This Row],[Code]])</f>
        <v>1</v>
      </c>
      <c r="L921" s="91">
        <f>STOCK[[#This Row],[Entradas]]-STOCK[[#This Row],[Salidas]]</f>
        <v>0</v>
      </c>
      <c r="M921" s="76">
        <f>STOCK[[#This Row],[Precio Final]]*10%</f>
        <v>2</v>
      </c>
      <c r="N921" s="76">
        <v>0</v>
      </c>
      <c r="O921" s="76">
        <v>0</v>
      </c>
      <c r="P921" s="76">
        <v>9.99</v>
      </c>
      <c r="Q921" s="91">
        <v>0</v>
      </c>
      <c r="R921" s="76">
        <v>0</v>
      </c>
      <c r="S921" s="76">
        <v>1.8</v>
      </c>
      <c r="T921" s="76">
        <f>STOCK[[#This Row],[Costo Unitario (USD)]]+STOCK[[#This Row],[Costo Envío (USD)]]+STOCK[[#This Row],[Comisión 10%]]</f>
        <v>13.79</v>
      </c>
      <c r="U921" s="76">
        <f>STOCK[[#This Row],[Costo total]]*1.5</f>
        <v>20.685</v>
      </c>
      <c r="V921" s="76">
        <v>20</v>
      </c>
      <c r="W921" s="76">
        <f>STOCK[[#This Row],[Precio Final]]-STOCK[[#This Row],[Costo total]]</f>
        <v>6.21</v>
      </c>
      <c r="X921" s="76">
        <f>STOCK[[#This Row],[Ganancia Unitaria]]*STOCK[[#This Row],[Salidas]]</f>
        <v>6.21</v>
      </c>
      <c r="Y921" s="76" t="s">
        <v>1820</v>
      </c>
      <c r="AA921" s="76">
        <f>STOCK[[#This Row],[Costo total]]*STOCK[[#This Row],[Entradas]]</f>
        <v>13.79</v>
      </c>
      <c r="AB921" s="76">
        <f>STOCK[[#This Row],[Stock Actual]]*STOCK[[#This Row],[Costo total]]</f>
        <v>0</v>
      </c>
    </row>
    <row r="922" s="77" customFormat="1" ht="50" customHeight="1" spans="1:28">
      <c r="A922" s="77" t="s">
        <v>1843</v>
      </c>
      <c r="B922" s="6"/>
      <c r="C922" s="77" t="s">
        <v>30</v>
      </c>
      <c r="D922" s="77" t="s">
        <v>1817</v>
      </c>
      <c r="E922" s="77" t="s">
        <v>1844</v>
      </c>
      <c r="F922" s="77" t="s">
        <v>47</v>
      </c>
      <c r="G922" s="77" t="s">
        <v>1294</v>
      </c>
      <c r="H922" s="77">
        <f>STOCK[[#This Row],[Precio Final]]</f>
        <v>30</v>
      </c>
      <c r="I922" s="77">
        <f>STOCK[[#This Row],[Precio Venta Ideal (x1.5)]]</f>
        <v>25.935</v>
      </c>
      <c r="J922" s="92">
        <v>1</v>
      </c>
      <c r="K922" s="92">
        <f>SUMIFS(VENTAS[Cantidad],VENTAS[Código del producto Vendido],STOCK[[#This Row],[Code]])</f>
        <v>0</v>
      </c>
      <c r="L922" s="92">
        <f>STOCK[[#This Row],[Entradas]]-STOCK[[#This Row],[Salidas]]</f>
        <v>1</v>
      </c>
      <c r="M922" s="77">
        <f>STOCK[[#This Row],[Precio Final]]*10%</f>
        <v>3</v>
      </c>
      <c r="N922" s="77">
        <v>0</v>
      </c>
      <c r="O922" s="77">
        <v>0</v>
      </c>
      <c r="P922" s="77">
        <v>12.49</v>
      </c>
      <c r="Q922" s="92">
        <v>0</v>
      </c>
      <c r="R922" s="77">
        <v>0</v>
      </c>
      <c r="S922" s="77">
        <v>1.8</v>
      </c>
      <c r="T922" s="76">
        <f>STOCK[[#This Row],[Costo Unitario (USD)]]+STOCK[[#This Row],[Costo Envío (USD)]]+STOCK[[#This Row],[Comisión 10%]]</f>
        <v>17.29</v>
      </c>
      <c r="U922" s="77">
        <f>STOCK[[#This Row],[Costo total]]*1.5</f>
        <v>25.935</v>
      </c>
      <c r="V922" s="77">
        <v>30</v>
      </c>
      <c r="W922" s="77">
        <f>STOCK[[#This Row],[Precio Final]]-STOCK[[#This Row],[Costo total]]</f>
        <v>12.71</v>
      </c>
      <c r="X922" s="77">
        <f>STOCK[[#This Row],[Ganancia Unitaria]]*STOCK[[#This Row],[Salidas]]</f>
        <v>0</v>
      </c>
      <c r="Y922" s="77" t="s">
        <v>1820</v>
      </c>
      <c r="AA922" s="77">
        <f>STOCK[[#This Row],[Costo total]]*STOCK[[#This Row],[Entradas]]</f>
        <v>17.29</v>
      </c>
      <c r="AB922" s="77">
        <f>STOCK[[#This Row],[Stock Actual]]*STOCK[[#This Row],[Costo total]]</f>
        <v>17.29</v>
      </c>
    </row>
    <row r="923" s="76" customFormat="1" ht="50" customHeight="1" spans="1:28">
      <c r="A923" s="76" t="s">
        <v>1845</v>
      </c>
      <c r="B923" s="6"/>
      <c r="C923" s="76" t="s">
        <v>30</v>
      </c>
      <c r="D923" s="76" t="s">
        <v>487</v>
      </c>
      <c r="E923" s="76" t="s">
        <v>1846</v>
      </c>
      <c r="F923" s="76" t="s">
        <v>524</v>
      </c>
      <c r="G923" s="76" t="s">
        <v>1294</v>
      </c>
      <c r="H923" s="76">
        <f>STOCK[[#This Row],[Precio Final]]</f>
        <v>25</v>
      </c>
      <c r="I923" s="76">
        <f>STOCK[[#This Row],[Precio Venta Ideal (x1.5)]]</f>
        <v>23.685</v>
      </c>
      <c r="J923" s="91">
        <v>2</v>
      </c>
      <c r="K923" s="91">
        <f>SUMIFS(VENTAS[Cantidad],VENTAS[Código del producto Vendido],STOCK[[#This Row],[Code]])</f>
        <v>1</v>
      </c>
      <c r="L923" s="91">
        <f>STOCK[[#This Row],[Entradas]]-STOCK[[#This Row],[Salidas]]</f>
        <v>1</v>
      </c>
      <c r="M923" s="76">
        <f>STOCK[[#This Row],[Precio Final]]*10%</f>
        <v>2.5</v>
      </c>
      <c r="N923" s="76">
        <v>0</v>
      </c>
      <c r="O923" s="76">
        <v>0</v>
      </c>
      <c r="P923" s="76">
        <v>11.49</v>
      </c>
      <c r="Q923" s="91">
        <v>0</v>
      </c>
      <c r="R923" s="76">
        <v>0</v>
      </c>
      <c r="S923" s="76">
        <v>1.8</v>
      </c>
      <c r="T923" s="76">
        <f>STOCK[[#This Row],[Costo Unitario (USD)]]+STOCK[[#This Row],[Costo Envío (USD)]]+STOCK[[#This Row],[Comisión 10%]]</f>
        <v>15.79</v>
      </c>
      <c r="U923" s="76">
        <f>STOCK[[#This Row],[Costo total]]*1.5</f>
        <v>23.685</v>
      </c>
      <c r="V923" s="76">
        <v>25</v>
      </c>
      <c r="W923" s="76">
        <f>STOCK[[#This Row],[Precio Final]]-STOCK[[#This Row],[Costo total]]</f>
        <v>9.21</v>
      </c>
      <c r="X923" s="76">
        <f>STOCK[[#This Row],[Ganancia Unitaria]]*STOCK[[#This Row],[Salidas]]</f>
        <v>9.21</v>
      </c>
      <c r="Y923" s="76" t="s">
        <v>1820</v>
      </c>
      <c r="AA923" s="76">
        <f>STOCK[[#This Row],[Costo total]]*STOCK[[#This Row],[Entradas]]</f>
        <v>31.58</v>
      </c>
      <c r="AB923" s="76">
        <f>STOCK[[#This Row],[Stock Actual]]*STOCK[[#This Row],[Costo total]]</f>
        <v>15.79</v>
      </c>
    </row>
    <row r="924" s="77" customFormat="1" ht="50" customHeight="1" spans="1:28">
      <c r="A924" s="77" t="s">
        <v>1847</v>
      </c>
      <c r="B924" s="6"/>
      <c r="C924" s="77" t="s">
        <v>30</v>
      </c>
      <c r="D924" s="77" t="s">
        <v>487</v>
      </c>
      <c r="E924" s="77" t="s">
        <v>1848</v>
      </c>
      <c r="F924" s="77" t="s">
        <v>524</v>
      </c>
      <c r="G924" s="77" t="s">
        <v>1294</v>
      </c>
      <c r="H924" s="77">
        <f>STOCK[[#This Row],[Precio Final]]</f>
        <v>18</v>
      </c>
      <c r="I924" s="77">
        <f>STOCK[[#This Row],[Precio Venta Ideal (x1.5)]]</f>
        <v>18.885</v>
      </c>
      <c r="J924" s="92">
        <v>2</v>
      </c>
      <c r="K924" s="92">
        <f>SUMIFS(VENTAS[Cantidad],VENTAS[Código del producto Vendido],STOCK[[#This Row],[Code]])</f>
        <v>1</v>
      </c>
      <c r="L924" s="92">
        <f>STOCK[[#This Row],[Entradas]]-STOCK[[#This Row],[Salidas]]</f>
        <v>1</v>
      </c>
      <c r="M924" s="77">
        <f>STOCK[[#This Row],[Precio Final]]*10%</f>
        <v>1.8</v>
      </c>
      <c r="N924" s="77">
        <v>0</v>
      </c>
      <c r="O924" s="77">
        <v>0</v>
      </c>
      <c r="P924" s="77">
        <v>8.99</v>
      </c>
      <c r="Q924" s="92">
        <v>0</v>
      </c>
      <c r="R924" s="77">
        <v>0</v>
      </c>
      <c r="S924" s="77">
        <v>1.8</v>
      </c>
      <c r="T924" s="76">
        <f>STOCK[[#This Row],[Costo Unitario (USD)]]+STOCK[[#This Row],[Costo Envío (USD)]]+STOCK[[#This Row],[Comisión 10%]]</f>
        <v>12.59</v>
      </c>
      <c r="U924" s="77">
        <f>STOCK[[#This Row],[Costo total]]*1.5</f>
        <v>18.885</v>
      </c>
      <c r="V924" s="77">
        <v>18</v>
      </c>
      <c r="W924" s="77">
        <f>STOCK[[#This Row],[Precio Final]]-STOCK[[#This Row],[Costo total]]</f>
        <v>5.41</v>
      </c>
      <c r="X924" s="77">
        <f>STOCK[[#This Row],[Ganancia Unitaria]]*STOCK[[#This Row],[Salidas]]</f>
        <v>5.41</v>
      </c>
      <c r="Y924" s="77" t="s">
        <v>1820</v>
      </c>
      <c r="AA924" s="77">
        <f>STOCK[[#This Row],[Costo total]]*STOCK[[#This Row],[Entradas]]</f>
        <v>25.18</v>
      </c>
      <c r="AB924" s="77">
        <f>STOCK[[#This Row],[Stock Actual]]*STOCK[[#This Row],[Costo total]]</f>
        <v>12.59</v>
      </c>
    </row>
    <row r="925" s="76" customFormat="1" ht="50" customHeight="1" spans="1:28">
      <c r="A925" s="76" t="s">
        <v>1849</v>
      </c>
      <c r="B925" s="6"/>
      <c r="C925" s="76" t="s">
        <v>30</v>
      </c>
      <c r="D925" s="76" t="s">
        <v>487</v>
      </c>
      <c r="E925" s="76" t="s">
        <v>1850</v>
      </c>
      <c r="F925" s="76" t="s">
        <v>524</v>
      </c>
      <c r="G925" s="76" t="s">
        <v>1294</v>
      </c>
      <c r="H925" s="76">
        <f>STOCK[[#This Row],[Precio Final]]</f>
        <v>18</v>
      </c>
      <c r="I925" s="76">
        <f>STOCK[[#This Row],[Precio Venta Ideal (x1.5)]]</f>
        <v>20.385</v>
      </c>
      <c r="J925" s="91">
        <v>2</v>
      </c>
      <c r="K925" s="91">
        <f>SUMIFS(VENTAS[Cantidad],VENTAS[Código del producto Vendido],STOCK[[#This Row],[Code]])</f>
        <v>0</v>
      </c>
      <c r="L925" s="91">
        <f>STOCK[[#This Row],[Entradas]]-STOCK[[#This Row],[Salidas]]</f>
        <v>2</v>
      </c>
      <c r="M925" s="76">
        <f>STOCK[[#This Row],[Precio Final]]*10%</f>
        <v>1.8</v>
      </c>
      <c r="N925" s="76">
        <v>0</v>
      </c>
      <c r="O925" s="76">
        <v>0</v>
      </c>
      <c r="P925" s="76">
        <v>9.99</v>
      </c>
      <c r="Q925" s="91">
        <v>0</v>
      </c>
      <c r="R925" s="76">
        <v>0</v>
      </c>
      <c r="S925" s="76">
        <v>1.8</v>
      </c>
      <c r="T925" s="76">
        <f>STOCK[[#This Row],[Costo Unitario (USD)]]+STOCK[[#This Row],[Costo Envío (USD)]]+STOCK[[#This Row],[Comisión 10%]]</f>
        <v>13.59</v>
      </c>
      <c r="U925" s="76">
        <f>STOCK[[#This Row],[Costo total]]*1.5</f>
        <v>20.385</v>
      </c>
      <c r="V925" s="76">
        <v>18</v>
      </c>
      <c r="W925" s="76">
        <f>STOCK[[#This Row],[Precio Final]]-STOCK[[#This Row],[Costo total]]</f>
        <v>4.41</v>
      </c>
      <c r="X925" s="76">
        <f>STOCK[[#This Row],[Ganancia Unitaria]]*STOCK[[#This Row],[Salidas]]</f>
        <v>0</v>
      </c>
      <c r="Y925" s="76" t="s">
        <v>1820</v>
      </c>
      <c r="AA925" s="76">
        <f>STOCK[[#This Row],[Costo total]]*STOCK[[#This Row],[Entradas]]</f>
        <v>27.18</v>
      </c>
      <c r="AB925" s="76">
        <f>STOCK[[#This Row],[Stock Actual]]*STOCK[[#This Row],[Costo total]]</f>
        <v>27.18</v>
      </c>
    </row>
    <row r="926" s="77" customFormat="1" ht="50" customHeight="1" spans="1:28">
      <c r="A926" s="77" t="s">
        <v>1851</v>
      </c>
      <c r="B926" s="6"/>
      <c r="C926" s="77" t="s">
        <v>30</v>
      </c>
      <c r="D926" s="77" t="s">
        <v>487</v>
      </c>
      <c r="E926" s="77" t="s">
        <v>1852</v>
      </c>
      <c r="F926" s="77" t="s">
        <v>1853</v>
      </c>
      <c r="G926" s="77" t="s">
        <v>1294</v>
      </c>
      <c r="H926" s="77">
        <f>STOCK[[#This Row],[Precio Final]]</f>
        <v>20</v>
      </c>
      <c r="I926" s="77">
        <f>STOCK[[#This Row],[Precio Venta Ideal (x1.5)]]</f>
        <v>19.185</v>
      </c>
      <c r="J926" s="92">
        <v>2</v>
      </c>
      <c r="K926" s="92">
        <f>SUMIFS(VENTAS[Cantidad],VENTAS[Código del producto Vendido],STOCK[[#This Row],[Code]])</f>
        <v>2</v>
      </c>
      <c r="L926" s="92">
        <f>STOCK[[#This Row],[Entradas]]-STOCK[[#This Row],[Salidas]]</f>
        <v>0</v>
      </c>
      <c r="M926" s="77">
        <f>STOCK[[#This Row],[Precio Final]]*10%</f>
        <v>2</v>
      </c>
      <c r="N926" s="77">
        <v>0</v>
      </c>
      <c r="O926" s="77">
        <v>0</v>
      </c>
      <c r="P926" s="77">
        <v>8.99</v>
      </c>
      <c r="Q926" s="92">
        <v>0</v>
      </c>
      <c r="R926" s="77">
        <v>0</v>
      </c>
      <c r="S926" s="77">
        <v>1.8</v>
      </c>
      <c r="T926" s="76">
        <f>STOCK[[#This Row],[Costo Unitario (USD)]]+STOCK[[#This Row],[Costo Envío (USD)]]+STOCK[[#This Row],[Comisión 10%]]</f>
        <v>12.79</v>
      </c>
      <c r="U926" s="77">
        <f>STOCK[[#This Row],[Costo total]]*1.5</f>
        <v>19.185</v>
      </c>
      <c r="V926" s="77">
        <v>20</v>
      </c>
      <c r="W926" s="77">
        <f>STOCK[[#This Row],[Precio Final]]-STOCK[[#This Row],[Costo total]]</f>
        <v>7.21</v>
      </c>
      <c r="X926" s="77">
        <f>STOCK[[#This Row],[Ganancia Unitaria]]*STOCK[[#This Row],[Salidas]]</f>
        <v>14.42</v>
      </c>
      <c r="Y926" s="77" t="s">
        <v>1820</v>
      </c>
      <c r="AA926" s="77">
        <f>STOCK[[#This Row],[Costo total]]*STOCK[[#This Row],[Entradas]]</f>
        <v>25.58</v>
      </c>
      <c r="AB926" s="77">
        <f>STOCK[[#This Row],[Stock Actual]]*STOCK[[#This Row],[Costo total]]</f>
        <v>0</v>
      </c>
    </row>
    <row r="927" s="76" customFormat="1" ht="50" customHeight="1" spans="1:28">
      <c r="A927" s="76" t="s">
        <v>1854</v>
      </c>
      <c r="B927" s="6"/>
      <c r="C927" s="76" t="s">
        <v>30</v>
      </c>
      <c r="D927" s="76" t="s">
        <v>487</v>
      </c>
      <c r="E927" s="76" t="s">
        <v>1855</v>
      </c>
      <c r="F927" s="76" t="s">
        <v>1853</v>
      </c>
      <c r="G927" s="76" t="s">
        <v>1294</v>
      </c>
      <c r="H927" s="76">
        <f>STOCK[[#This Row],[Precio Final]]</f>
        <v>20</v>
      </c>
      <c r="I927" s="76">
        <f>STOCK[[#This Row],[Precio Venta Ideal (x1.5)]]</f>
        <v>19.185</v>
      </c>
      <c r="J927" s="91">
        <v>2</v>
      </c>
      <c r="K927" s="91">
        <f>SUMIFS(VENTAS[Cantidad],VENTAS[Código del producto Vendido],STOCK[[#This Row],[Code]])</f>
        <v>2</v>
      </c>
      <c r="L927" s="91">
        <f>STOCK[[#This Row],[Entradas]]-STOCK[[#This Row],[Salidas]]</f>
        <v>0</v>
      </c>
      <c r="M927" s="76">
        <f>STOCK[[#This Row],[Precio Final]]*10%</f>
        <v>2</v>
      </c>
      <c r="N927" s="76">
        <v>0</v>
      </c>
      <c r="O927" s="76">
        <v>0</v>
      </c>
      <c r="P927" s="76">
        <v>8.99</v>
      </c>
      <c r="Q927" s="91">
        <v>0</v>
      </c>
      <c r="R927" s="76">
        <v>0</v>
      </c>
      <c r="S927" s="76">
        <v>1.8</v>
      </c>
      <c r="T927" s="76">
        <f>STOCK[[#This Row],[Costo Unitario (USD)]]+STOCK[[#This Row],[Costo Envío (USD)]]+STOCK[[#This Row],[Comisión 10%]]</f>
        <v>12.79</v>
      </c>
      <c r="U927" s="76">
        <f>STOCK[[#This Row],[Costo total]]*1.5</f>
        <v>19.185</v>
      </c>
      <c r="V927" s="76">
        <v>20</v>
      </c>
      <c r="W927" s="76">
        <f>STOCK[[#This Row],[Precio Final]]-STOCK[[#This Row],[Costo total]]</f>
        <v>7.21</v>
      </c>
      <c r="X927" s="76">
        <f>STOCK[[#This Row],[Ganancia Unitaria]]*STOCK[[#This Row],[Salidas]]</f>
        <v>14.42</v>
      </c>
      <c r="Y927" s="76" t="s">
        <v>1820</v>
      </c>
      <c r="AA927" s="76">
        <f>STOCK[[#This Row],[Costo total]]*STOCK[[#This Row],[Entradas]]</f>
        <v>25.58</v>
      </c>
      <c r="AB927" s="76">
        <f>STOCK[[#This Row],[Stock Actual]]*STOCK[[#This Row],[Costo total]]</f>
        <v>0</v>
      </c>
    </row>
    <row r="928" s="77" customFormat="1" ht="50" customHeight="1" spans="1:28">
      <c r="A928" s="77" t="s">
        <v>1856</v>
      </c>
      <c r="B928" s="6"/>
      <c r="C928" s="77" t="s">
        <v>30</v>
      </c>
      <c r="D928" s="77" t="s">
        <v>487</v>
      </c>
      <c r="E928" s="77" t="s">
        <v>1857</v>
      </c>
      <c r="F928" s="77" t="s">
        <v>524</v>
      </c>
      <c r="G928" s="77" t="s">
        <v>1294</v>
      </c>
      <c r="H928" s="77">
        <f>STOCK[[#This Row],[Precio Final]]</f>
        <v>20</v>
      </c>
      <c r="I928" s="77">
        <f>STOCK[[#This Row],[Precio Venta Ideal (x1.5)]]</f>
        <v>20.685</v>
      </c>
      <c r="J928" s="92">
        <v>2</v>
      </c>
      <c r="K928" s="92">
        <f>SUMIFS(VENTAS[Cantidad],VENTAS[Código del producto Vendido],STOCK[[#This Row],[Code]])</f>
        <v>0</v>
      </c>
      <c r="L928" s="92">
        <f>STOCK[[#This Row],[Entradas]]-STOCK[[#This Row],[Salidas]]</f>
        <v>2</v>
      </c>
      <c r="M928" s="77">
        <f>STOCK[[#This Row],[Precio Final]]*10%</f>
        <v>2</v>
      </c>
      <c r="N928" s="77">
        <v>0</v>
      </c>
      <c r="O928" s="77">
        <v>0</v>
      </c>
      <c r="P928" s="77">
        <v>9.99</v>
      </c>
      <c r="Q928" s="92">
        <v>0</v>
      </c>
      <c r="R928" s="77">
        <v>0</v>
      </c>
      <c r="S928" s="77">
        <v>1.8</v>
      </c>
      <c r="T928" s="76">
        <f>STOCK[[#This Row],[Costo Unitario (USD)]]+STOCK[[#This Row],[Costo Envío (USD)]]+STOCK[[#This Row],[Comisión 10%]]</f>
        <v>13.79</v>
      </c>
      <c r="U928" s="77">
        <f>STOCK[[#This Row],[Costo total]]*1.5</f>
        <v>20.685</v>
      </c>
      <c r="V928" s="77">
        <v>20</v>
      </c>
      <c r="W928" s="77">
        <f>STOCK[[#This Row],[Precio Final]]-STOCK[[#This Row],[Costo total]]</f>
        <v>6.21</v>
      </c>
      <c r="X928" s="77">
        <f>STOCK[[#This Row],[Ganancia Unitaria]]*STOCK[[#This Row],[Salidas]]</f>
        <v>0</v>
      </c>
      <c r="Y928" s="77" t="s">
        <v>1820</v>
      </c>
      <c r="AA928" s="77">
        <f>STOCK[[#This Row],[Costo total]]*STOCK[[#This Row],[Entradas]]</f>
        <v>27.58</v>
      </c>
      <c r="AB928" s="77">
        <f>STOCK[[#This Row],[Stock Actual]]*STOCK[[#This Row],[Costo total]]</f>
        <v>27.58</v>
      </c>
    </row>
    <row r="929" s="76" customFormat="1" ht="50" customHeight="1" spans="1:28">
      <c r="A929" s="76" t="s">
        <v>1858</v>
      </c>
      <c r="B929" s="6"/>
      <c r="C929" s="76" t="s">
        <v>30</v>
      </c>
      <c r="D929" s="76" t="s">
        <v>487</v>
      </c>
      <c r="E929" s="76" t="s">
        <v>1859</v>
      </c>
      <c r="F929" s="76" t="s">
        <v>1853</v>
      </c>
      <c r="G929" s="76" t="s">
        <v>1294</v>
      </c>
      <c r="H929" s="76">
        <f>STOCK[[#This Row],[Precio Final]]</f>
        <v>25</v>
      </c>
      <c r="I929" s="76">
        <f>STOCK[[#This Row],[Precio Venta Ideal (x1.5)]]</f>
        <v>27.435</v>
      </c>
      <c r="J929" s="91">
        <v>2</v>
      </c>
      <c r="K929" s="91">
        <f>SUMIFS(VENTAS[Cantidad],VENTAS[Código del producto Vendido],STOCK[[#This Row],[Code]])</f>
        <v>2</v>
      </c>
      <c r="L929" s="91">
        <f>STOCK[[#This Row],[Entradas]]-STOCK[[#This Row],[Salidas]]</f>
        <v>0</v>
      </c>
      <c r="M929" s="76">
        <f>STOCK[[#This Row],[Precio Final]]*10%</f>
        <v>2.5</v>
      </c>
      <c r="N929" s="76">
        <v>0</v>
      </c>
      <c r="O929" s="76">
        <v>0</v>
      </c>
      <c r="P929" s="76">
        <v>13.99</v>
      </c>
      <c r="Q929" s="91">
        <v>0</v>
      </c>
      <c r="R929" s="76">
        <v>0</v>
      </c>
      <c r="S929" s="76">
        <v>1.8</v>
      </c>
      <c r="T929" s="76">
        <f>STOCK[[#This Row],[Costo Unitario (USD)]]+STOCK[[#This Row],[Costo Envío (USD)]]+STOCK[[#This Row],[Comisión 10%]]</f>
        <v>18.29</v>
      </c>
      <c r="U929" s="76">
        <f>STOCK[[#This Row],[Costo total]]*1.5</f>
        <v>27.435</v>
      </c>
      <c r="V929" s="76">
        <v>25</v>
      </c>
      <c r="W929" s="76">
        <f>STOCK[[#This Row],[Precio Final]]-STOCK[[#This Row],[Costo total]]</f>
        <v>6.71</v>
      </c>
      <c r="X929" s="76">
        <f>STOCK[[#This Row],[Ganancia Unitaria]]*STOCK[[#This Row],[Salidas]]</f>
        <v>13.42</v>
      </c>
      <c r="Y929" s="76" t="s">
        <v>1820</v>
      </c>
      <c r="AA929" s="76">
        <f>STOCK[[#This Row],[Costo total]]*STOCK[[#This Row],[Entradas]]</f>
        <v>36.58</v>
      </c>
      <c r="AB929" s="76">
        <f>STOCK[[#This Row],[Stock Actual]]*STOCK[[#This Row],[Costo total]]</f>
        <v>0</v>
      </c>
    </row>
    <row r="930" s="77" customFormat="1" ht="50" customHeight="1" spans="1:28">
      <c r="A930" s="77" t="s">
        <v>1860</v>
      </c>
      <c r="B930" s="6"/>
      <c r="C930" s="77" t="s">
        <v>30</v>
      </c>
      <c r="D930" s="77" t="s">
        <v>487</v>
      </c>
      <c r="E930" s="77" t="s">
        <v>1861</v>
      </c>
      <c r="F930" s="77" t="s">
        <v>1853</v>
      </c>
      <c r="G930" s="77" t="s">
        <v>1294</v>
      </c>
      <c r="H930" s="77">
        <f>STOCK[[#This Row],[Precio Final]]</f>
        <v>25</v>
      </c>
      <c r="I930" s="77">
        <f>STOCK[[#This Row],[Precio Venta Ideal (x1.5)]]</f>
        <v>27.435</v>
      </c>
      <c r="J930" s="92">
        <v>2</v>
      </c>
      <c r="K930" s="92">
        <f>SUMIFS(VENTAS[Cantidad],VENTAS[Código del producto Vendido],STOCK[[#This Row],[Code]])</f>
        <v>2</v>
      </c>
      <c r="L930" s="92">
        <f>STOCK[[#This Row],[Entradas]]-STOCK[[#This Row],[Salidas]]</f>
        <v>0</v>
      </c>
      <c r="M930" s="77">
        <f>STOCK[[#This Row],[Precio Final]]*10%</f>
        <v>2.5</v>
      </c>
      <c r="N930" s="77">
        <v>0</v>
      </c>
      <c r="O930" s="77">
        <v>0</v>
      </c>
      <c r="P930" s="77">
        <v>13.99</v>
      </c>
      <c r="Q930" s="92">
        <v>0</v>
      </c>
      <c r="R930" s="77">
        <v>0</v>
      </c>
      <c r="S930" s="77">
        <v>1.8</v>
      </c>
      <c r="T930" s="76">
        <f>STOCK[[#This Row],[Costo Unitario (USD)]]+STOCK[[#This Row],[Costo Envío (USD)]]+STOCK[[#This Row],[Comisión 10%]]</f>
        <v>18.29</v>
      </c>
      <c r="U930" s="77">
        <f>STOCK[[#This Row],[Costo total]]*1.5</f>
        <v>27.435</v>
      </c>
      <c r="V930" s="77">
        <v>25</v>
      </c>
      <c r="W930" s="77">
        <f>STOCK[[#This Row],[Precio Final]]-STOCK[[#This Row],[Costo total]]</f>
        <v>6.71</v>
      </c>
      <c r="X930" s="77">
        <f>STOCK[[#This Row],[Ganancia Unitaria]]*STOCK[[#This Row],[Salidas]]</f>
        <v>13.42</v>
      </c>
      <c r="Y930" s="77" t="s">
        <v>1820</v>
      </c>
      <c r="AA930" s="77">
        <f>STOCK[[#This Row],[Costo total]]*STOCK[[#This Row],[Entradas]]</f>
        <v>36.58</v>
      </c>
      <c r="AB930" s="77">
        <f>STOCK[[#This Row],[Stock Actual]]*STOCK[[#This Row],[Costo total]]</f>
        <v>0</v>
      </c>
    </row>
    <row r="931" s="76" customFormat="1" ht="50" customHeight="1" spans="1:28">
      <c r="A931" s="76" t="s">
        <v>1862</v>
      </c>
      <c r="B931" s="6"/>
      <c r="C931" s="76" t="s">
        <v>30</v>
      </c>
      <c r="D931" s="76" t="s">
        <v>487</v>
      </c>
      <c r="E931" s="76" t="s">
        <v>1863</v>
      </c>
      <c r="F931" s="76" t="s">
        <v>524</v>
      </c>
      <c r="G931" s="76" t="s">
        <v>1294</v>
      </c>
      <c r="H931" s="76">
        <f>STOCK[[#This Row],[Precio Final]]</f>
        <v>20</v>
      </c>
      <c r="I931" s="76">
        <f>STOCK[[#This Row],[Precio Venta Ideal (x1.5)]]</f>
        <v>20.685</v>
      </c>
      <c r="J931" s="91">
        <v>2</v>
      </c>
      <c r="K931" s="91">
        <f>SUMIFS(VENTAS[Cantidad],VENTAS[Código del producto Vendido],STOCK[[#This Row],[Code]])</f>
        <v>0</v>
      </c>
      <c r="L931" s="91">
        <f>STOCK[[#This Row],[Entradas]]-STOCK[[#This Row],[Salidas]]</f>
        <v>2</v>
      </c>
      <c r="M931" s="76">
        <f>STOCK[[#This Row],[Precio Final]]*10%</f>
        <v>2</v>
      </c>
      <c r="N931" s="76">
        <v>0</v>
      </c>
      <c r="O931" s="76">
        <v>0</v>
      </c>
      <c r="P931" s="76">
        <v>9.99</v>
      </c>
      <c r="Q931" s="91">
        <v>0</v>
      </c>
      <c r="R931" s="76">
        <v>0</v>
      </c>
      <c r="S931" s="76">
        <v>1.8</v>
      </c>
      <c r="T931" s="76">
        <f>STOCK[[#This Row],[Costo Unitario (USD)]]+STOCK[[#This Row],[Costo Envío (USD)]]+STOCK[[#This Row],[Comisión 10%]]</f>
        <v>13.79</v>
      </c>
      <c r="U931" s="76">
        <f>STOCK[[#This Row],[Costo total]]*1.5</f>
        <v>20.685</v>
      </c>
      <c r="V931" s="76">
        <v>20</v>
      </c>
      <c r="W931" s="76">
        <f>STOCK[[#This Row],[Precio Final]]-STOCK[[#This Row],[Costo total]]</f>
        <v>6.21</v>
      </c>
      <c r="X931" s="76">
        <f>STOCK[[#This Row],[Ganancia Unitaria]]*STOCK[[#This Row],[Salidas]]</f>
        <v>0</v>
      </c>
      <c r="Y931" s="76" t="s">
        <v>1820</v>
      </c>
      <c r="AA931" s="76">
        <f>STOCK[[#This Row],[Costo total]]*STOCK[[#This Row],[Entradas]]</f>
        <v>27.58</v>
      </c>
      <c r="AB931" s="76">
        <f>STOCK[[#This Row],[Stock Actual]]*STOCK[[#This Row],[Costo total]]</f>
        <v>27.58</v>
      </c>
    </row>
    <row r="932" s="77" customFormat="1" ht="50" customHeight="1" spans="1:28">
      <c r="A932" s="77" t="s">
        <v>1864</v>
      </c>
      <c r="B932" s="6"/>
      <c r="C932" s="77" t="s">
        <v>30</v>
      </c>
      <c r="D932" s="77" t="s">
        <v>1865</v>
      </c>
      <c r="E932" s="77" t="s">
        <v>1866</v>
      </c>
      <c r="F932" s="77" t="s">
        <v>38</v>
      </c>
      <c r="G932" s="77" t="s">
        <v>1294</v>
      </c>
      <c r="H932" s="77">
        <f>STOCK[[#This Row],[Precio Final]]</f>
        <v>40</v>
      </c>
      <c r="I932" s="77">
        <f>STOCK[[#This Row],[Precio Venta Ideal (x1.5)]]</f>
        <v>42.435</v>
      </c>
      <c r="J932" s="92">
        <v>1</v>
      </c>
      <c r="K932" s="92">
        <f>SUMIFS(VENTAS[Cantidad],VENTAS[Código del producto Vendido],STOCK[[#This Row],[Code]])</f>
        <v>0</v>
      </c>
      <c r="L932" s="92">
        <f>STOCK[[#This Row],[Entradas]]-STOCK[[#This Row],[Salidas]]</f>
        <v>1</v>
      </c>
      <c r="M932" s="77">
        <f>STOCK[[#This Row],[Precio Final]]*10%</f>
        <v>4</v>
      </c>
      <c r="N932" s="77">
        <v>0</v>
      </c>
      <c r="O932" s="77">
        <v>0</v>
      </c>
      <c r="P932" s="77">
        <v>22.49</v>
      </c>
      <c r="Q932" s="92">
        <v>0</v>
      </c>
      <c r="R932" s="77">
        <v>0</v>
      </c>
      <c r="S932" s="77">
        <v>1.8</v>
      </c>
      <c r="T932" s="76">
        <f>STOCK[[#This Row],[Costo Unitario (USD)]]+STOCK[[#This Row],[Costo Envío (USD)]]+STOCK[[#This Row],[Comisión 10%]]</f>
        <v>28.29</v>
      </c>
      <c r="U932" s="77">
        <f>STOCK[[#This Row],[Costo total]]*1.5</f>
        <v>42.435</v>
      </c>
      <c r="V932" s="77">
        <v>40</v>
      </c>
      <c r="W932" s="77">
        <f>STOCK[[#This Row],[Precio Final]]-STOCK[[#This Row],[Costo total]]</f>
        <v>11.71</v>
      </c>
      <c r="X932" s="77">
        <f>STOCK[[#This Row],[Ganancia Unitaria]]*STOCK[[#This Row],[Salidas]]</f>
        <v>0</v>
      </c>
      <c r="Y932" s="77" t="s">
        <v>1820</v>
      </c>
      <c r="AA932" s="77">
        <f>STOCK[[#This Row],[Costo total]]*STOCK[[#This Row],[Entradas]]</f>
        <v>28.29</v>
      </c>
      <c r="AB932" s="77">
        <f>STOCK[[#This Row],[Stock Actual]]*STOCK[[#This Row],[Costo total]]</f>
        <v>28.29</v>
      </c>
    </row>
    <row r="933" s="76" customFormat="1" ht="50" customHeight="1" spans="1:28">
      <c r="A933" s="76" t="s">
        <v>1867</v>
      </c>
      <c r="B933" s="6"/>
      <c r="C933" s="76" t="s">
        <v>30</v>
      </c>
      <c r="D933" s="76" t="s">
        <v>1865</v>
      </c>
      <c r="E933" s="76" t="s">
        <v>1866</v>
      </c>
      <c r="F933" s="76" t="s">
        <v>1868</v>
      </c>
      <c r="G933" s="76" t="s">
        <v>1294</v>
      </c>
      <c r="H933" s="76">
        <f>STOCK[[#This Row],[Precio Final]]</f>
        <v>40</v>
      </c>
      <c r="I933" s="76">
        <f>STOCK[[#This Row],[Precio Venta Ideal (x1.5)]]</f>
        <v>42.435</v>
      </c>
      <c r="J933" s="91">
        <v>1</v>
      </c>
      <c r="K933" s="91">
        <f>SUMIFS(VENTAS[Cantidad],VENTAS[Código del producto Vendido],STOCK[[#This Row],[Code]])</f>
        <v>1</v>
      </c>
      <c r="L933" s="91">
        <f>STOCK[[#This Row],[Entradas]]-STOCK[[#This Row],[Salidas]]</f>
        <v>0</v>
      </c>
      <c r="M933" s="76">
        <f>STOCK[[#This Row],[Precio Final]]*10%</f>
        <v>4</v>
      </c>
      <c r="N933" s="76">
        <v>0</v>
      </c>
      <c r="O933" s="76">
        <v>0</v>
      </c>
      <c r="P933" s="76">
        <v>22.49</v>
      </c>
      <c r="Q933" s="91">
        <v>0</v>
      </c>
      <c r="R933" s="76">
        <v>0</v>
      </c>
      <c r="S933" s="76">
        <v>1.8</v>
      </c>
      <c r="T933" s="76">
        <f>STOCK[[#This Row],[Costo Unitario (USD)]]+STOCK[[#This Row],[Costo Envío (USD)]]+STOCK[[#This Row],[Comisión 10%]]</f>
        <v>28.29</v>
      </c>
      <c r="U933" s="76">
        <f>STOCK[[#This Row],[Costo total]]*1.5</f>
        <v>42.435</v>
      </c>
      <c r="V933" s="76">
        <v>40</v>
      </c>
      <c r="W933" s="76">
        <f>STOCK[[#This Row],[Precio Final]]-STOCK[[#This Row],[Costo total]]</f>
        <v>11.71</v>
      </c>
      <c r="X933" s="76">
        <f>STOCK[[#This Row],[Ganancia Unitaria]]*STOCK[[#This Row],[Salidas]]</f>
        <v>11.71</v>
      </c>
      <c r="Y933" s="76" t="s">
        <v>1820</v>
      </c>
      <c r="AA933" s="76">
        <f>STOCK[[#This Row],[Costo total]]*STOCK[[#This Row],[Entradas]]</f>
        <v>28.29</v>
      </c>
      <c r="AB933" s="76">
        <f>STOCK[[#This Row],[Stock Actual]]*STOCK[[#This Row],[Costo total]]</f>
        <v>0</v>
      </c>
    </row>
    <row r="934" s="77" customFormat="1" ht="50" customHeight="1" spans="1:28">
      <c r="A934" s="77" t="s">
        <v>1869</v>
      </c>
      <c r="B934" s="6"/>
      <c r="C934" s="77" t="s">
        <v>30</v>
      </c>
      <c r="D934" s="77" t="s">
        <v>1870</v>
      </c>
      <c r="E934" s="77" t="s">
        <v>1866</v>
      </c>
      <c r="F934" s="77" t="s">
        <v>1842</v>
      </c>
      <c r="G934" s="77" t="s">
        <v>1294</v>
      </c>
      <c r="H934" s="77">
        <f>STOCK[[#This Row],[Precio Final]]</f>
        <v>40</v>
      </c>
      <c r="I934" s="77">
        <f>STOCK[[#This Row],[Precio Venta Ideal (x1.5)]]</f>
        <v>42.435</v>
      </c>
      <c r="J934" s="92">
        <v>1</v>
      </c>
      <c r="K934" s="92">
        <f>SUMIFS(VENTAS[Cantidad],VENTAS[Código del producto Vendido],STOCK[[#This Row],[Code]])</f>
        <v>1</v>
      </c>
      <c r="L934" s="92">
        <f>STOCK[[#This Row],[Entradas]]-STOCK[[#This Row],[Salidas]]</f>
        <v>0</v>
      </c>
      <c r="M934" s="77">
        <f>STOCK[[#This Row],[Precio Final]]*10%</f>
        <v>4</v>
      </c>
      <c r="N934" s="77">
        <v>0</v>
      </c>
      <c r="O934" s="77">
        <v>0</v>
      </c>
      <c r="P934" s="77">
        <v>22.49</v>
      </c>
      <c r="Q934" s="92">
        <v>0</v>
      </c>
      <c r="R934" s="77">
        <v>0</v>
      </c>
      <c r="S934" s="77">
        <v>1.8</v>
      </c>
      <c r="T934" s="76">
        <f>STOCK[[#This Row],[Costo Unitario (USD)]]+STOCK[[#This Row],[Costo Envío (USD)]]+STOCK[[#This Row],[Comisión 10%]]</f>
        <v>28.29</v>
      </c>
      <c r="U934" s="77">
        <f>STOCK[[#This Row],[Costo total]]*1.5</f>
        <v>42.435</v>
      </c>
      <c r="V934" s="77">
        <v>40</v>
      </c>
      <c r="W934" s="77">
        <f>STOCK[[#This Row],[Precio Final]]-STOCK[[#This Row],[Costo total]]</f>
        <v>11.71</v>
      </c>
      <c r="X934" s="77">
        <f>STOCK[[#This Row],[Ganancia Unitaria]]*STOCK[[#This Row],[Salidas]]</f>
        <v>11.71</v>
      </c>
      <c r="Y934" s="77" t="s">
        <v>1820</v>
      </c>
      <c r="AA934" s="77">
        <f>STOCK[[#This Row],[Costo total]]*STOCK[[#This Row],[Entradas]]</f>
        <v>28.29</v>
      </c>
      <c r="AB934" s="77">
        <f>STOCK[[#This Row],[Stock Actual]]*STOCK[[#This Row],[Costo total]]</f>
        <v>0</v>
      </c>
    </row>
    <row r="935" s="76" customFormat="1" ht="50" customHeight="1" spans="1:28">
      <c r="A935" s="76" t="s">
        <v>1871</v>
      </c>
      <c r="B935" s="6"/>
      <c r="C935" s="76" t="s">
        <v>30</v>
      </c>
      <c r="D935" s="76" t="s">
        <v>1865</v>
      </c>
      <c r="E935" s="76" t="s">
        <v>1866</v>
      </c>
      <c r="F935" s="76" t="s">
        <v>47</v>
      </c>
      <c r="G935" s="76" t="s">
        <v>1294</v>
      </c>
      <c r="H935" s="76">
        <f>STOCK[[#This Row],[Precio Final]]</f>
        <v>40</v>
      </c>
      <c r="I935" s="76">
        <f>STOCK[[#This Row],[Precio Venta Ideal (x1.5)]]</f>
        <v>42.435</v>
      </c>
      <c r="J935" s="91">
        <v>1</v>
      </c>
      <c r="K935" s="91">
        <f>SUMIFS(VENTAS[Cantidad],VENTAS[Código del producto Vendido],STOCK[[#This Row],[Code]])</f>
        <v>0</v>
      </c>
      <c r="L935" s="91">
        <f>STOCK[[#This Row],[Entradas]]-STOCK[[#This Row],[Salidas]]</f>
        <v>1</v>
      </c>
      <c r="M935" s="76">
        <f>STOCK[[#This Row],[Precio Final]]*10%</f>
        <v>4</v>
      </c>
      <c r="N935" s="76">
        <v>0</v>
      </c>
      <c r="O935" s="76">
        <v>0</v>
      </c>
      <c r="P935" s="76">
        <v>22.49</v>
      </c>
      <c r="Q935" s="91">
        <v>0</v>
      </c>
      <c r="R935" s="76">
        <v>0</v>
      </c>
      <c r="S935" s="76">
        <v>1.8</v>
      </c>
      <c r="T935" s="76">
        <f>STOCK[[#This Row],[Costo Unitario (USD)]]+STOCK[[#This Row],[Costo Envío (USD)]]+STOCK[[#This Row],[Comisión 10%]]</f>
        <v>28.29</v>
      </c>
      <c r="U935" s="76">
        <f>STOCK[[#This Row],[Costo total]]*1.5</f>
        <v>42.435</v>
      </c>
      <c r="V935" s="76">
        <v>40</v>
      </c>
      <c r="W935" s="76">
        <f>STOCK[[#This Row],[Precio Final]]-STOCK[[#This Row],[Costo total]]</f>
        <v>11.71</v>
      </c>
      <c r="X935" s="76">
        <f>STOCK[[#This Row],[Ganancia Unitaria]]*STOCK[[#This Row],[Salidas]]</f>
        <v>0</v>
      </c>
      <c r="Y935" s="76" t="s">
        <v>1820</v>
      </c>
      <c r="AA935" s="76">
        <f>STOCK[[#This Row],[Costo total]]*STOCK[[#This Row],[Entradas]]</f>
        <v>28.29</v>
      </c>
      <c r="AB935" s="76">
        <f>STOCK[[#This Row],[Stock Actual]]*STOCK[[#This Row],[Costo total]]</f>
        <v>28.29</v>
      </c>
    </row>
    <row r="936" s="77" customFormat="1" ht="50" customHeight="1" spans="1:28">
      <c r="A936" s="77" t="s">
        <v>1872</v>
      </c>
      <c r="B936" s="6"/>
      <c r="C936" s="77" t="s">
        <v>30</v>
      </c>
      <c r="D936" s="77" t="s">
        <v>42</v>
      </c>
      <c r="E936" s="77" t="s">
        <v>1873</v>
      </c>
      <c r="F936" s="77" t="s">
        <v>40</v>
      </c>
      <c r="G936" s="77" t="s">
        <v>1874</v>
      </c>
      <c r="H936" s="77">
        <f>STOCK[[#This Row],[Precio Final]]</f>
        <v>30</v>
      </c>
      <c r="I936" s="77">
        <f>STOCK[[#This Row],[Precio Venta Ideal (x1.5)]]</f>
        <v>33.57</v>
      </c>
      <c r="J936" s="92">
        <v>1</v>
      </c>
      <c r="K936" s="92">
        <f>SUMIFS(VENTAS[Cantidad],VENTAS[Código del producto Vendido],STOCK[[#This Row],[Code]])</f>
        <v>0</v>
      </c>
      <c r="L936" s="92">
        <f>STOCK[[#This Row],[Entradas]]-STOCK[[#This Row],[Salidas]]</f>
        <v>1</v>
      </c>
      <c r="M936" s="77">
        <f>STOCK[[#This Row],[Precio Final]]*10%</f>
        <v>3</v>
      </c>
      <c r="N936" s="77">
        <v>0</v>
      </c>
      <c r="O936" s="77">
        <v>0</v>
      </c>
      <c r="P936" s="77">
        <v>17.88</v>
      </c>
      <c r="Q936" s="92">
        <v>0</v>
      </c>
      <c r="R936" s="77">
        <v>0</v>
      </c>
      <c r="S936" s="77">
        <v>1.5</v>
      </c>
      <c r="T936" s="76">
        <f>STOCK[[#This Row],[Costo Unitario (USD)]]+STOCK[[#This Row],[Costo Envío (USD)]]+STOCK[[#This Row],[Comisión 10%]]</f>
        <v>22.38</v>
      </c>
      <c r="U936" s="77">
        <f>STOCK[[#This Row],[Costo total]]*1.5</f>
        <v>33.57</v>
      </c>
      <c r="V936" s="77">
        <v>30</v>
      </c>
      <c r="W936" s="77">
        <f>STOCK[[#This Row],[Precio Final]]-STOCK[[#This Row],[Costo total]]</f>
        <v>7.62</v>
      </c>
      <c r="X936" s="77">
        <f>STOCK[[#This Row],[Ganancia Unitaria]]*STOCK[[#This Row],[Salidas]]</f>
        <v>0</v>
      </c>
      <c r="Y936" s="77" t="s">
        <v>1875</v>
      </c>
      <c r="AA936" s="77">
        <f>STOCK[[#This Row],[Costo total]]*STOCK[[#This Row],[Entradas]]</f>
        <v>22.38</v>
      </c>
      <c r="AB936" s="77">
        <f>STOCK[[#This Row],[Stock Actual]]*STOCK[[#This Row],[Costo total]]</f>
        <v>22.38</v>
      </c>
    </row>
    <row r="937" s="76" customFormat="1" ht="50" customHeight="1" spans="1:28">
      <c r="A937" s="76" t="s">
        <v>1876</v>
      </c>
      <c r="B937" s="6"/>
      <c r="C937" s="76" t="s">
        <v>30</v>
      </c>
      <c r="D937" s="76" t="s">
        <v>1817</v>
      </c>
      <c r="E937" s="76" t="s">
        <v>1873</v>
      </c>
      <c r="F937" s="76" t="s">
        <v>47</v>
      </c>
      <c r="G937" s="76" t="s">
        <v>1874</v>
      </c>
      <c r="H937" s="76">
        <f>STOCK[[#This Row],[Precio Final]]</f>
        <v>32</v>
      </c>
      <c r="I937" s="76">
        <f>STOCK[[#This Row],[Precio Venta Ideal (x1.5)]]</f>
        <v>33.87</v>
      </c>
      <c r="J937" s="91">
        <v>1</v>
      </c>
      <c r="K937" s="91">
        <f>SUMIFS(VENTAS[Cantidad],VENTAS[Código del producto Vendido],STOCK[[#This Row],[Code]])</f>
        <v>1</v>
      </c>
      <c r="L937" s="91">
        <f>STOCK[[#This Row],[Entradas]]-STOCK[[#This Row],[Salidas]]</f>
        <v>0</v>
      </c>
      <c r="M937" s="76">
        <f>STOCK[[#This Row],[Precio Final]]*10%</f>
        <v>3.2</v>
      </c>
      <c r="N937" s="76">
        <v>0</v>
      </c>
      <c r="O937" s="76">
        <v>0</v>
      </c>
      <c r="P937" s="76">
        <v>17.88</v>
      </c>
      <c r="Q937" s="91">
        <v>0</v>
      </c>
      <c r="R937" s="76">
        <v>0</v>
      </c>
      <c r="S937" s="76">
        <v>1.5</v>
      </c>
      <c r="T937" s="76">
        <f>STOCK[[#This Row],[Costo Unitario (USD)]]+STOCK[[#This Row],[Costo Envío (USD)]]+STOCK[[#This Row],[Comisión 10%]]</f>
        <v>22.58</v>
      </c>
      <c r="U937" s="76">
        <f>STOCK[[#This Row],[Costo total]]*1.5</f>
        <v>33.87</v>
      </c>
      <c r="V937" s="76">
        <v>32</v>
      </c>
      <c r="W937" s="76">
        <f>STOCK[[#This Row],[Precio Final]]-STOCK[[#This Row],[Costo total]]</f>
        <v>9.42</v>
      </c>
      <c r="X937" s="76">
        <f>STOCK[[#This Row],[Ganancia Unitaria]]*STOCK[[#This Row],[Salidas]]</f>
        <v>9.42</v>
      </c>
      <c r="Y937" s="76" t="s">
        <v>1875</v>
      </c>
      <c r="AA937" s="76">
        <f>STOCK[[#This Row],[Costo total]]*STOCK[[#This Row],[Entradas]]</f>
        <v>22.58</v>
      </c>
      <c r="AB937" s="76">
        <f>STOCK[[#This Row],[Stock Actual]]*STOCK[[#This Row],[Costo total]]</f>
        <v>0</v>
      </c>
    </row>
    <row r="938" s="77" customFormat="1" ht="50" customHeight="1" spans="1:28">
      <c r="A938" s="77" t="s">
        <v>1877</v>
      </c>
      <c r="B938" s="6"/>
      <c r="C938" s="77" t="s">
        <v>30</v>
      </c>
      <c r="D938" s="77" t="s">
        <v>42</v>
      </c>
      <c r="E938" s="77" t="s">
        <v>1873</v>
      </c>
      <c r="F938" s="77" t="s">
        <v>44</v>
      </c>
      <c r="G938" s="77" t="s">
        <v>1874</v>
      </c>
      <c r="H938" s="77">
        <f>STOCK[[#This Row],[Precio Final]]</f>
        <v>30</v>
      </c>
      <c r="I938" s="77">
        <f>STOCK[[#This Row],[Precio Venta Ideal (x1.5)]]</f>
        <v>33.57</v>
      </c>
      <c r="J938" s="92">
        <v>2</v>
      </c>
      <c r="K938" s="92">
        <f>SUMIFS(VENTAS[Cantidad],VENTAS[Código del producto Vendido],STOCK[[#This Row],[Code]])</f>
        <v>0</v>
      </c>
      <c r="L938" s="92">
        <f>STOCK[[#This Row],[Entradas]]-STOCK[[#This Row],[Salidas]]</f>
        <v>2</v>
      </c>
      <c r="M938" s="77">
        <f>STOCK[[#This Row],[Precio Final]]*10%</f>
        <v>3</v>
      </c>
      <c r="N938" s="77">
        <v>0</v>
      </c>
      <c r="O938" s="77">
        <v>0</v>
      </c>
      <c r="P938" s="77">
        <v>17.88</v>
      </c>
      <c r="Q938" s="92">
        <v>0</v>
      </c>
      <c r="R938" s="77">
        <v>0</v>
      </c>
      <c r="S938" s="77">
        <v>1.5</v>
      </c>
      <c r="T938" s="76">
        <f>STOCK[[#This Row],[Costo Unitario (USD)]]+STOCK[[#This Row],[Costo Envío (USD)]]+STOCK[[#This Row],[Comisión 10%]]</f>
        <v>22.38</v>
      </c>
      <c r="U938" s="77">
        <f>STOCK[[#This Row],[Costo total]]*1.5</f>
        <v>33.57</v>
      </c>
      <c r="V938" s="77">
        <v>30</v>
      </c>
      <c r="W938" s="77">
        <f>STOCK[[#This Row],[Precio Final]]-STOCK[[#This Row],[Costo total]]</f>
        <v>7.62</v>
      </c>
      <c r="X938" s="77">
        <f>STOCK[[#This Row],[Ganancia Unitaria]]*STOCK[[#This Row],[Salidas]]</f>
        <v>0</v>
      </c>
      <c r="Y938" s="77" t="s">
        <v>1875</v>
      </c>
      <c r="AA938" s="77">
        <f>STOCK[[#This Row],[Costo total]]*STOCK[[#This Row],[Entradas]]</f>
        <v>44.76</v>
      </c>
      <c r="AB938" s="77">
        <f>STOCK[[#This Row],[Stock Actual]]*STOCK[[#This Row],[Costo total]]</f>
        <v>44.76</v>
      </c>
    </row>
    <row r="939" s="76" customFormat="1" ht="50" customHeight="1" spans="1:28">
      <c r="A939" s="76" t="s">
        <v>1878</v>
      </c>
      <c r="B939" s="6"/>
      <c r="C939" s="76" t="s">
        <v>30</v>
      </c>
      <c r="D939" s="76" t="s">
        <v>1879</v>
      </c>
      <c r="E939" s="76" t="s">
        <v>1880</v>
      </c>
      <c r="F939" s="76" t="s">
        <v>1881</v>
      </c>
      <c r="G939" s="76" t="s">
        <v>1874</v>
      </c>
      <c r="H939" s="76">
        <f>STOCK[[#This Row],[Precio Final]]</f>
        <v>35</v>
      </c>
      <c r="I939" s="76">
        <f>STOCK[[#This Row],[Precio Venta Ideal (x1.5)]]</f>
        <v>39.72</v>
      </c>
      <c r="J939" s="91">
        <v>1</v>
      </c>
      <c r="K939" s="91">
        <f>SUMIFS(VENTAS[Cantidad],VENTAS[Código del producto Vendido],STOCK[[#This Row],[Code]])</f>
        <v>1</v>
      </c>
      <c r="L939" s="91">
        <f>STOCK[[#This Row],[Entradas]]-STOCK[[#This Row],[Salidas]]</f>
        <v>0</v>
      </c>
      <c r="M939" s="76">
        <f>STOCK[[#This Row],[Precio Final]]*10%</f>
        <v>3.5</v>
      </c>
      <c r="N939" s="76">
        <v>0</v>
      </c>
      <c r="O939" s="76">
        <v>0</v>
      </c>
      <c r="P939" s="76">
        <v>20.48</v>
      </c>
      <c r="Q939" s="91">
        <v>0</v>
      </c>
      <c r="R939" s="76">
        <v>0</v>
      </c>
      <c r="S939" s="76">
        <v>2.5</v>
      </c>
      <c r="T939" s="76">
        <f>STOCK[[#This Row],[Costo Unitario (USD)]]+STOCK[[#This Row],[Costo Envío (USD)]]+STOCK[[#This Row],[Comisión 10%]]</f>
        <v>26.48</v>
      </c>
      <c r="U939" s="76">
        <f>STOCK[[#This Row],[Costo total]]*1.5</f>
        <v>39.72</v>
      </c>
      <c r="V939" s="76">
        <v>35</v>
      </c>
      <c r="W939" s="76">
        <f>STOCK[[#This Row],[Precio Final]]-STOCK[[#This Row],[Costo total]]</f>
        <v>8.52</v>
      </c>
      <c r="X939" s="76">
        <f>STOCK[[#This Row],[Ganancia Unitaria]]*STOCK[[#This Row],[Salidas]]</f>
        <v>8.52</v>
      </c>
      <c r="Y939" s="76" t="s">
        <v>1875</v>
      </c>
      <c r="AA939" s="76">
        <f>STOCK[[#This Row],[Costo total]]*STOCK[[#This Row],[Entradas]]</f>
        <v>26.48</v>
      </c>
      <c r="AB939" s="76">
        <f>STOCK[[#This Row],[Stock Actual]]*STOCK[[#This Row],[Costo total]]</f>
        <v>0</v>
      </c>
    </row>
    <row r="940" s="77" customFormat="1" ht="50" customHeight="1" spans="1:28">
      <c r="A940" s="77" t="s">
        <v>1882</v>
      </c>
      <c r="B940" s="6"/>
      <c r="C940" s="77" t="s">
        <v>30</v>
      </c>
      <c r="D940" s="77" t="s">
        <v>1879</v>
      </c>
      <c r="E940" s="77" t="s">
        <v>1883</v>
      </c>
      <c r="F940" s="77" t="s">
        <v>1881</v>
      </c>
      <c r="G940" s="77" t="s">
        <v>1874</v>
      </c>
      <c r="H940" s="77">
        <f>STOCK[[#This Row],[Precio Final]]</f>
        <v>35</v>
      </c>
      <c r="I940" s="77">
        <f>STOCK[[#This Row],[Precio Venta Ideal (x1.5)]]</f>
        <v>39.72</v>
      </c>
      <c r="J940" s="92">
        <v>1</v>
      </c>
      <c r="K940" s="92">
        <f>SUMIFS(VENTAS[Cantidad],VENTAS[Código del producto Vendido],STOCK[[#This Row],[Code]])</f>
        <v>1</v>
      </c>
      <c r="L940" s="92">
        <f>STOCK[[#This Row],[Entradas]]-STOCK[[#This Row],[Salidas]]</f>
        <v>0</v>
      </c>
      <c r="M940" s="77">
        <f>STOCK[[#This Row],[Precio Final]]*10%</f>
        <v>3.5</v>
      </c>
      <c r="N940" s="77">
        <v>0</v>
      </c>
      <c r="O940" s="77">
        <v>0</v>
      </c>
      <c r="P940" s="77">
        <v>20.48</v>
      </c>
      <c r="Q940" s="92">
        <v>0</v>
      </c>
      <c r="R940" s="77">
        <v>0</v>
      </c>
      <c r="S940" s="77">
        <v>2.5</v>
      </c>
      <c r="T940" s="76">
        <f>STOCK[[#This Row],[Costo Unitario (USD)]]+STOCK[[#This Row],[Costo Envío (USD)]]+STOCK[[#This Row],[Comisión 10%]]</f>
        <v>26.48</v>
      </c>
      <c r="U940" s="77">
        <f>STOCK[[#This Row],[Costo total]]*1.5</f>
        <v>39.72</v>
      </c>
      <c r="V940" s="77">
        <v>35</v>
      </c>
      <c r="W940" s="77">
        <f>STOCK[[#This Row],[Precio Final]]-STOCK[[#This Row],[Costo total]]</f>
        <v>8.52</v>
      </c>
      <c r="X940" s="77">
        <f>STOCK[[#This Row],[Ganancia Unitaria]]*STOCK[[#This Row],[Salidas]]</f>
        <v>8.52</v>
      </c>
      <c r="Y940" s="77" t="s">
        <v>1875</v>
      </c>
      <c r="AA940" s="77">
        <f>STOCK[[#This Row],[Costo total]]*STOCK[[#This Row],[Entradas]]</f>
        <v>26.48</v>
      </c>
      <c r="AB940" s="77">
        <f>STOCK[[#This Row],[Stock Actual]]*STOCK[[#This Row],[Costo total]]</f>
        <v>0</v>
      </c>
    </row>
    <row r="941" s="76" customFormat="1" ht="50" customHeight="1" spans="1:28">
      <c r="A941" s="76" t="s">
        <v>1884</v>
      </c>
      <c r="B941" s="6"/>
      <c r="C941" s="76" t="s">
        <v>30</v>
      </c>
      <c r="D941" s="76" t="s">
        <v>1817</v>
      </c>
      <c r="E941" s="76" t="s">
        <v>1885</v>
      </c>
      <c r="F941" s="76" t="s">
        <v>1886</v>
      </c>
      <c r="G941" s="76" t="s">
        <v>1874</v>
      </c>
      <c r="H941" s="76">
        <f>STOCK[[#This Row],[Precio Final]]</f>
        <v>35</v>
      </c>
      <c r="I941" s="76">
        <f>STOCK[[#This Row],[Precio Venta Ideal (x1.5)]]</f>
        <v>40.755</v>
      </c>
      <c r="J941" s="91">
        <v>1</v>
      </c>
      <c r="K941" s="91">
        <f>SUMIFS(VENTAS[Cantidad],VENTAS[Código del producto Vendido],STOCK[[#This Row],[Code]])</f>
        <v>1</v>
      </c>
      <c r="L941" s="91">
        <f>STOCK[[#This Row],[Entradas]]-STOCK[[#This Row],[Salidas]]</f>
        <v>0</v>
      </c>
      <c r="M941" s="76">
        <f>STOCK[[#This Row],[Precio Final]]*10%</f>
        <v>3.5</v>
      </c>
      <c r="N941" s="76">
        <v>0</v>
      </c>
      <c r="O941" s="76">
        <v>0</v>
      </c>
      <c r="P941" s="76">
        <v>22.17</v>
      </c>
      <c r="Q941" s="91">
        <v>0</v>
      </c>
      <c r="R941" s="76">
        <v>0</v>
      </c>
      <c r="S941" s="76">
        <v>1.5</v>
      </c>
      <c r="T941" s="76">
        <f>STOCK[[#This Row],[Costo Unitario (USD)]]+STOCK[[#This Row],[Costo Envío (USD)]]+STOCK[[#This Row],[Comisión 10%]]</f>
        <v>27.17</v>
      </c>
      <c r="U941" s="76">
        <f>STOCK[[#This Row],[Costo total]]*1.5</f>
        <v>40.755</v>
      </c>
      <c r="V941" s="76">
        <v>35</v>
      </c>
      <c r="W941" s="76">
        <f>STOCK[[#This Row],[Precio Final]]-STOCK[[#This Row],[Costo total]]</f>
        <v>7.83</v>
      </c>
      <c r="X941" s="76">
        <f>STOCK[[#This Row],[Ganancia Unitaria]]*STOCK[[#This Row],[Salidas]]</f>
        <v>7.83</v>
      </c>
      <c r="Y941" s="76" t="s">
        <v>1875</v>
      </c>
      <c r="AA941" s="76">
        <f>STOCK[[#This Row],[Costo total]]*STOCK[[#This Row],[Entradas]]</f>
        <v>27.17</v>
      </c>
      <c r="AB941" s="76">
        <f>STOCK[[#This Row],[Stock Actual]]*STOCK[[#This Row],[Costo total]]</f>
        <v>0</v>
      </c>
    </row>
    <row r="942" s="77" customFormat="1" ht="50" customHeight="1" spans="1:28">
      <c r="A942" s="77" t="s">
        <v>1887</v>
      </c>
      <c r="B942" s="6"/>
      <c r="C942" s="77" t="s">
        <v>30</v>
      </c>
      <c r="D942" s="77" t="s">
        <v>42</v>
      </c>
      <c r="E942" s="77" t="s">
        <v>1888</v>
      </c>
      <c r="F942" s="77" t="s">
        <v>817</v>
      </c>
      <c r="G942" s="77" t="s">
        <v>1874</v>
      </c>
      <c r="H942" s="77">
        <f>STOCK[[#This Row],[Precio Final]]</f>
        <v>35</v>
      </c>
      <c r="I942" s="77">
        <f>STOCK[[#This Row],[Precio Venta Ideal (x1.5)]]</f>
        <v>40.23</v>
      </c>
      <c r="J942" s="92">
        <v>1</v>
      </c>
      <c r="K942" s="92">
        <f>SUMIFS(VENTAS[Cantidad],VENTAS[Código del producto Vendido],STOCK[[#This Row],[Code]])</f>
        <v>0</v>
      </c>
      <c r="L942" s="92">
        <f>STOCK[[#This Row],[Entradas]]-STOCK[[#This Row],[Salidas]]</f>
        <v>1</v>
      </c>
      <c r="M942" s="77">
        <f>STOCK[[#This Row],[Precio Final]]*10%</f>
        <v>3.5</v>
      </c>
      <c r="N942" s="77">
        <v>0</v>
      </c>
      <c r="O942" s="77">
        <v>0</v>
      </c>
      <c r="P942" s="77">
        <v>21.82</v>
      </c>
      <c r="Q942" s="92">
        <v>0</v>
      </c>
      <c r="R942" s="77">
        <v>0</v>
      </c>
      <c r="S942" s="77">
        <v>1.5</v>
      </c>
      <c r="T942" s="76">
        <f>STOCK[[#This Row],[Costo Unitario (USD)]]+STOCK[[#This Row],[Costo Envío (USD)]]+STOCK[[#This Row],[Comisión 10%]]</f>
        <v>26.82</v>
      </c>
      <c r="U942" s="77">
        <f>STOCK[[#This Row],[Costo total]]*1.5</f>
        <v>40.23</v>
      </c>
      <c r="V942" s="77">
        <v>35</v>
      </c>
      <c r="W942" s="77">
        <f>STOCK[[#This Row],[Precio Final]]-STOCK[[#This Row],[Costo total]]</f>
        <v>8.18</v>
      </c>
      <c r="X942" s="77">
        <f>STOCK[[#This Row],[Ganancia Unitaria]]*STOCK[[#This Row],[Salidas]]</f>
        <v>0</v>
      </c>
      <c r="Y942" s="77" t="s">
        <v>1875</v>
      </c>
      <c r="AA942" s="77">
        <f>STOCK[[#This Row],[Costo total]]*STOCK[[#This Row],[Entradas]]</f>
        <v>26.82</v>
      </c>
      <c r="AB942" s="77">
        <f>STOCK[[#This Row],[Stock Actual]]*STOCK[[#This Row],[Costo total]]</f>
        <v>26.82</v>
      </c>
    </row>
    <row r="943" s="76" customFormat="1" ht="50" customHeight="1" spans="1:28">
      <c r="A943" s="76" t="s">
        <v>1889</v>
      </c>
      <c r="B943" s="6"/>
      <c r="C943" s="76" t="s">
        <v>30</v>
      </c>
      <c r="D943" s="76" t="s">
        <v>1879</v>
      </c>
      <c r="E943" s="76" t="s">
        <v>1890</v>
      </c>
      <c r="F943" s="76" t="s">
        <v>1891</v>
      </c>
      <c r="G943" s="76" t="s">
        <v>1874</v>
      </c>
      <c r="H943" s="76">
        <f>STOCK[[#This Row],[Precio Final]]</f>
        <v>12</v>
      </c>
      <c r="I943" s="76">
        <f>STOCK[[#This Row],[Precio Venta Ideal (x1.5)]]</f>
        <v>11.55</v>
      </c>
      <c r="J943" s="91">
        <v>3</v>
      </c>
      <c r="K943" s="91">
        <f>SUMIFS(VENTAS[Cantidad],VENTAS[Código del producto Vendido],STOCK[[#This Row],[Code]])</f>
        <v>3</v>
      </c>
      <c r="L943" s="91">
        <f>STOCK[[#This Row],[Entradas]]-STOCK[[#This Row],[Salidas]]</f>
        <v>0</v>
      </c>
      <c r="M943" s="76">
        <f>STOCK[[#This Row],[Precio Final]]*10%</f>
        <v>1.2</v>
      </c>
      <c r="N943" s="76">
        <v>0</v>
      </c>
      <c r="O943" s="76">
        <v>0</v>
      </c>
      <c r="P943" s="76">
        <v>5.5</v>
      </c>
      <c r="Q943" s="91">
        <v>0</v>
      </c>
      <c r="R943" s="76">
        <v>0</v>
      </c>
      <c r="S943" s="76">
        <v>1</v>
      </c>
      <c r="T943" s="76">
        <f>STOCK[[#This Row],[Costo Unitario (USD)]]+STOCK[[#This Row],[Costo Envío (USD)]]+STOCK[[#This Row],[Comisión 10%]]</f>
        <v>7.7</v>
      </c>
      <c r="U943" s="76">
        <f>STOCK[[#This Row],[Costo total]]*1.5</f>
        <v>11.55</v>
      </c>
      <c r="V943" s="76">
        <v>12</v>
      </c>
      <c r="W943" s="76">
        <f>STOCK[[#This Row],[Precio Final]]-STOCK[[#This Row],[Costo total]]</f>
        <v>4.3</v>
      </c>
      <c r="X943" s="76">
        <f>STOCK[[#This Row],[Ganancia Unitaria]]*STOCK[[#This Row],[Salidas]]</f>
        <v>12.9</v>
      </c>
      <c r="Y943" s="76" t="s">
        <v>1875</v>
      </c>
      <c r="AA943" s="76">
        <f>STOCK[[#This Row],[Costo total]]*STOCK[[#This Row],[Entradas]]</f>
        <v>23.1</v>
      </c>
      <c r="AB943" s="76">
        <f>STOCK[[#This Row],[Stock Actual]]*STOCK[[#This Row],[Costo total]]</f>
        <v>0</v>
      </c>
    </row>
    <row r="944" s="77" customFormat="1" ht="50" customHeight="1" spans="1:28">
      <c r="A944" s="77" t="s">
        <v>1892</v>
      </c>
      <c r="B944" s="6"/>
      <c r="C944" s="77" t="s">
        <v>30</v>
      </c>
      <c r="D944" s="77" t="s">
        <v>1879</v>
      </c>
      <c r="E944" s="77" t="s">
        <v>1893</v>
      </c>
      <c r="F944" s="77" t="s">
        <v>1881</v>
      </c>
      <c r="G944" s="77" t="s">
        <v>1874</v>
      </c>
      <c r="H944" s="77">
        <f>STOCK[[#This Row],[Precio Final]]</f>
        <v>20</v>
      </c>
      <c r="I944" s="77">
        <f>STOCK[[#This Row],[Precio Venta Ideal (x1.5)]]</f>
        <v>22.125</v>
      </c>
      <c r="J944" s="92">
        <v>2</v>
      </c>
      <c r="K944" s="92">
        <f>SUMIFS(VENTAS[Cantidad],VENTAS[Código del producto Vendido],STOCK[[#This Row],[Code]])</f>
        <v>2</v>
      </c>
      <c r="L944" s="92">
        <f>STOCK[[#This Row],[Entradas]]-STOCK[[#This Row],[Salidas]]</f>
        <v>0</v>
      </c>
      <c r="M944" s="77">
        <f>STOCK[[#This Row],[Precio Final]]*10%</f>
        <v>2</v>
      </c>
      <c r="N944" s="77">
        <v>0</v>
      </c>
      <c r="O944" s="77">
        <v>0</v>
      </c>
      <c r="P944" s="77">
        <v>10.95</v>
      </c>
      <c r="Q944" s="92">
        <v>0</v>
      </c>
      <c r="R944" s="77">
        <v>0</v>
      </c>
      <c r="S944" s="77">
        <v>1.8</v>
      </c>
      <c r="T944" s="76">
        <f>STOCK[[#This Row],[Costo Unitario (USD)]]+STOCK[[#This Row],[Costo Envío (USD)]]+STOCK[[#This Row],[Comisión 10%]]</f>
        <v>14.75</v>
      </c>
      <c r="U944" s="77">
        <f>STOCK[[#This Row],[Costo total]]*1.5</f>
        <v>22.125</v>
      </c>
      <c r="V944" s="77">
        <v>20</v>
      </c>
      <c r="W944" s="77">
        <f>STOCK[[#This Row],[Precio Final]]-STOCK[[#This Row],[Costo total]]</f>
        <v>5.25</v>
      </c>
      <c r="X944" s="77">
        <f>STOCK[[#This Row],[Ganancia Unitaria]]*STOCK[[#This Row],[Salidas]]</f>
        <v>10.5</v>
      </c>
      <c r="Y944" s="77" t="s">
        <v>1875</v>
      </c>
      <c r="AA944" s="77">
        <f>STOCK[[#This Row],[Costo total]]*STOCK[[#This Row],[Entradas]]</f>
        <v>29.5</v>
      </c>
      <c r="AB944" s="77">
        <f>STOCK[[#This Row],[Stock Actual]]*STOCK[[#This Row],[Costo total]]</f>
        <v>0</v>
      </c>
    </row>
    <row r="945" s="76" customFormat="1" ht="50" customHeight="1" spans="1:28">
      <c r="A945" s="76" t="s">
        <v>1894</v>
      </c>
      <c r="B945" s="6"/>
      <c r="C945" s="76" t="s">
        <v>30</v>
      </c>
      <c r="D945" s="76" t="s">
        <v>1879</v>
      </c>
      <c r="E945" s="76" t="s">
        <v>1895</v>
      </c>
      <c r="F945" s="76" t="s">
        <v>1881</v>
      </c>
      <c r="G945" s="76" t="s">
        <v>1874</v>
      </c>
      <c r="H945" s="76">
        <f>STOCK[[#This Row],[Precio Final]]</f>
        <v>20</v>
      </c>
      <c r="I945" s="76">
        <f>STOCK[[#This Row],[Precio Venta Ideal (x1.5)]]</f>
        <v>22.125</v>
      </c>
      <c r="J945" s="91">
        <v>2</v>
      </c>
      <c r="K945" s="91">
        <f>SUMIFS(VENTAS[Cantidad],VENTAS[Código del producto Vendido],STOCK[[#This Row],[Code]])</f>
        <v>2</v>
      </c>
      <c r="L945" s="91">
        <f>STOCK[[#This Row],[Entradas]]-STOCK[[#This Row],[Salidas]]</f>
        <v>0</v>
      </c>
      <c r="M945" s="76">
        <f>STOCK[[#This Row],[Precio Final]]*10%</f>
        <v>2</v>
      </c>
      <c r="N945" s="76">
        <v>0</v>
      </c>
      <c r="O945" s="76">
        <v>0</v>
      </c>
      <c r="P945" s="76">
        <v>10.95</v>
      </c>
      <c r="Q945" s="91">
        <v>0</v>
      </c>
      <c r="R945" s="76">
        <v>0</v>
      </c>
      <c r="S945" s="76">
        <v>1.8</v>
      </c>
      <c r="T945" s="76">
        <f>STOCK[[#This Row],[Costo Unitario (USD)]]+STOCK[[#This Row],[Costo Envío (USD)]]+STOCK[[#This Row],[Comisión 10%]]</f>
        <v>14.75</v>
      </c>
      <c r="U945" s="76">
        <f>STOCK[[#This Row],[Costo total]]*1.5</f>
        <v>22.125</v>
      </c>
      <c r="V945" s="76">
        <v>20</v>
      </c>
      <c r="W945" s="76">
        <f>STOCK[[#This Row],[Precio Final]]-STOCK[[#This Row],[Costo total]]</f>
        <v>5.25</v>
      </c>
      <c r="X945" s="76">
        <f>STOCK[[#This Row],[Ganancia Unitaria]]*STOCK[[#This Row],[Salidas]]</f>
        <v>10.5</v>
      </c>
      <c r="Y945" s="76" t="s">
        <v>1875</v>
      </c>
      <c r="AA945" s="76">
        <f>STOCK[[#This Row],[Costo total]]*STOCK[[#This Row],[Entradas]]</f>
        <v>29.5</v>
      </c>
      <c r="AB945" s="76">
        <f>STOCK[[#This Row],[Stock Actual]]*STOCK[[#This Row],[Costo total]]</f>
        <v>0</v>
      </c>
    </row>
    <row r="946" s="77" customFormat="1" ht="50" customHeight="1" spans="1:28">
      <c r="A946" s="77" t="s">
        <v>1896</v>
      </c>
      <c r="B946" s="6"/>
      <c r="C946" s="77" t="s">
        <v>30</v>
      </c>
      <c r="D946" s="77" t="s">
        <v>1879</v>
      </c>
      <c r="E946" s="77" t="s">
        <v>1897</v>
      </c>
      <c r="F946" s="77" t="s">
        <v>1891</v>
      </c>
      <c r="G946" s="77" t="s">
        <v>1874</v>
      </c>
      <c r="H946" s="77">
        <f>STOCK[[#This Row],[Precio Final]]</f>
        <v>25</v>
      </c>
      <c r="I946" s="77">
        <f>STOCK[[#This Row],[Precio Venta Ideal (x1.5)]]</f>
        <v>22.68</v>
      </c>
      <c r="J946" s="92">
        <v>3</v>
      </c>
      <c r="K946" s="92">
        <f>SUMIFS(VENTAS[Cantidad],VENTAS[Código del producto Vendido],STOCK[[#This Row],[Code]])</f>
        <v>3</v>
      </c>
      <c r="L946" s="92">
        <f>STOCK[[#This Row],[Entradas]]-STOCK[[#This Row],[Salidas]]</f>
        <v>0</v>
      </c>
      <c r="M946" s="77">
        <f>STOCK[[#This Row],[Precio Final]]*10%</f>
        <v>2.5</v>
      </c>
      <c r="N946" s="77">
        <v>0</v>
      </c>
      <c r="O946" s="77">
        <v>0</v>
      </c>
      <c r="P946" s="77">
        <v>10.82</v>
      </c>
      <c r="Q946" s="92">
        <v>0</v>
      </c>
      <c r="R946" s="77">
        <v>0</v>
      </c>
      <c r="S946" s="77">
        <v>1.8</v>
      </c>
      <c r="T946" s="76">
        <f>STOCK[[#This Row],[Costo Unitario (USD)]]+STOCK[[#This Row],[Costo Envío (USD)]]+STOCK[[#This Row],[Comisión 10%]]</f>
        <v>15.12</v>
      </c>
      <c r="U946" s="77">
        <f>STOCK[[#This Row],[Costo total]]*1.5</f>
        <v>22.68</v>
      </c>
      <c r="V946" s="77">
        <v>25</v>
      </c>
      <c r="W946" s="77">
        <f>STOCK[[#This Row],[Precio Final]]-STOCK[[#This Row],[Costo total]]</f>
        <v>9.88</v>
      </c>
      <c r="X946" s="77">
        <f>STOCK[[#This Row],[Ganancia Unitaria]]*STOCK[[#This Row],[Salidas]]</f>
        <v>29.64</v>
      </c>
      <c r="Y946" s="77" t="s">
        <v>1875</v>
      </c>
      <c r="AA946" s="77">
        <f>STOCK[[#This Row],[Costo total]]*STOCK[[#This Row],[Entradas]]</f>
        <v>45.36</v>
      </c>
      <c r="AB946" s="77">
        <f>STOCK[[#This Row],[Stock Actual]]*STOCK[[#This Row],[Costo total]]</f>
        <v>0</v>
      </c>
    </row>
    <row r="947" s="76" customFormat="1" ht="50" customHeight="1" spans="1:28">
      <c r="A947" s="76" t="s">
        <v>1898</v>
      </c>
      <c r="B947" s="6"/>
      <c r="C947" s="76" t="s">
        <v>30</v>
      </c>
      <c r="D947" s="76" t="s">
        <v>1879</v>
      </c>
      <c r="E947" s="76" t="s">
        <v>1899</v>
      </c>
      <c r="F947" s="76" t="s">
        <v>524</v>
      </c>
      <c r="G947" s="76" t="s">
        <v>1874</v>
      </c>
      <c r="H947" s="76">
        <f>STOCK[[#This Row],[Precio Final]]</f>
        <v>25</v>
      </c>
      <c r="I947" s="76">
        <f>STOCK[[#This Row],[Precio Venta Ideal (x1.5)]]</f>
        <v>21.405</v>
      </c>
      <c r="J947" s="91">
        <v>3</v>
      </c>
      <c r="K947" s="91">
        <f>SUMIFS(VENTAS[Cantidad],VENTAS[Código del producto Vendido],STOCK[[#This Row],[Code]])</f>
        <v>1</v>
      </c>
      <c r="L947" s="91">
        <f>STOCK[[#This Row],[Entradas]]-STOCK[[#This Row],[Salidas]]</f>
        <v>2</v>
      </c>
      <c r="M947" s="76">
        <f>STOCK[[#This Row],[Precio Final]]*10%</f>
        <v>2.5</v>
      </c>
      <c r="N947" s="76">
        <v>0</v>
      </c>
      <c r="O947" s="76">
        <v>0</v>
      </c>
      <c r="P947" s="76">
        <v>9.97</v>
      </c>
      <c r="Q947" s="91">
        <v>0</v>
      </c>
      <c r="R947" s="76">
        <v>0</v>
      </c>
      <c r="S947" s="76">
        <v>1.8</v>
      </c>
      <c r="T947" s="76">
        <f>STOCK[[#This Row],[Costo Unitario (USD)]]+STOCK[[#This Row],[Costo Envío (USD)]]+STOCK[[#This Row],[Comisión 10%]]</f>
        <v>14.27</v>
      </c>
      <c r="U947" s="76">
        <f>STOCK[[#This Row],[Costo total]]*1.5</f>
        <v>21.405</v>
      </c>
      <c r="V947" s="76">
        <v>25</v>
      </c>
      <c r="W947" s="76">
        <f>STOCK[[#This Row],[Precio Final]]-STOCK[[#This Row],[Costo total]]</f>
        <v>10.73</v>
      </c>
      <c r="X947" s="76">
        <f>STOCK[[#This Row],[Ganancia Unitaria]]*STOCK[[#This Row],[Salidas]]</f>
        <v>10.73</v>
      </c>
      <c r="Y947" s="76" t="s">
        <v>1875</v>
      </c>
      <c r="AA947" s="76">
        <f>STOCK[[#This Row],[Costo total]]*STOCK[[#This Row],[Entradas]]</f>
        <v>42.81</v>
      </c>
      <c r="AB947" s="76">
        <f>STOCK[[#This Row],[Stock Actual]]*STOCK[[#This Row],[Costo total]]</f>
        <v>28.54</v>
      </c>
    </row>
    <row r="948" s="77" customFormat="1" ht="50" customHeight="1" spans="1:28">
      <c r="A948" s="77" t="s">
        <v>1900</v>
      </c>
      <c r="B948" s="6"/>
      <c r="C948" s="77" t="s">
        <v>30</v>
      </c>
      <c r="D948" s="77" t="s">
        <v>1865</v>
      </c>
      <c r="E948" s="77" t="s">
        <v>1901</v>
      </c>
      <c r="F948" s="77" t="s">
        <v>1902</v>
      </c>
      <c r="G948" s="77" t="s">
        <v>1874</v>
      </c>
      <c r="H948" s="77">
        <f>STOCK[[#This Row],[Precio Final]]</f>
        <v>14</v>
      </c>
      <c r="I948" s="77">
        <f>STOCK[[#This Row],[Precio Venta Ideal (x1.5)]]</f>
        <v>15.9</v>
      </c>
      <c r="J948" s="92">
        <v>2</v>
      </c>
      <c r="K948" s="92">
        <f>SUMIFS(VENTAS[Cantidad],VENTAS[Código del producto Vendido],STOCK[[#This Row],[Code]])</f>
        <v>2</v>
      </c>
      <c r="L948" s="92">
        <f>STOCK[[#This Row],[Entradas]]-STOCK[[#This Row],[Salidas]]</f>
        <v>0</v>
      </c>
      <c r="M948" s="77">
        <f>STOCK[[#This Row],[Precio Final]]*10%</f>
        <v>1.4</v>
      </c>
      <c r="N948" s="77">
        <v>0</v>
      </c>
      <c r="O948" s="77">
        <v>0</v>
      </c>
      <c r="P948" s="77">
        <v>8.7</v>
      </c>
      <c r="Q948" s="92">
        <v>0</v>
      </c>
      <c r="R948" s="77">
        <v>0</v>
      </c>
      <c r="S948" s="77">
        <v>0.5</v>
      </c>
      <c r="T948" s="76">
        <f>STOCK[[#This Row],[Costo Unitario (USD)]]+STOCK[[#This Row],[Costo Envío (USD)]]+STOCK[[#This Row],[Comisión 10%]]</f>
        <v>10.6</v>
      </c>
      <c r="U948" s="77">
        <f>STOCK[[#This Row],[Costo total]]*1.5</f>
        <v>15.9</v>
      </c>
      <c r="V948" s="77">
        <v>14</v>
      </c>
      <c r="W948" s="77">
        <f>STOCK[[#This Row],[Precio Final]]-STOCK[[#This Row],[Costo total]]</f>
        <v>3.4</v>
      </c>
      <c r="X948" s="77">
        <f>STOCK[[#This Row],[Ganancia Unitaria]]*STOCK[[#This Row],[Salidas]]</f>
        <v>6.8</v>
      </c>
      <c r="Y948" s="77" t="s">
        <v>1875</v>
      </c>
      <c r="AA948" s="77">
        <f>STOCK[[#This Row],[Costo total]]*STOCK[[#This Row],[Entradas]]</f>
        <v>21.2</v>
      </c>
      <c r="AB948" s="77">
        <f>STOCK[[#This Row],[Stock Actual]]*STOCK[[#This Row],[Costo total]]</f>
        <v>0</v>
      </c>
    </row>
    <row r="949" s="76" customFormat="1" ht="50" customHeight="1" spans="1:28">
      <c r="A949" s="76" t="s">
        <v>1903</v>
      </c>
      <c r="B949" s="6"/>
      <c r="C949" s="76" t="s">
        <v>30</v>
      </c>
      <c r="D949" s="76" t="s">
        <v>1865</v>
      </c>
      <c r="E949" s="76" t="s">
        <v>1901</v>
      </c>
      <c r="F949" s="76" t="s">
        <v>47</v>
      </c>
      <c r="G949" s="76" t="s">
        <v>1874</v>
      </c>
      <c r="H949" s="76">
        <f>STOCK[[#This Row],[Precio Final]]</f>
        <v>14</v>
      </c>
      <c r="I949" s="76">
        <f>STOCK[[#This Row],[Precio Venta Ideal (x1.5)]]</f>
        <v>15.9</v>
      </c>
      <c r="J949" s="91">
        <v>2</v>
      </c>
      <c r="K949" s="91">
        <f>SUMIFS(VENTAS[Cantidad],VENTAS[Código del producto Vendido],STOCK[[#This Row],[Code]])</f>
        <v>2</v>
      </c>
      <c r="L949" s="91">
        <f>STOCK[[#This Row],[Entradas]]-STOCK[[#This Row],[Salidas]]</f>
        <v>0</v>
      </c>
      <c r="M949" s="76">
        <f>STOCK[[#This Row],[Precio Final]]*10%</f>
        <v>1.4</v>
      </c>
      <c r="N949" s="76">
        <v>0</v>
      </c>
      <c r="O949" s="76">
        <v>0</v>
      </c>
      <c r="P949" s="76">
        <v>8.7</v>
      </c>
      <c r="Q949" s="91">
        <v>0</v>
      </c>
      <c r="R949" s="76">
        <v>0</v>
      </c>
      <c r="S949" s="76">
        <v>0.5</v>
      </c>
      <c r="T949" s="76">
        <f>STOCK[[#This Row],[Costo Unitario (USD)]]+STOCK[[#This Row],[Costo Envío (USD)]]+STOCK[[#This Row],[Comisión 10%]]</f>
        <v>10.6</v>
      </c>
      <c r="U949" s="76">
        <f>STOCK[[#This Row],[Costo total]]*1.5</f>
        <v>15.9</v>
      </c>
      <c r="V949" s="76">
        <v>14</v>
      </c>
      <c r="W949" s="76">
        <f>STOCK[[#This Row],[Precio Final]]-STOCK[[#This Row],[Costo total]]</f>
        <v>3.4</v>
      </c>
      <c r="X949" s="76">
        <f>STOCK[[#This Row],[Ganancia Unitaria]]*STOCK[[#This Row],[Salidas]]</f>
        <v>6.8</v>
      </c>
      <c r="Y949" s="76" t="s">
        <v>1875</v>
      </c>
      <c r="AA949" s="76">
        <f>STOCK[[#This Row],[Costo total]]*STOCK[[#This Row],[Entradas]]</f>
        <v>21.2</v>
      </c>
      <c r="AB949" s="76">
        <f>STOCK[[#This Row],[Stock Actual]]*STOCK[[#This Row],[Costo total]]</f>
        <v>0</v>
      </c>
    </row>
    <row r="950" s="77" customFormat="1" ht="50" customHeight="1" spans="1:28">
      <c r="A950" s="77" t="s">
        <v>1904</v>
      </c>
      <c r="B950" s="6"/>
      <c r="C950" s="77" t="s">
        <v>30</v>
      </c>
      <c r="D950" s="77" t="s">
        <v>1865</v>
      </c>
      <c r="E950" s="77" t="s">
        <v>1901</v>
      </c>
      <c r="F950" s="77" t="s">
        <v>44</v>
      </c>
      <c r="G950" s="77" t="s">
        <v>1874</v>
      </c>
      <c r="H950" s="77">
        <f>STOCK[[#This Row],[Precio Final]]</f>
        <v>14</v>
      </c>
      <c r="I950" s="77">
        <f>STOCK[[#This Row],[Precio Venta Ideal (x1.5)]]</f>
        <v>15.9</v>
      </c>
      <c r="J950" s="92">
        <v>2</v>
      </c>
      <c r="K950" s="92">
        <f>SUMIFS(VENTAS[Cantidad],VENTAS[Código del producto Vendido],STOCK[[#This Row],[Code]])</f>
        <v>0</v>
      </c>
      <c r="L950" s="92">
        <f>STOCK[[#This Row],[Entradas]]-STOCK[[#This Row],[Salidas]]</f>
        <v>2</v>
      </c>
      <c r="M950" s="77">
        <f>STOCK[[#This Row],[Precio Final]]*10%</f>
        <v>1.4</v>
      </c>
      <c r="N950" s="77">
        <v>0</v>
      </c>
      <c r="O950" s="77">
        <v>0</v>
      </c>
      <c r="P950" s="77">
        <v>8.7</v>
      </c>
      <c r="Q950" s="92">
        <v>0</v>
      </c>
      <c r="R950" s="77">
        <v>0</v>
      </c>
      <c r="S950" s="77">
        <v>0.5</v>
      </c>
      <c r="T950" s="76">
        <f>STOCK[[#This Row],[Costo Unitario (USD)]]+STOCK[[#This Row],[Costo Envío (USD)]]+STOCK[[#This Row],[Comisión 10%]]</f>
        <v>10.6</v>
      </c>
      <c r="U950" s="77">
        <f>STOCK[[#This Row],[Costo total]]*1.5</f>
        <v>15.9</v>
      </c>
      <c r="V950" s="77">
        <v>14</v>
      </c>
      <c r="W950" s="77">
        <f>STOCK[[#This Row],[Precio Final]]-STOCK[[#This Row],[Costo total]]</f>
        <v>3.4</v>
      </c>
      <c r="X950" s="77">
        <f>STOCK[[#This Row],[Ganancia Unitaria]]*STOCK[[#This Row],[Salidas]]</f>
        <v>0</v>
      </c>
      <c r="Y950" s="77" t="s">
        <v>1875</v>
      </c>
      <c r="AA950" s="77">
        <f>STOCK[[#This Row],[Costo total]]*STOCK[[#This Row],[Entradas]]</f>
        <v>21.2</v>
      </c>
      <c r="AB950" s="77">
        <f>STOCK[[#This Row],[Stock Actual]]*STOCK[[#This Row],[Costo total]]</f>
        <v>21.2</v>
      </c>
    </row>
    <row r="951" s="76" customFormat="1" ht="50" customHeight="1" spans="1:28">
      <c r="A951" s="76" t="s">
        <v>1905</v>
      </c>
      <c r="B951" s="6"/>
      <c r="C951" s="76" t="s">
        <v>30</v>
      </c>
      <c r="D951" s="76" t="s">
        <v>1879</v>
      </c>
      <c r="E951" s="76" t="s">
        <v>1906</v>
      </c>
      <c r="F951" s="76" t="s">
        <v>524</v>
      </c>
      <c r="G951" s="76" t="s">
        <v>1874</v>
      </c>
      <c r="H951" s="76">
        <f>STOCK[[#This Row],[Precio Final]]</f>
        <v>35</v>
      </c>
      <c r="I951" s="76">
        <f>STOCK[[#This Row],[Precio Venta Ideal (x1.5)]]</f>
        <v>37.47</v>
      </c>
      <c r="J951" s="91">
        <v>2</v>
      </c>
      <c r="K951" s="91">
        <f>SUMIFS(VENTAS[Cantidad],VENTAS[Código del producto Vendido],STOCK[[#This Row],[Code]])</f>
        <v>0</v>
      </c>
      <c r="L951" s="91">
        <f>STOCK[[#This Row],[Entradas]]-STOCK[[#This Row],[Salidas]]</f>
        <v>2</v>
      </c>
      <c r="M951" s="76">
        <f>STOCK[[#This Row],[Precio Final]]*10%</f>
        <v>3.5</v>
      </c>
      <c r="N951" s="76">
        <v>0</v>
      </c>
      <c r="O951" s="76">
        <v>0</v>
      </c>
      <c r="P951" s="76">
        <v>19.48</v>
      </c>
      <c r="Q951" s="91">
        <v>0</v>
      </c>
      <c r="R951" s="76">
        <v>0</v>
      </c>
      <c r="S951" s="76">
        <v>2</v>
      </c>
      <c r="T951" s="76">
        <f>STOCK[[#This Row],[Costo Unitario (USD)]]+STOCK[[#This Row],[Costo Envío (USD)]]+STOCK[[#This Row],[Comisión 10%]]</f>
        <v>24.98</v>
      </c>
      <c r="U951" s="76">
        <f>STOCK[[#This Row],[Costo total]]*1.5</f>
        <v>37.47</v>
      </c>
      <c r="V951" s="76">
        <v>35</v>
      </c>
      <c r="W951" s="76">
        <f>STOCK[[#This Row],[Precio Final]]-STOCK[[#This Row],[Costo total]]</f>
        <v>10.02</v>
      </c>
      <c r="X951" s="76">
        <f>STOCK[[#This Row],[Ganancia Unitaria]]*STOCK[[#This Row],[Salidas]]</f>
        <v>0</v>
      </c>
      <c r="Y951" s="76" t="s">
        <v>1875</v>
      </c>
      <c r="AA951" s="76">
        <f>STOCK[[#This Row],[Costo total]]*STOCK[[#This Row],[Entradas]]</f>
        <v>49.96</v>
      </c>
      <c r="AB951" s="76">
        <f>STOCK[[#This Row],[Stock Actual]]*STOCK[[#This Row],[Costo total]]</f>
        <v>49.96</v>
      </c>
    </row>
    <row r="952" s="77" customFormat="1" ht="50" customHeight="1" spans="1:28">
      <c r="A952" s="77" t="s">
        <v>1907</v>
      </c>
      <c r="B952" s="6"/>
      <c r="C952" s="77" t="s">
        <v>30</v>
      </c>
      <c r="D952" s="77" t="s">
        <v>1908</v>
      </c>
      <c r="E952" s="77" t="s">
        <v>1909</v>
      </c>
      <c r="F952" s="77" t="s">
        <v>1910</v>
      </c>
      <c r="G952" s="77" t="s">
        <v>1874</v>
      </c>
      <c r="H952" s="77">
        <f>STOCK[[#This Row],[Precio Final]]</f>
        <v>8</v>
      </c>
      <c r="I952" s="77">
        <f>STOCK[[#This Row],[Precio Venta Ideal (x1.5)]]</f>
        <v>7.875</v>
      </c>
      <c r="J952" s="92">
        <v>2</v>
      </c>
      <c r="K952" s="92">
        <f>SUMIFS(VENTAS[Cantidad],VENTAS[Código del producto Vendido],STOCK[[#This Row],[Code]])</f>
        <v>2</v>
      </c>
      <c r="L952" s="92">
        <f>STOCK[[#This Row],[Entradas]]-STOCK[[#This Row],[Salidas]]</f>
        <v>0</v>
      </c>
      <c r="M952" s="77">
        <f>STOCK[[#This Row],[Precio Final]]*10%</f>
        <v>0.8</v>
      </c>
      <c r="N952" s="77">
        <v>0</v>
      </c>
      <c r="O952" s="77">
        <v>0</v>
      </c>
      <c r="P952" s="77">
        <v>3.25</v>
      </c>
      <c r="Q952" s="92">
        <v>0</v>
      </c>
      <c r="R952" s="77">
        <v>0</v>
      </c>
      <c r="S952" s="77">
        <v>1.2</v>
      </c>
      <c r="T952" s="76">
        <f>STOCK[[#This Row],[Costo Unitario (USD)]]+STOCK[[#This Row],[Costo Envío (USD)]]+STOCK[[#This Row],[Comisión 10%]]</f>
        <v>5.25</v>
      </c>
      <c r="U952" s="77">
        <f>STOCK[[#This Row],[Costo total]]*1.5</f>
        <v>7.875</v>
      </c>
      <c r="V952" s="77">
        <v>8</v>
      </c>
      <c r="W952" s="77">
        <f>STOCK[[#This Row],[Precio Final]]-STOCK[[#This Row],[Costo total]]</f>
        <v>2.75</v>
      </c>
      <c r="X952" s="77">
        <f>STOCK[[#This Row],[Ganancia Unitaria]]*STOCK[[#This Row],[Salidas]]</f>
        <v>5.5</v>
      </c>
      <c r="Y952" s="77" t="s">
        <v>1875</v>
      </c>
      <c r="AA952" s="77">
        <f>STOCK[[#This Row],[Costo total]]*STOCK[[#This Row],[Entradas]]</f>
        <v>10.5</v>
      </c>
      <c r="AB952" s="77">
        <f>STOCK[[#This Row],[Stock Actual]]*STOCK[[#This Row],[Costo total]]</f>
        <v>0</v>
      </c>
    </row>
    <row r="953" s="76" customFormat="1" ht="50" customHeight="1" spans="1:28">
      <c r="A953" s="76" t="s">
        <v>1911</v>
      </c>
      <c r="B953" s="6"/>
      <c r="C953" s="76" t="s">
        <v>30</v>
      </c>
      <c r="D953" s="76" t="s">
        <v>1908</v>
      </c>
      <c r="E953" s="76" t="s">
        <v>1912</v>
      </c>
      <c r="F953" s="76" t="s">
        <v>1910</v>
      </c>
      <c r="G953" s="76" t="s">
        <v>1874</v>
      </c>
      <c r="H953" s="76">
        <f>STOCK[[#This Row],[Precio Final]]</f>
        <v>8</v>
      </c>
      <c r="I953" s="76">
        <f>STOCK[[#This Row],[Precio Venta Ideal (x1.5)]]</f>
        <v>7.875</v>
      </c>
      <c r="J953" s="91">
        <v>2</v>
      </c>
      <c r="K953" s="91">
        <f>SUMIFS(VENTAS[Cantidad],VENTAS[Código del producto Vendido],STOCK[[#This Row],[Code]])</f>
        <v>2</v>
      </c>
      <c r="L953" s="91">
        <f>STOCK[[#This Row],[Entradas]]-STOCK[[#This Row],[Salidas]]</f>
        <v>0</v>
      </c>
      <c r="M953" s="76">
        <f>STOCK[[#This Row],[Precio Final]]*10%</f>
        <v>0.8</v>
      </c>
      <c r="N953" s="76">
        <v>0</v>
      </c>
      <c r="O953" s="76">
        <v>0</v>
      </c>
      <c r="P953" s="76">
        <v>3.25</v>
      </c>
      <c r="Q953" s="91">
        <v>0</v>
      </c>
      <c r="R953" s="76">
        <v>0</v>
      </c>
      <c r="S953" s="76">
        <v>1.2</v>
      </c>
      <c r="T953" s="76">
        <f>STOCK[[#This Row],[Costo Unitario (USD)]]+STOCK[[#This Row],[Costo Envío (USD)]]+STOCK[[#This Row],[Comisión 10%]]</f>
        <v>5.25</v>
      </c>
      <c r="U953" s="76">
        <f>STOCK[[#This Row],[Costo total]]*1.5</f>
        <v>7.875</v>
      </c>
      <c r="V953" s="76">
        <v>8</v>
      </c>
      <c r="W953" s="76">
        <f>STOCK[[#This Row],[Precio Final]]-STOCK[[#This Row],[Costo total]]</f>
        <v>2.75</v>
      </c>
      <c r="X953" s="76">
        <f>STOCK[[#This Row],[Ganancia Unitaria]]*STOCK[[#This Row],[Salidas]]</f>
        <v>5.5</v>
      </c>
      <c r="Y953" s="76" t="s">
        <v>1875</v>
      </c>
      <c r="AA953" s="76">
        <f>STOCK[[#This Row],[Costo total]]*STOCK[[#This Row],[Entradas]]</f>
        <v>10.5</v>
      </c>
      <c r="AB953" s="76">
        <f>STOCK[[#This Row],[Stock Actual]]*STOCK[[#This Row],[Costo total]]</f>
        <v>0</v>
      </c>
    </row>
    <row r="954" s="77" customFormat="1" ht="50" customHeight="1" spans="1:28">
      <c r="A954" s="77" t="s">
        <v>1913</v>
      </c>
      <c r="B954" s="6"/>
      <c r="C954" s="77" t="s">
        <v>30</v>
      </c>
      <c r="D954" s="77" t="s">
        <v>1908</v>
      </c>
      <c r="E954" s="77" t="s">
        <v>1914</v>
      </c>
      <c r="F954" s="77" t="s">
        <v>1910</v>
      </c>
      <c r="G954" s="77" t="s">
        <v>1874</v>
      </c>
      <c r="H954" s="77">
        <f>STOCK[[#This Row],[Precio Final]]</f>
        <v>8</v>
      </c>
      <c r="I954" s="77">
        <f>STOCK[[#This Row],[Precio Venta Ideal (x1.5)]]</f>
        <v>8.49</v>
      </c>
      <c r="J954" s="92">
        <v>2</v>
      </c>
      <c r="K954" s="92">
        <f>SUMIFS(VENTAS[Cantidad],VENTAS[Código del producto Vendido],STOCK[[#This Row],[Code]])</f>
        <v>2</v>
      </c>
      <c r="L954" s="92">
        <f>STOCK[[#This Row],[Entradas]]-STOCK[[#This Row],[Salidas]]</f>
        <v>0</v>
      </c>
      <c r="M954" s="77">
        <f>STOCK[[#This Row],[Precio Final]]*10%</f>
        <v>0.8</v>
      </c>
      <c r="N954" s="77">
        <v>0</v>
      </c>
      <c r="O954" s="77">
        <v>0</v>
      </c>
      <c r="P954" s="77">
        <v>3.66</v>
      </c>
      <c r="Q954" s="92">
        <v>0</v>
      </c>
      <c r="R954" s="77">
        <v>0</v>
      </c>
      <c r="S954" s="77">
        <v>1.2</v>
      </c>
      <c r="T954" s="76">
        <f>STOCK[[#This Row],[Costo Unitario (USD)]]+STOCK[[#This Row],[Costo Envío (USD)]]+STOCK[[#This Row],[Comisión 10%]]</f>
        <v>5.66</v>
      </c>
      <c r="U954" s="77">
        <f>STOCK[[#This Row],[Costo total]]*1.5</f>
        <v>8.49</v>
      </c>
      <c r="V954" s="77">
        <v>8</v>
      </c>
      <c r="W954" s="77">
        <f>STOCK[[#This Row],[Precio Final]]-STOCK[[#This Row],[Costo total]]</f>
        <v>2.34</v>
      </c>
      <c r="X954" s="77">
        <f>STOCK[[#This Row],[Ganancia Unitaria]]*STOCK[[#This Row],[Salidas]]</f>
        <v>4.68</v>
      </c>
      <c r="Y954" s="77" t="s">
        <v>1875</v>
      </c>
      <c r="AA954" s="77">
        <f>STOCK[[#This Row],[Costo total]]*STOCK[[#This Row],[Entradas]]</f>
        <v>11.32</v>
      </c>
      <c r="AB954" s="77">
        <f>STOCK[[#This Row],[Stock Actual]]*STOCK[[#This Row],[Costo total]]</f>
        <v>0</v>
      </c>
    </row>
    <row r="955" s="76" customFormat="1" ht="50" customHeight="1" spans="1:28">
      <c r="A955" s="76" t="s">
        <v>1915</v>
      </c>
      <c r="B955" s="6"/>
      <c r="C955" s="76" t="s">
        <v>30</v>
      </c>
      <c r="D955" s="76" t="s">
        <v>1916</v>
      </c>
      <c r="E955" s="76" t="s">
        <v>1917</v>
      </c>
      <c r="F955" s="76" t="s">
        <v>1918</v>
      </c>
      <c r="G955" s="76" t="s">
        <v>34</v>
      </c>
      <c r="H955" s="76">
        <f>STOCK[[#This Row],[Precio Final]]</f>
        <v>0</v>
      </c>
      <c r="I955" s="76">
        <f>STOCK[[#This Row],[Precio Venta Ideal (x1.5)]]</f>
        <v>17.415</v>
      </c>
      <c r="J955" s="91">
        <v>0</v>
      </c>
      <c r="K955" s="91">
        <f>SUMIFS(VENTAS[Cantidad],VENTAS[Código del producto Vendido],STOCK[[#This Row],[Code]])</f>
        <v>0</v>
      </c>
      <c r="L955" s="91">
        <f>STOCK[[#This Row],[Entradas]]-STOCK[[#This Row],[Salidas]]</f>
        <v>0</v>
      </c>
      <c r="M955" s="76">
        <f>STOCK[[#This Row],[Precio Final]]*10%</f>
        <v>0</v>
      </c>
      <c r="N955" s="76">
        <v>0</v>
      </c>
      <c r="O955" s="76">
        <v>0</v>
      </c>
      <c r="P955" s="76">
        <v>11.61</v>
      </c>
      <c r="Q955" s="91">
        <v>0</v>
      </c>
      <c r="R955" s="76">
        <v>0</v>
      </c>
      <c r="S955" s="76">
        <v>0</v>
      </c>
      <c r="T955" s="76">
        <f>STOCK[[#This Row],[Costo Unitario (USD)]]+STOCK[[#This Row],[Costo Envío (USD)]]+STOCK[[#This Row],[Comisión 10%]]</f>
        <v>11.61</v>
      </c>
      <c r="U955" s="76">
        <f>STOCK[[#This Row],[Costo total]]*1.5</f>
        <v>17.415</v>
      </c>
      <c r="W955" s="76">
        <f>STOCK[[#This Row],[Precio Final]]-STOCK[[#This Row],[Costo total]]</f>
        <v>-11.61</v>
      </c>
      <c r="X955" s="76">
        <f>STOCK[[#This Row],[Ganancia Unitaria]]*STOCK[[#This Row],[Salidas]]</f>
        <v>0</v>
      </c>
      <c r="Y955" s="76" t="s">
        <v>1919</v>
      </c>
      <c r="AA955" s="76">
        <f>STOCK[[#This Row],[Costo total]]*STOCK[[#This Row],[Entradas]]</f>
        <v>0</v>
      </c>
      <c r="AB955" s="76">
        <f>STOCK[[#This Row],[Stock Actual]]*STOCK[[#This Row],[Costo total]]</f>
        <v>0</v>
      </c>
    </row>
    <row r="956" s="77" customFormat="1" ht="50" customHeight="1" spans="1:28">
      <c r="A956" s="77" t="s">
        <v>1920</v>
      </c>
      <c r="B956" s="6"/>
      <c r="C956" s="77" t="s">
        <v>30</v>
      </c>
      <c r="D956" s="77" t="s">
        <v>1921</v>
      </c>
      <c r="E956" s="77" t="s">
        <v>1917</v>
      </c>
      <c r="F956" s="77" t="s">
        <v>1922</v>
      </c>
      <c r="G956" s="77" t="s">
        <v>34</v>
      </c>
      <c r="H956" s="77">
        <f>STOCK[[#This Row],[Precio Final]]</f>
        <v>30</v>
      </c>
      <c r="I956" s="77">
        <f>STOCK[[#This Row],[Precio Venta Ideal (x1.5)]]</f>
        <v>21.915</v>
      </c>
      <c r="J956" s="92">
        <v>1</v>
      </c>
      <c r="K956" s="92">
        <f>SUMIFS(VENTAS[Cantidad],VENTAS[Código del producto Vendido],STOCK[[#This Row],[Code]])</f>
        <v>1</v>
      </c>
      <c r="L956" s="92">
        <f>STOCK[[#This Row],[Entradas]]-STOCK[[#This Row],[Salidas]]</f>
        <v>0</v>
      </c>
      <c r="M956" s="77">
        <f>STOCK[[#This Row],[Precio Final]]*10%</f>
        <v>3</v>
      </c>
      <c r="N956" s="77">
        <v>0</v>
      </c>
      <c r="O956" s="77">
        <v>0</v>
      </c>
      <c r="P956" s="77">
        <v>11.61</v>
      </c>
      <c r="Q956" s="92">
        <v>0</v>
      </c>
      <c r="R956" s="77">
        <v>0</v>
      </c>
      <c r="S956" s="77">
        <v>0</v>
      </c>
      <c r="T956" s="76">
        <f>STOCK[[#This Row],[Costo Unitario (USD)]]+STOCK[[#This Row],[Costo Envío (USD)]]+STOCK[[#This Row],[Comisión 10%]]</f>
        <v>14.61</v>
      </c>
      <c r="U956" s="77">
        <f>STOCK[[#This Row],[Costo total]]*1.5</f>
        <v>21.915</v>
      </c>
      <c r="V956" s="77">
        <v>30</v>
      </c>
      <c r="W956" s="77">
        <f>STOCK[[#This Row],[Precio Final]]-STOCK[[#This Row],[Costo total]]</f>
        <v>15.39</v>
      </c>
      <c r="X956" s="77">
        <f>STOCK[[#This Row],[Ganancia Unitaria]]*STOCK[[#This Row],[Salidas]]</f>
        <v>15.39</v>
      </c>
      <c r="Y956" s="77" t="s">
        <v>1919</v>
      </c>
      <c r="AA956" s="77">
        <f>STOCK[[#This Row],[Costo total]]*STOCK[[#This Row],[Entradas]]</f>
        <v>14.61</v>
      </c>
      <c r="AB956" s="77">
        <f>STOCK[[#This Row],[Stock Actual]]*STOCK[[#This Row],[Costo total]]</f>
        <v>0</v>
      </c>
    </row>
    <row r="957" s="76" customFormat="1" ht="50" customHeight="1" spans="1:28">
      <c r="A957" s="76" t="s">
        <v>1923</v>
      </c>
      <c r="B957" s="6"/>
      <c r="C957" s="76" t="s">
        <v>30</v>
      </c>
      <c r="D957" s="76" t="s">
        <v>42</v>
      </c>
      <c r="E957" s="76" t="s">
        <v>1924</v>
      </c>
      <c r="F957" s="76" t="s">
        <v>60</v>
      </c>
      <c r="G957" s="76" t="s">
        <v>34</v>
      </c>
      <c r="H957" s="76">
        <f>STOCK[[#This Row],[Precio Final]]</f>
        <v>30</v>
      </c>
      <c r="I957" s="76">
        <f>STOCK[[#This Row],[Precio Venta Ideal (x1.5)]]</f>
        <v>21.915</v>
      </c>
      <c r="J957" s="91">
        <v>1</v>
      </c>
      <c r="K957" s="91">
        <f>SUMIFS(VENTAS[Cantidad],VENTAS[Código del producto Vendido],STOCK[[#This Row],[Code]])</f>
        <v>1</v>
      </c>
      <c r="L957" s="91">
        <f>STOCK[[#This Row],[Entradas]]-STOCK[[#This Row],[Salidas]]</f>
        <v>0</v>
      </c>
      <c r="M957" s="76">
        <f>STOCK[[#This Row],[Precio Final]]*10%</f>
        <v>3</v>
      </c>
      <c r="N957" s="76">
        <v>0</v>
      </c>
      <c r="O957" s="76">
        <v>0</v>
      </c>
      <c r="P957" s="76">
        <v>11.61</v>
      </c>
      <c r="Q957" s="91">
        <v>0</v>
      </c>
      <c r="R957" s="76">
        <v>0</v>
      </c>
      <c r="S957" s="76">
        <v>0</v>
      </c>
      <c r="T957" s="76">
        <f>STOCK[[#This Row],[Costo Unitario (USD)]]+STOCK[[#This Row],[Costo Envío (USD)]]+STOCK[[#This Row],[Comisión 10%]]</f>
        <v>14.61</v>
      </c>
      <c r="U957" s="76">
        <f>STOCK[[#This Row],[Costo total]]*1.5</f>
        <v>21.915</v>
      </c>
      <c r="V957" s="76">
        <v>30</v>
      </c>
      <c r="W957" s="76">
        <f>STOCK[[#This Row],[Precio Final]]-STOCK[[#This Row],[Costo total]]</f>
        <v>15.39</v>
      </c>
      <c r="X957" s="76">
        <f>STOCK[[#This Row],[Ganancia Unitaria]]*STOCK[[#This Row],[Salidas]]</f>
        <v>15.39</v>
      </c>
      <c r="Y957" s="76" t="s">
        <v>1919</v>
      </c>
      <c r="AA957" s="76">
        <f>STOCK[[#This Row],[Costo total]]*STOCK[[#This Row],[Entradas]]</f>
        <v>14.61</v>
      </c>
      <c r="AB957" s="76">
        <f>STOCK[[#This Row],[Stock Actual]]*STOCK[[#This Row],[Costo total]]</f>
        <v>0</v>
      </c>
    </row>
    <row r="958" s="77" customFormat="1" ht="50" customHeight="1" spans="1:28">
      <c r="A958" s="77" t="s">
        <v>1925</v>
      </c>
      <c r="B958" s="6"/>
      <c r="C958" s="77" t="s">
        <v>30</v>
      </c>
      <c r="D958" s="77" t="s">
        <v>1926</v>
      </c>
      <c r="E958" s="77" t="s">
        <v>1927</v>
      </c>
      <c r="F958" s="77" t="s">
        <v>1928</v>
      </c>
      <c r="G958" s="77" t="s">
        <v>34</v>
      </c>
      <c r="H958" s="77">
        <f>STOCK[[#This Row],[Precio Final]]</f>
        <v>12</v>
      </c>
      <c r="I958" s="77">
        <f>STOCK[[#This Row],[Precio Venta Ideal (x1.5)]]</f>
        <v>9.255</v>
      </c>
      <c r="J958" s="92">
        <v>2</v>
      </c>
      <c r="K958" s="92">
        <f>SUMIFS(VENTAS[Cantidad],VENTAS[Código del producto Vendido],STOCK[[#This Row],[Code]])</f>
        <v>2</v>
      </c>
      <c r="L958" s="92">
        <f>STOCK[[#This Row],[Entradas]]-STOCK[[#This Row],[Salidas]]</f>
        <v>0</v>
      </c>
      <c r="M958" s="77">
        <f>STOCK[[#This Row],[Precio Final]]*10%</f>
        <v>1.2</v>
      </c>
      <c r="N958" s="77">
        <v>0</v>
      </c>
      <c r="O958" s="77">
        <v>0</v>
      </c>
      <c r="P958" s="77">
        <v>4.97</v>
      </c>
      <c r="Q958" s="92">
        <v>0</v>
      </c>
      <c r="R958" s="77">
        <v>0</v>
      </c>
      <c r="S958" s="77">
        <v>0</v>
      </c>
      <c r="T958" s="76">
        <f>STOCK[[#This Row],[Costo Unitario (USD)]]+STOCK[[#This Row],[Costo Envío (USD)]]+STOCK[[#This Row],[Comisión 10%]]</f>
        <v>6.17</v>
      </c>
      <c r="U958" s="77">
        <f>STOCK[[#This Row],[Costo total]]*1.5</f>
        <v>9.255</v>
      </c>
      <c r="V958" s="77">
        <v>12</v>
      </c>
      <c r="W958" s="77">
        <f>STOCK[[#This Row],[Precio Final]]-STOCK[[#This Row],[Costo total]]</f>
        <v>5.83</v>
      </c>
      <c r="X958" s="77">
        <f>STOCK[[#This Row],[Ganancia Unitaria]]*STOCK[[#This Row],[Salidas]]</f>
        <v>11.66</v>
      </c>
      <c r="Y958" s="77" t="s">
        <v>1919</v>
      </c>
      <c r="AA958" s="77">
        <f>STOCK[[#This Row],[Costo total]]*STOCK[[#This Row],[Entradas]]</f>
        <v>12.34</v>
      </c>
      <c r="AB958" s="77">
        <f>STOCK[[#This Row],[Stock Actual]]*STOCK[[#This Row],[Costo total]]</f>
        <v>0</v>
      </c>
    </row>
    <row r="959" s="76" customFormat="1" ht="50" customHeight="1" spans="1:28">
      <c r="A959" s="76" t="s">
        <v>1929</v>
      </c>
      <c r="B959" s="6"/>
      <c r="C959" s="76" t="s">
        <v>30</v>
      </c>
      <c r="D959" s="76" t="s">
        <v>1926</v>
      </c>
      <c r="E959" s="76" t="s">
        <v>1927</v>
      </c>
      <c r="F959" s="76" t="s">
        <v>1930</v>
      </c>
      <c r="G959" s="76" t="s">
        <v>34</v>
      </c>
      <c r="H959" s="76">
        <f>STOCK[[#This Row],[Precio Final]]</f>
        <v>12</v>
      </c>
      <c r="I959" s="76">
        <f>STOCK[[#This Row],[Precio Venta Ideal (x1.5)]]</f>
        <v>9.255</v>
      </c>
      <c r="J959" s="91">
        <v>2</v>
      </c>
      <c r="K959" s="91">
        <f>SUMIFS(VENTAS[Cantidad],VENTAS[Código del producto Vendido],STOCK[[#This Row],[Code]])</f>
        <v>2</v>
      </c>
      <c r="L959" s="91">
        <f>STOCK[[#This Row],[Entradas]]-STOCK[[#This Row],[Salidas]]</f>
        <v>0</v>
      </c>
      <c r="M959" s="76">
        <f>STOCK[[#This Row],[Precio Final]]*10%</f>
        <v>1.2</v>
      </c>
      <c r="N959" s="76">
        <v>0</v>
      </c>
      <c r="O959" s="76">
        <v>0</v>
      </c>
      <c r="P959" s="76">
        <v>4.97</v>
      </c>
      <c r="Q959" s="91">
        <v>0</v>
      </c>
      <c r="R959" s="76">
        <v>0</v>
      </c>
      <c r="S959" s="76">
        <v>0</v>
      </c>
      <c r="T959" s="76">
        <f>STOCK[[#This Row],[Costo Unitario (USD)]]+STOCK[[#This Row],[Costo Envío (USD)]]+STOCK[[#This Row],[Comisión 10%]]</f>
        <v>6.17</v>
      </c>
      <c r="U959" s="76">
        <f>STOCK[[#This Row],[Costo total]]*1.5</f>
        <v>9.255</v>
      </c>
      <c r="V959" s="76">
        <v>12</v>
      </c>
      <c r="W959" s="76">
        <f>STOCK[[#This Row],[Precio Final]]-STOCK[[#This Row],[Costo total]]</f>
        <v>5.83</v>
      </c>
      <c r="X959" s="76">
        <f>STOCK[[#This Row],[Ganancia Unitaria]]*STOCK[[#This Row],[Salidas]]</f>
        <v>11.66</v>
      </c>
      <c r="Y959" s="76" t="s">
        <v>1919</v>
      </c>
      <c r="AA959" s="76">
        <f>STOCK[[#This Row],[Costo total]]*STOCK[[#This Row],[Entradas]]</f>
        <v>12.34</v>
      </c>
      <c r="AB959" s="76">
        <f>STOCK[[#This Row],[Stock Actual]]*STOCK[[#This Row],[Costo total]]</f>
        <v>0</v>
      </c>
    </row>
    <row r="960" s="77" customFormat="1" ht="50" customHeight="1" spans="1:28">
      <c r="A960" s="77" t="s">
        <v>1931</v>
      </c>
      <c r="B960" s="6"/>
      <c r="C960" s="77" t="s">
        <v>30</v>
      </c>
      <c r="D960" s="77" t="s">
        <v>1926</v>
      </c>
      <c r="E960" s="77" t="s">
        <v>1927</v>
      </c>
      <c r="F960" s="77" t="s">
        <v>1932</v>
      </c>
      <c r="G960" s="77" t="s">
        <v>34</v>
      </c>
      <c r="H960" s="77">
        <f>STOCK[[#This Row],[Precio Final]]</f>
        <v>12</v>
      </c>
      <c r="I960" s="77">
        <f>STOCK[[#This Row],[Precio Venta Ideal (x1.5)]]</f>
        <v>9.255</v>
      </c>
      <c r="J960" s="92">
        <v>1</v>
      </c>
      <c r="K960" s="92">
        <f>SUMIFS(VENTAS[Cantidad],VENTAS[Código del producto Vendido],STOCK[[#This Row],[Code]])</f>
        <v>1</v>
      </c>
      <c r="L960" s="92">
        <f>STOCK[[#This Row],[Entradas]]-STOCK[[#This Row],[Salidas]]</f>
        <v>0</v>
      </c>
      <c r="M960" s="77">
        <f>STOCK[[#This Row],[Precio Final]]*10%</f>
        <v>1.2</v>
      </c>
      <c r="N960" s="77">
        <v>0</v>
      </c>
      <c r="O960" s="77">
        <v>0</v>
      </c>
      <c r="P960" s="77">
        <v>4.97</v>
      </c>
      <c r="Q960" s="92">
        <v>0</v>
      </c>
      <c r="R960" s="77">
        <v>0</v>
      </c>
      <c r="S960" s="77">
        <v>0</v>
      </c>
      <c r="T960" s="76">
        <f>STOCK[[#This Row],[Costo Unitario (USD)]]+STOCK[[#This Row],[Costo Envío (USD)]]+STOCK[[#This Row],[Comisión 10%]]</f>
        <v>6.17</v>
      </c>
      <c r="U960" s="77">
        <f>STOCK[[#This Row],[Costo total]]*1.5</f>
        <v>9.255</v>
      </c>
      <c r="V960" s="77">
        <v>12</v>
      </c>
      <c r="W960" s="77">
        <f>STOCK[[#This Row],[Precio Final]]-STOCK[[#This Row],[Costo total]]</f>
        <v>5.83</v>
      </c>
      <c r="X960" s="77">
        <f>STOCK[[#This Row],[Ganancia Unitaria]]*STOCK[[#This Row],[Salidas]]</f>
        <v>5.83</v>
      </c>
      <c r="Y960" s="77" t="s">
        <v>1919</v>
      </c>
      <c r="AA960" s="77">
        <f>STOCK[[#This Row],[Costo total]]*STOCK[[#This Row],[Entradas]]</f>
        <v>6.17</v>
      </c>
      <c r="AB960" s="77">
        <f>STOCK[[#This Row],[Stock Actual]]*STOCK[[#This Row],[Costo total]]</f>
        <v>0</v>
      </c>
    </row>
    <row r="961" s="76" customFormat="1" ht="50" customHeight="1" spans="1:28">
      <c r="A961" s="76" t="s">
        <v>1933</v>
      </c>
      <c r="B961" s="6"/>
      <c r="C961" s="76" t="s">
        <v>30</v>
      </c>
      <c r="D961" s="76" t="s">
        <v>1926</v>
      </c>
      <c r="E961" s="76" t="s">
        <v>1927</v>
      </c>
      <c r="F961" s="76" t="s">
        <v>1934</v>
      </c>
      <c r="G961" s="76" t="s">
        <v>34</v>
      </c>
      <c r="H961" s="76">
        <f>STOCK[[#This Row],[Precio Final]]</f>
        <v>0</v>
      </c>
      <c r="I961" s="76">
        <f>STOCK[[#This Row],[Precio Venta Ideal (x1.5)]]</f>
        <v>7.455</v>
      </c>
      <c r="J961" s="91">
        <v>0</v>
      </c>
      <c r="K961" s="91">
        <f>SUMIFS(VENTAS[Cantidad],VENTAS[Código del producto Vendido],STOCK[[#This Row],[Code]])</f>
        <v>0</v>
      </c>
      <c r="L961" s="91">
        <f>STOCK[[#This Row],[Entradas]]-STOCK[[#This Row],[Salidas]]</f>
        <v>0</v>
      </c>
      <c r="M961" s="76">
        <f>STOCK[[#This Row],[Precio Final]]*10%</f>
        <v>0</v>
      </c>
      <c r="N961" s="76">
        <v>0</v>
      </c>
      <c r="O961" s="76">
        <v>0</v>
      </c>
      <c r="P961" s="76">
        <v>4.97</v>
      </c>
      <c r="Q961" s="91">
        <v>0</v>
      </c>
      <c r="R961" s="76">
        <v>0</v>
      </c>
      <c r="S961" s="76">
        <v>0</v>
      </c>
      <c r="T961" s="76">
        <f>STOCK[[#This Row],[Costo Unitario (USD)]]+STOCK[[#This Row],[Costo Envío (USD)]]+STOCK[[#This Row],[Comisión 10%]]</f>
        <v>4.97</v>
      </c>
      <c r="U961" s="76">
        <f>STOCK[[#This Row],[Costo total]]*1.5</f>
        <v>7.455</v>
      </c>
      <c r="W961" s="76">
        <f>STOCK[[#This Row],[Precio Final]]-STOCK[[#This Row],[Costo total]]</f>
        <v>-4.97</v>
      </c>
      <c r="X961" s="76">
        <f>STOCK[[#This Row],[Ganancia Unitaria]]*STOCK[[#This Row],[Salidas]]</f>
        <v>0</v>
      </c>
      <c r="Y961" s="76" t="s">
        <v>1919</v>
      </c>
      <c r="AA961" s="76">
        <f>STOCK[[#This Row],[Costo total]]*STOCK[[#This Row],[Entradas]]</f>
        <v>0</v>
      </c>
      <c r="AB961" s="76">
        <f>STOCK[[#This Row],[Stock Actual]]*STOCK[[#This Row],[Costo total]]</f>
        <v>0</v>
      </c>
    </row>
    <row r="962" s="77" customFormat="1" ht="50" customHeight="1" spans="1:28">
      <c r="A962" s="77" t="s">
        <v>1935</v>
      </c>
      <c r="B962" s="6"/>
      <c r="C962" s="77" t="s">
        <v>30</v>
      </c>
      <c r="D962" s="77" t="s">
        <v>1936</v>
      </c>
      <c r="E962" s="77" t="s">
        <v>1937</v>
      </c>
      <c r="F962" s="77" t="s">
        <v>60</v>
      </c>
      <c r="G962" s="77" t="s">
        <v>34</v>
      </c>
      <c r="H962" s="77">
        <f>STOCK[[#This Row],[Precio Final]]</f>
        <v>8</v>
      </c>
      <c r="I962" s="77">
        <f>STOCK[[#This Row],[Precio Venta Ideal (x1.5)]]</f>
        <v>6.975</v>
      </c>
      <c r="J962" s="92">
        <v>3</v>
      </c>
      <c r="K962" s="92">
        <f>SUMIFS(VENTAS[Cantidad],VENTAS[Código del producto Vendido],STOCK[[#This Row],[Code]])</f>
        <v>1</v>
      </c>
      <c r="L962" s="92">
        <f>STOCK[[#This Row],[Entradas]]-STOCK[[#This Row],[Salidas]]</f>
        <v>2</v>
      </c>
      <c r="M962" s="77">
        <f>STOCK[[#This Row],[Precio Final]]*10%</f>
        <v>0.8</v>
      </c>
      <c r="N962" s="77">
        <v>0</v>
      </c>
      <c r="O962" s="77">
        <v>0</v>
      </c>
      <c r="P962" s="77">
        <v>3.85</v>
      </c>
      <c r="Q962" s="92">
        <v>0</v>
      </c>
      <c r="R962" s="77">
        <v>0</v>
      </c>
      <c r="S962" s="77">
        <v>0</v>
      </c>
      <c r="T962" s="76">
        <f>STOCK[[#This Row],[Costo Unitario (USD)]]+STOCK[[#This Row],[Costo Envío (USD)]]+STOCK[[#This Row],[Comisión 10%]]</f>
        <v>4.65</v>
      </c>
      <c r="U962" s="77">
        <f>STOCK[[#This Row],[Costo total]]*1.5</f>
        <v>6.975</v>
      </c>
      <c r="V962" s="77">
        <v>8</v>
      </c>
      <c r="W962" s="77">
        <f>STOCK[[#This Row],[Precio Final]]-STOCK[[#This Row],[Costo total]]</f>
        <v>3.35</v>
      </c>
      <c r="X962" s="77">
        <f>STOCK[[#This Row],[Ganancia Unitaria]]*STOCK[[#This Row],[Salidas]]</f>
        <v>3.35</v>
      </c>
      <c r="Y962" s="77" t="s">
        <v>1919</v>
      </c>
      <c r="AA962" s="77">
        <f>STOCK[[#This Row],[Costo total]]*STOCK[[#This Row],[Entradas]]</f>
        <v>13.95</v>
      </c>
      <c r="AB962" s="77">
        <f>STOCK[[#This Row],[Stock Actual]]*STOCK[[#This Row],[Costo total]]</f>
        <v>9.3</v>
      </c>
    </row>
    <row r="963" s="76" customFormat="1" ht="50" customHeight="1" spans="1:28">
      <c r="A963" s="76" t="s">
        <v>1938</v>
      </c>
      <c r="B963" s="6"/>
      <c r="C963" s="76" t="s">
        <v>30</v>
      </c>
      <c r="D963" s="77" t="s">
        <v>1936</v>
      </c>
      <c r="E963" s="76" t="s">
        <v>1939</v>
      </c>
      <c r="F963" s="76" t="s">
        <v>60</v>
      </c>
      <c r="G963" s="76" t="s">
        <v>34</v>
      </c>
      <c r="H963" s="76">
        <f>STOCK[[#This Row],[Precio Final]]</f>
        <v>8</v>
      </c>
      <c r="I963" s="76">
        <f>STOCK[[#This Row],[Precio Venta Ideal (x1.5)]]</f>
        <v>6.975</v>
      </c>
      <c r="J963" s="91">
        <v>2</v>
      </c>
      <c r="K963" s="91">
        <f>SUMIFS(VENTAS[Cantidad],VENTAS[Código del producto Vendido],STOCK[[#This Row],[Code]])</f>
        <v>0</v>
      </c>
      <c r="L963" s="91">
        <f>STOCK[[#This Row],[Entradas]]-STOCK[[#This Row],[Salidas]]</f>
        <v>2</v>
      </c>
      <c r="M963" s="76">
        <f>STOCK[[#This Row],[Precio Final]]*10%</f>
        <v>0.8</v>
      </c>
      <c r="N963" s="76">
        <v>0</v>
      </c>
      <c r="O963" s="76">
        <v>0</v>
      </c>
      <c r="P963" s="76">
        <v>3.85</v>
      </c>
      <c r="Q963" s="91">
        <v>0</v>
      </c>
      <c r="R963" s="76">
        <v>0</v>
      </c>
      <c r="S963" s="76">
        <v>0</v>
      </c>
      <c r="T963" s="76">
        <f>STOCK[[#This Row],[Costo Unitario (USD)]]+STOCK[[#This Row],[Costo Envío (USD)]]+STOCK[[#This Row],[Comisión 10%]]</f>
        <v>4.65</v>
      </c>
      <c r="U963" s="76">
        <f>STOCK[[#This Row],[Costo total]]*1.5</f>
        <v>6.975</v>
      </c>
      <c r="V963" s="76">
        <v>8</v>
      </c>
      <c r="W963" s="76">
        <f>STOCK[[#This Row],[Precio Final]]-STOCK[[#This Row],[Costo total]]</f>
        <v>3.35</v>
      </c>
      <c r="X963" s="76">
        <f>STOCK[[#This Row],[Ganancia Unitaria]]*STOCK[[#This Row],[Salidas]]</f>
        <v>0</v>
      </c>
      <c r="Y963" s="76" t="s">
        <v>1919</v>
      </c>
      <c r="AA963" s="76">
        <f>STOCK[[#This Row],[Costo total]]*STOCK[[#This Row],[Entradas]]</f>
        <v>9.3</v>
      </c>
      <c r="AB963" s="76">
        <f>STOCK[[#This Row],[Stock Actual]]*STOCK[[#This Row],[Costo total]]</f>
        <v>9.3</v>
      </c>
    </row>
    <row r="964" s="77" customFormat="1" ht="50" customHeight="1" spans="1:28">
      <c r="A964" s="77" t="s">
        <v>1940</v>
      </c>
      <c r="B964" s="6"/>
      <c r="C964" s="77" t="s">
        <v>30</v>
      </c>
      <c r="D964" s="77" t="s">
        <v>1936</v>
      </c>
      <c r="E964" s="77" t="s">
        <v>1939</v>
      </c>
      <c r="F964" s="77" t="s">
        <v>47</v>
      </c>
      <c r="G964" s="77" t="s">
        <v>34</v>
      </c>
      <c r="H964" s="77">
        <f>STOCK[[#This Row],[Precio Final]]</f>
        <v>8</v>
      </c>
      <c r="I964" s="77">
        <f>STOCK[[#This Row],[Precio Venta Ideal (x1.5)]]</f>
        <v>6.975</v>
      </c>
      <c r="J964" s="92">
        <v>2</v>
      </c>
      <c r="K964" s="92">
        <f>SUMIFS(VENTAS[Cantidad],VENTAS[Código del producto Vendido],STOCK[[#This Row],[Code]])</f>
        <v>0</v>
      </c>
      <c r="L964" s="92">
        <f>STOCK[[#This Row],[Entradas]]-STOCK[[#This Row],[Salidas]]</f>
        <v>2</v>
      </c>
      <c r="M964" s="77">
        <f>STOCK[[#This Row],[Precio Final]]*10%</f>
        <v>0.8</v>
      </c>
      <c r="N964" s="77">
        <v>0</v>
      </c>
      <c r="O964" s="77">
        <v>0</v>
      </c>
      <c r="P964" s="77">
        <v>3.85</v>
      </c>
      <c r="Q964" s="92">
        <v>0</v>
      </c>
      <c r="R964" s="77">
        <v>0</v>
      </c>
      <c r="S964" s="77">
        <v>0</v>
      </c>
      <c r="T964" s="76">
        <f>STOCK[[#This Row],[Costo Unitario (USD)]]+STOCK[[#This Row],[Costo Envío (USD)]]+STOCK[[#This Row],[Comisión 10%]]</f>
        <v>4.65</v>
      </c>
      <c r="U964" s="77">
        <f>STOCK[[#This Row],[Costo total]]*1.5</f>
        <v>6.975</v>
      </c>
      <c r="V964" s="77">
        <v>8</v>
      </c>
      <c r="W964" s="77">
        <f>STOCK[[#This Row],[Precio Final]]-STOCK[[#This Row],[Costo total]]</f>
        <v>3.35</v>
      </c>
      <c r="X964" s="77">
        <f>STOCK[[#This Row],[Ganancia Unitaria]]*STOCK[[#This Row],[Salidas]]</f>
        <v>0</v>
      </c>
      <c r="Y964" s="77" t="s">
        <v>1919</v>
      </c>
      <c r="AA964" s="77">
        <f>STOCK[[#This Row],[Costo total]]*STOCK[[#This Row],[Entradas]]</f>
        <v>9.3</v>
      </c>
      <c r="AB964" s="77">
        <f>STOCK[[#This Row],[Stock Actual]]*STOCK[[#This Row],[Costo total]]</f>
        <v>9.3</v>
      </c>
    </row>
    <row r="965" s="76" customFormat="1" ht="50" customHeight="1" spans="1:28">
      <c r="A965" s="76" t="s">
        <v>1941</v>
      </c>
      <c r="B965" s="6"/>
      <c r="C965" s="76" t="s">
        <v>30</v>
      </c>
      <c r="D965" s="76" t="s">
        <v>1942</v>
      </c>
      <c r="E965" s="76" t="s">
        <v>1755</v>
      </c>
      <c r="F965" s="76" t="s">
        <v>1943</v>
      </c>
      <c r="G965" s="76" t="s">
        <v>34</v>
      </c>
      <c r="H965" s="76">
        <f>STOCK[[#This Row],[Precio Final]]</f>
        <v>30</v>
      </c>
      <c r="I965" s="76">
        <f>STOCK[[#This Row],[Precio Venta Ideal (x1.5)]]</f>
        <v>31.455</v>
      </c>
      <c r="J965" s="91">
        <v>2</v>
      </c>
      <c r="K965" s="91">
        <f>SUMIFS(VENTAS[Cantidad],VENTAS[Código del producto Vendido],STOCK[[#This Row],[Code]])</f>
        <v>2</v>
      </c>
      <c r="L965" s="91">
        <f>STOCK[[#This Row],[Entradas]]-STOCK[[#This Row],[Salidas]]</f>
        <v>0</v>
      </c>
      <c r="M965" s="76">
        <f>STOCK[[#This Row],[Precio Final]]*10%</f>
        <v>3</v>
      </c>
      <c r="N965" s="76">
        <v>0</v>
      </c>
      <c r="O965" s="76">
        <v>0</v>
      </c>
      <c r="P965" s="76">
        <v>17.97</v>
      </c>
      <c r="Q965" s="91">
        <v>0</v>
      </c>
      <c r="R965" s="76">
        <v>0</v>
      </c>
      <c r="S965" s="76">
        <v>0</v>
      </c>
      <c r="T965" s="76">
        <f>STOCK[[#This Row],[Costo Unitario (USD)]]+STOCK[[#This Row],[Costo Envío (USD)]]+STOCK[[#This Row],[Comisión 10%]]</f>
        <v>20.97</v>
      </c>
      <c r="U965" s="76">
        <f>STOCK[[#This Row],[Costo total]]*1.5</f>
        <v>31.455</v>
      </c>
      <c r="V965" s="76">
        <v>30</v>
      </c>
      <c r="W965" s="76">
        <f>STOCK[[#This Row],[Precio Final]]-STOCK[[#This Row],[Costo total]]</f>
        <v>9.03</v>
      </c>
      <c r="X965" s="76">
        <f>STOCK[[#This Row],[Ganancia Unitaria]]*STOCK[[#This Row],[Salidas]]</f>
        <v>18.06</v>
      </c>
      <c r="Y965" s="76" t="s">
        <v>1919</v>
      </c>
      <c r="AA965" s="76">
        <f>STOCK[[#This Row],[Costo total]]*STOCK[[#This Row],[Entradas]]</f>
        <v>41.94</v>
      </c>
      <c r="AB965" s="76">
        <f>STOCK[[#This Row],[Stock Actual]]*STOCK[[#This Row],[Costo total]]</f>
        <v>0</v>
      </c>
    </row>
    <row r="966" s="77" customFormat="1" ht="50" customHeight="1" spans="1:29">
      <c r="A966" s="77" t="s">
        <v>1944</v>
      </c>
      <c r="B966" s="6"/>
      <c r="C966" s="77" t="s">
        <v>30</v>
      </c>
      <c r="D966" s="77" t="s">
        <v>215</v>
      </c>
      <c r="E966" s="77" t="s">
        <v>1945</v>
      </c>
      <c r="F966" s="77" t="s">
        <v>44</v>
      </c>
      <c r="G966" s="77" t="s">
        <v>34</v>
      </c>
      <c r="H966" s="77">
        <f>STOCK[[#This Row],[Precio Final]]</f>
        <v>30</v>
      </c>
      <c r="I966" s="77">
        <f>STOCK[[#This Row],[Precio Venta Ideal (x1.5)]]</f>
        <v>26.73</v>
      </c>
      <c r="J966" s="92">
        <v>2</v>
      </c>
      <c r="K966" s="92">
        <f>SUMIFS(VENTAS[Cantidad],VENTAS[Código del producto Vendido],STOCK[[#This Row],[Code]])</f>
        <v>0</v>
      </c>
      <c r="L966" s="92">
        <f>STOCK[[#This Row],[Entradas]]-STOCK[[#This Row],[Salidas]]</f>
        <v>2</v>
      </c>
      <c r="M966" s="77">
        <f>STOCK[[#This Row],[Precio Final]]*10%</f>
        <v>3</v>
      </c>
      <c r="N966" s="77">
        <v>0</v>
      </c>
      <c r="O966" s="77">
        <v>0</v>
      </c>
      <c r="P966" s="77">
        <v>14.82</v>
      </c>
      <c r="Q966" s="92">
        <v>0</v>
      </c>
      <c r="R966" s="77">
        <v>0</v>
      </c>
      <c r="S966" s="77">
        <v>0</v>
      </c>
      <c r="T966" s="76">
        <f>STOCK[[#This Row],[Costo Unitario (USD)]]+STOCK[[#This Row],[Costo Envío (USD)]]+STOCK[[#This Row],[Comisión 10%]]</f>
        <v>17.82</v>
      </c>
      <c r="U966" s="77">
        <f>STOCK[[#This Row],[Costo total]]*1.5</f>
        <v>26.73</v>
      </c>
      <c r="V966" s="77">
        <v>30</v>
      </c>
      <c r="W966" s="77">
        <f>STOCK[[#This Row],[Precio Final]]-STOCK[[#This Row],[Costo total]]</f>
        <v>12.18</v>
      </c>
      <c r="X966" s="77">
        <f>STOCK[[#This Row],[Ganancia Unitaria]]*STOCK[[#This Row],[Salidas]]</f>
        <v>0</v>
      </c>
      <c r="AA966" s="77">
        <f>STOCK[[#This Row],[Costo total]]*STOCK[[#This Row],[Entradas]]</f>
        <v>35.64</v>
      </c>
      <c r="AB966" s="77">
        <f>STOCK[[#This Row],[Stock Actual]]*STOCK[[#This Row],[Costo total]]</f>
        <v>35.64</v>
      </c>
      <c r="AC966" s="77">
        <v>28</v>
      </c>
    </row>
    <row r="967" s="76" customFormat="1" ht="50" customHeight="1" spans="1:28">
      <c r="A967" s="76" t="s">
        <v>1946</v>
      </c>
      <c r="B967" s="6"/>
      <c r="C967" s="76" t="s">
        <v>30</v>
      </c>
      <c r="D967" s="76" t="s">
        <v>1947</v>
      </c>
      <c r="E967" s="76" t="s">
        <v>1948</v>
      </c>
      <c r="F967" s="76" t="s">
        <v>1949</v>
      </c>
      <c r="G967" s="76" t="s">
        <v>1950</v>
      </c>
      <c r="H967" s="76">
        <f>STOCK[[#This Row],[Precio Final]]</f>
        <v>9</v>
      </c>
      <c r="I967" s="76">
        <f>STOCK[[#This Row],[Precio Venta Ideal (x1.5)]]</f>
        <v>10.35</v>
      </c>
      <c r="J967" s="91">
        <v>0</v>
      </c>
      <c r="K967" s="91">
        <f>SUMIFS(VENTAS[Cantidad],VENTAS[Código del producto Vendido],STOCK[[#This Row],[Code]])</f>
        <v>0</v>
      </c>
      <c r="L967" s="91">
        <f>STOCK[[#This Row],[Entradas]]-STOCK[[#This Row],[Salidas]]</f>
        <v>0</v>
      </c>
      <c r="M967" s="76">
        <f>STOCK[[#This Row],[Precio Final]]*10%</f>
        <v>0.9</v>
      </c>
      <c r="N967" s="76">
        <v>0</v>
      </c>
      <c r="O967" s="76">
        <v>0</v>
      </c>
      <c r="P967" s="76">
        <v>6</v>
      </c>
      <c r="Q967" s="91">
        <v>0</v>
      </c>
      <c r="R967" s="76">
        <v>0</v>
      </c>
      <c r="S967" s="76">
        <v>0</v>
      </c>
      <c r="T967" s="76">
        <f>STOCK[[#This Row],[Costo Unitario (USD)]]+STOCK[[#This Row],[Costo Envío (USD)]]+STOCK[[#This Row],[Comisión 10%]]</f>
        <v>6.9</v>
      </c>
      <c r="U967" s="76">
        <f>STOCK[[#This Row],[Costo total]]*1.5</f>
        <v>10.35</v>
      </c>
      <c r="V967" s="76">
        <v>9</v>
      </c>
      <c r="W967" s="76">
        <f>STOCK[[#This Row],[Precio Final]]-STOCK[[#This Row],[Costo total]]</f>
        <v>2.1</v>
      </c>
      <c r="X967" s="76">
        <f>STOCK[[#This Row],[Ganancia Unitaria]]*STOCK[[#This Row],[Salidas]]</f>
        <v>0</v>
      </c>
      <c r="Y967" s="76" t="s">
        <v>1951</v>
      </c>
      <c r="AA967" s="76">
        <f>STOCK[[#This Row],[Costo total]]*STOCK[[#This Row],[Entradas]]</f>
        <v>0</v>
      </c>
      <c r="AB967" s="76">
        <f>STOCK[[#This Row],[Stock Actual]]*STOCK[[#This Row],[Costo total]]</f>
        <v>0</v>
      </c>
    </row>
    <row r="968" s="77" customFormat="1" ht="50" customHeight="1" spans="1:28">
      <c r="A968" s="77" t="s">
        <v>1952</v>
      </c>
      <c r="B968" s="6"/>
      <c r="C968" s="77" t="s">
        <v>30</v>
      </c>
      <c r="D968" s="77" t="s">
        <v>1947</v>
      </c>
      <c r="E968" s="77" t="s">
        <v>1953</v>
      </c>
      <c r="F968" s="77" t="s">
        <v>227</v>
      </c>
      <c r="G968" s="77" t="s">
        <v>1954</v>
      </c>
      <c r="H968" s="77">
        <f>STOCK[[#This Row],[Precio Final]]</f>
        <v>7.5</v>
      </c>
      <c r="I968" s="77">
        <f>STOCK[[#This Row],[Precio Venta Ideal (x1.5)]]</f>
        <v>8.625</v>
      </c>
      <c r="J968" s="92">
        <v>0</v>
      </c>
      <c r="K968" s="92">
        <f>SUMIFS(VENTAS[Cantidad],VENTAS[Código del producto Vendido],STOCK[[#This Row],[Code]])</f>
        <v>0</v>
      </c>
      <c r="L968" s="92">
        <f>STOCK[[#This Row],[Entradas]]-STOCK[[#This Row],[Salidas]]</f>
        <v>0</v>
      </c>
      <c r="M968" s="77">
        <f>STOCK[[#This Row],[Precio Final]]*10%</f>
        <v>0.75</v>
      </c>
      <c r="N968" s="77">
        <v>0</v>
      </c>
      <c r="O968" s="77">
        <v>0</v>
      </c>
      <c r="P968" s="77">
        <v>5</v>
      </c>
      <c r="Q968" s="92">
        <v>0</v>
      </c>
      <c r="R968" s="77">
        <v>0</v>
      </c>
      <c r="S968" s="77">
        <v>0</v>
      </c>
      <c r="T968" s="76">
        <f>STOCK[[#This Row],[Costo Unitario (USD)]]+STOCK[[#This Row],[Costo Envío (USD)]]+STOCK[[#This Row],[Comisión 10%]]</f>
        <v>5.75</v>
      </c>
      <c r="U968" s="77">
        <f>STOCK[[#This Row],[Costo total]]*1.5</f>
        <v>8.625</v>
      </c>
      <c r="V968" s="77">
        <v>7.5</v>
      </c>
      <c r="W968" s="77">
        <f>STOCK[[#This Row],[Precio Final]]-STOCK[[#This Row],[Costo total]]</f>
        <v>1.75</v>
      </c>
      <c r="X968" s="77">
        <f>STOCK[[#This Row],[Ganancia Unitaria]]*STOCK[[#This Row],[Salidas]]</f>
        <v>0</v>
      </c>
      <c r="Y968" s="77" t="s">
        <v>1951</v>
      </c>
      <c r="AA968" s="77">
        <f>STOCK[[#This Row],[Costo total]]*STOCK[[#This Row],[Entradas]]</f>
        <v>0</v>
      </c>
      <c r="AB968" s="77">
        <f>STOCK[[#This Row],[Stock Actual]]*STOCK[[#This Row],[Costo total]]</f>
        <v>0</v>
      </c>
    </row>
    <row r="969" s="76" customFormat="1" ht="50" customHeight="1" spans="1:28">
      <c r="A969" s="76" t="s">
        <v>1955</v>
      </c>
      <c r="B969" s="6"/>
      <c r="C969" s="76" t="s">
        <v>30</v>
      </c>
      <c r="D969" s="76" t="s">
        <v>1947</v>
      </c>
      <c r="E969" s="76" t="s">
        <v>1956</v>
      </c>
      <c r="F969" s="76" t="s">
        <v>1957</v>
      </c>
      <c r="G969" s="76" t="s">
        <v>1954</v>
      </c>
      <c r="H969" s="76">
        <f>STOCK[[#This Row],[Precio Final]]</f>
        <v>7.5</v>
      </c>
      <c r="I969" s="76">
        <f>STOCK[[#This Row],[Precio Venta Ideal (x1.5)]]</f>
        <v>8.625</v>
      </c>
      <c r="J969" s="92">
        <v>0</v>
      </c>
      <c r="K969" s="91">
        <f>SUMIFS(VENTAS[Cantidad],VENTAS[Código del producto Vendido],STOCK[[#This Row],[Code]])</f>
        <v>0</v>
      </c>
      <c r="L969" s="91">
        <f>STOCK[[#This Row],[Entradas]]-STOCK[[#This Row],[Salidas]]</f>
        <v>0</v>
      </c>
      <c r="M969" s="76">
        <f>STOCK[[#This Row],[Precio Final]]*10%</f>
        <v>0.75</v>
      </c>
      <c r="N969" s="76">
        <v>0</v>
      </c>
      <c r="O969" s="76">
        <v>0</v>
      </c>
      <c r="P969" s="76">
        <v>5</v>
      </c>
      <c r="Q969" s="91">
        <v>0</v>
      </c>
      <c r="R969" s="76">
        <v>0</v>
      </c>
      <c r="S969" s="76">
        <v>0</v>
      </c>
      <c r="T969" s="76">
        <f>STOCK[[#This Row],[Costo Unitario (USD)]]+STOCK[[#This Row],[Costo Envío (USD)]]+STOCK[[#This Row],[Comisión 10%]]</f>
        <v>5.75</v>
      </c>
      <c r="U969" s="76">
        <f>STOCK[[#This Row],[Costo total]]*1.5</f>
        <v>8.625</v>
      </c>
      <c r="V969" s="76">
        <v>7.5</v>
      </c>
      <c r="W969" s="76">
        <f>STOCK[[#This Row],[Precio Final]]-STOCK[[#This Row],[Costo total]]</f>
        <v>1.75</v>
      </c>
      <c r="X969" s="76">
        <f>STOCK[[#This Row],[Ganancia Unitaria]]*STOCK[[#This Row],[Salidas]]</f>
        <v>0</v>
      </c>
      <c r="Y969" s="76" t="s">
        <v>1951</v>
      </c>
      <c r="AA969" s="76">
        <f>STOCK[[#This Row],[Costo total]]*STOCK[[#This Row],[Entradas]]</f>
        <v>0</v>
      </c>
      <c r="AB969" s="76">
        <f>STOCK[[#This Row],[Stock Actual]]*STOCK[[#This Row],[Costo total]]</f>
        <v>0</v>
      </c>
    </row>
    <row r="970" s="77" customFormat="1" ht="50" customHeight="1" spans="1:28">
      <c r="A970" s="77" t="s">
        <v>1958</v>
      </c>
      <c r="B970" s="6"/>
      <c r="C970" s="77" t="s">
        <v>30</v>
      </c>
      <c r="D970" s="77" t="s">
        <v>1947</v>
      </c>
      <c r="E970" s="77" t="s">
        <v>1959</v>
      </c>
      <c r="F970" s="77" t="s">
        <v>1960</v>
      </c>
      <c r="G970" s="77" t="s">
        <v>1961</v>
      </c>
      <c r="H970" s="77">
        <f>STOCK[[#This Row],[Precio Final]]</f>
        <v>6</v>
      </c>
      <c r="I970" s="77">
        <f>STOCK[[#This Row],[Precio Venta Ideal (x1.5)]]</f>
        <v>6.9</v>
      </c>
      <c r="J970" s="92">
        <v>0</v>
      </c>
      <c r="K970" s="92">
        <f>SUMIFS(VENTAS[Cantidad],VENTAS[Código del producto Vendido],STOCK[[#This Row],[Code]])</f>
        <v>0</v>
      </c>
      <c r="L970" s="92">
        <f>STOCK[[#This Row],[Entradas]]-STOCK[[#This Row],[Salidas]]</f>
        <v>0</v>
      </c>
      <c r="M970" s="77">
        <f>STOCK[[#This Row],[Precio Final]]*10%</f>
        <v>0.6</v>
      </c>
      <c r="N970" s="77">
        <v>0</v>
      </c>
      <c r="O970" s="77">
        <v>0</v>
      </c>
      <c r="P970" s="77">
        <v>4</v>
      </c>
      <c r="Q970" s="92">
        <v>0</v>
      </c>
      <c r="R970" s="77">
        <v>0</v>
      </c>
      <c r="S970" s="77">
        <v>0</v>
      </c>
      <c r="T970" s="76">
        <f>STOCK[[#This Row],[Costo Unitario (USD)]]+STOCK[[#This Row],[Costo Envío (USD)]]+STOCK[[#This Row],[Comisión 10%]]</f>
        <v>4.6</v>
      </c>
      <c r="U970" s="77">
        <f>STOCK[[#This Row],[Costo total]]*1.5</f>
        <v>6.9</v>
      </c>
      <c r="V970" s="77">
        <v>6</v>
      </c>
      <c r="W970" s="77">
        <f>STOCK[[#This Row],[Precio Final]]-STOCK[[#This Row],[Costo total]]</f>
        <v>1.4</v>
      </c>
      <c r="X970" s="77">
        <f>STOCK[[#This Row],[Ganancia Unitaria]]*STOCK[[#This Row],[Salidas]]</f>
        <v>0</v>
      </c>
      <c r="Y970" s="77" t="s">
        <v>1951</v>
      </c>
      <c r="AA970" s="77">
        <f>STOCK[[#This Row],[Costo total]]*STOCK[[#This Row],[Entradas]]</f>
        <v>0</v>
      </c>
      <c r="AB970" s="77">
        <f>STOCK[[#This Row],[Stock Actual]]*STOCK[[#This Row],[Costo total]]</f>
        <v>0</v>
      </c>
    </row>
    <row r="971" s="76" customFormat="1" ht="50" customHeight="1" spans="1:28">
      <c r="A971" s="76" t="s">
        <v>1962</v>
      </c>
      <c r="B971" s="6"/>
      <c r="C971" s="76" t="s">
        <v>30</v>
      </c>
      <c r="D971" s="76" t="s">
        <v>1947</v>
      </c>
      <c r="E971" s="76" t="s">
        <v>1963</v>
      </c>
      <c r="F971" s="76" t="s">
        <v>1964</v>
      </c>
      <c r="G971" s="76" t="s">
        <v>1294</v>
      </c>
      <c r="H971" s="76">
        <f>STOCK[[#This Row],[Precio Final]]</f>
        <v>3</v>
      </c>
      <c r="I971" s="76">
        <f>STOCK[[#This Row],[Precio Venta Ideal (x1.5)]]</f>
        <v>3.45</v>
      </c>
      <c r="J971" s="92">
        <v>0</v>
      </c>
      <c r="K971" s="91">
        <f>SUMIFS(VENTAS[Cantidad],VENTAS[Código del producto Vendido],STOCK[[#This Row],[Code]])</f>
        <v>0</v>
      </c>
      <c r="L971" s="91">
        <f>STOCK[[#This Row],[Entradas]]-STOCK[[#This Row],[Salidas]]</f>
        <v>0</v>
      </c>
      <c r="M971" s="76">
        <f>STOCK[[#This Row],[Precio Final]]*10%</f>
        <v>0.3</v>
      </c>
      <c r="N971" s="76">
        <v>0</v>
      </c>
      <c r="O971" s="76">
        <v>0</v>
      </c>
      <c r="P971" s="76">
        <v>2</v>
      </c>
      <c r="Q971" s="91">
        <v>0</v>
      </c>
      <c r="R971" s="76">
        <v>0</v>
      </c>
      <c r="S971" s="76">
        <v>0</v>
      </c>
      <c r="T971" s="76">
        <f>STOCK[[#This Row],[Costo Unitario (USD)]]+STOCK[[#This Row],[Costo Envío (USD)]]+STOCK[[#This Row],[Comisión 10%]]</f>
        <v>2.3</v>
      </c>
      <c r="U971" s="76">
        <f>STOCK[[#This Row],[Costo total]]*1.5</f>
        <v>3.45</v>
      </c>
      <c r="V971" s="76">
        <v>3</v>
      </c>
      <c r="W971" s="76">
        <f>STOCK[[#This Row],[Precio Final]]-STOCK[[#This Row],[Costo total]]</f>
        <v>0.7</v>
      </c>
      <c r="X971" s="76">
        <f>STOCK[[#This Row],[Ganancia Unitaria]]*STOCK[[#This Row],[Salidas]]</f>
        <v>0</v>
      </c>
      <c r="Y971" s="76" t="s">
        <v>1951</v>
      </c>
      <c r="AA971" s="76">
        <f>STOCK[[#This Row],[Costo total]]*STOCK[[#This Row],[Entradas]]</f>
        <v>0</v>
      </c>
      <c r="AB971" s="76">
        <f>STOCK[[#This Row],[Stock Actual]]*STOCK[[#This Row],[Costo total]]</f>
        <v>0</v>
      </c>
    </row>
    <row r="972" s="77" customFormat="1" ht="50" customHeight="1" spans="1:28">
      <c r="A972" s="77" t="s">
        <v>1965</v>
      </c>
      <c r="B972" s="6"/>
      <c r="C972" s="77" t="s">
        <v>30</v>
      </c>
      <c r="D972" s="77" t="s">
        <v>1947</v>
      </c>
      <c r="E972" s="77" t="s">
        <v>1966</v>
      </c>
      <c r="F972" s="77" t="s">
        <v>1967</v>
      </c>
      <c r="G972" s="77" t="s">
        <v>1954</v>
      </c>
      <c r="H972" s="77">
        <f>STOCK[[#This Row],[Precio Final]]</f>
        <v>7.5</v>
      </c>
      <c r="I972" s="77">
        <f>STOCK[[#This Row],[Precio Venta Ideal (x1.5)]]</f>
        <v>8.625</v>
      </c>
      <c r="J972" s="92">
        <v>0</v>
      </c>
      <c r="K972" s="92">
        <f>SUMIFS(VENTAS[Cantidad],VENTAS[Código del producto Vendido],STOCK[[#This Row],[Code]])</f>
        <v>0</v>
      </c>
      <c r="L972" s="92">
        <f>STOCK[[#This Row],[Entradas]]-STOCK[[#This Row],[Salidas]]</f>
        <v>0</v>
      </c>
      <c r="M972" s="77">
        <f>STOCK[[#This Row],[Precio Final]]*10%</f>
        <v>0.75</v>
      </c>
      <c r="N972" s="77">
        <v>0</v>
      </c>
      <c r="O972" s="77">
        <v>0</v>
      </c>
      <c r="P972" s="77">
        <v>5</v>
      </c>
      <c r="Q972" s="92">
        <v>0</v>
      </c>
      <c r="R972" s="77">
        <v>0</v>
      </c>
      <c r="S972" s="77">
        <v>0</v>
      </c>
      <c r="T972" s="76">
        <f>STOCK[[#This Row],[Costo Unitario (USD)]]+STOCK[[#This Row],[Costo Envío (USD)]]+STOCK[[#This Row],[Comisión 10%]]</f>
        <v>5.75</v>
      </c>
      <c r="U972" s="77">
        <f>STOCK[[#This Row],[Costo total]]*1.5</f>
        <v>8.625</v>
      </c>
      <c r="V972" s="77">
        <v>7.5</v>
      </c>
      <c r="W972" s="77">
        <f>STOCK[[#This Row],[Precio Final]]-STOCK[[#This Row],[Costo total]]</f>
        <v>1.75</v>
      </c>
      <c r="X972" s="77">
        <f>STOCK[[#This Row],[Ganancia Unitaria]]*STOCK[[#This Row],[Salidas]]</f>
        <v>0</v>
      </c>
      <c r="Y972" s="77" t="s">
        <v>1951</v>
      </c>
      <c r="AA972" s="77">
        <f>STOCK[[#This Row],[Costo total]]*STOCK[[#This Row],[Entradas]]</f>
        <v>0</v>
      </c>
      <c r="AB972" s="77">
        <f>STOCK[[#This Row],[Stock Actual]]*STOCK[[#This Row],[Costo total]]</f>
        <v>0</v>
      </c>
    </row>
    <row r="973" s="76" customFormat="1" ht="50" customHeight="1" spans="1:28">
      <c r="A973" s="76" t="s">
        <v>1968</v>
      </c>
      <c r="B973" s="6"/>
      <c r="C973" s="76" t="s">
        <v>30</v>
      </c>
      <c r="D973" s="76" t="s">
        <v>1947</v>
      </c>
      <c r="E973" s="76" t="s">
        <v>1969</v>
      </c>
      <c r="F973" s="76" t="s">
        <v>1970</v>
      </c>
      <c r="G973" s="76" t="s">
        <v>1954</v>
      </c>
      <c r="H973" s="76">
        <f>STOCK[[#This Row],[Precio Final]]</f>
        <v>4.5</v>
      </c>
      <c r="I973" s="76">
        <f>STOCK[[#This Row],[Precio Venta Ideal (x1.5)]]</f>
        <v>5.175</v>
      </c>
      <c r="J973" s="92">
        <v>0</v>
      </c>
      <c r="K973" s="91">
        <f>SUMIFS(VENTAS[Cantidad],VENTAS[Código del producto Vendido],STOCK[[#This Row],[Code]])</f>
        <v>0</v>
      </c>
      <c r="L973" s="91">
        <f>STOCK[[#This Row],[Entradas]]-STOCK[[#This Row],[Salidas]]</f>
        <v>0</v>
      </c>
      <c r="M973" s="76">
        <f>STOCK[[#This Row],[Precio Final]]*10%</f>
        <v>0.45</v>
      </c>
      <c r="N973" s="76">
        <v>0</v>
      </c>
      <c r="O973" s="76">
        <v>0</v>
      </c>
      <c r="P973" s="76">
        <v>3</v>
      </c>
      <c r="Q973" s="91">
        <v>0</v>
      </c>
      <c r="R973" s="76">
        <v>0</v>
      </c>
      <c r="S973" s="76">
        <v>0</v>
      </c>
      <c r="T973" s="76">
        <f>STOCK[[#This Row],[Costo Unitario (USD)]]+STOCK[[#This Row],[Costo Envío (USD)]]+STOCK[[#This Row],[Comisión 10%]]</f>
        <v>3.45</v>
      </c>
      <c r="U973" s="76">
        <f>STOCK[[#This Row],[Costo total]]*1.5</f>
        <v>5.175</v>
      </c>
      <c r="V973" s="76">
        <v>4.5</v>
      </c>
      <c r="W973" s="76">
        <f>STOCK[[#This Row],[Precio Final]]-STOCK[[#This Row],[Costo total]]</f>
        <v>1.05</v>
      </c>
      <c r="X973" s="76">
        <f>STOCK[[#This Row],[Ganancia Unitaria]]*STOCK[[#This Row],[Salidas]]</f>
        <v>0</v>
      </c>
      <c r="Y973" s="76" t="s">
        <v>1951</v>
      </c>
      <c r="AA973" s="76">
        <f>STOCK[[#This Row],[Costo total]]*STOCK[[#This Row],[Entradas]]</f>
        <v>0</v>
      </c>
      <c r="AB973" s="76">
        <f>STOCK[[#This Row],[Stock Actual]]*STOCK[[#This Row],[Costo total]]</f>
        <v>0</v>
      </c>
    </row>
    <row r="974" s="77" customFormat="1" ht="50" customHeight="1" spans="1:28">
      <c r="A974" s="77" t="s">
        <v>1971</v>
      </c>
      <c r="B974" s="6"/>
      <c r="C974" s="77" t="s">
        <v>30</v>
      </c>
      <c r="D974" s="77" t="s">
        <v>1947</v>
      </c>
      <c r="E974" s="77" t="s">
        <v>1972</v>
      </c>
      <c r="F974" s="77" t="s">
        <v>1970</v>
      </c>
      <c r="G974" s="77" t="s">
        <v>1954</v>
      </c>
      <c r="H974" s="77">
        <f>STOCK[[#This Row],[Precio Final]]</f>
        <v>6</v>
      </c>
      <c r="I974" s="77">
        <f>STOCK[[#This Row],[Precio Venta Ideal (x1.5)]]</f>
        <v>6.9</v>
      </c>
      <c r="J974" s="92">
        <v>0</v>
      </c>
      <c r="K974" s="92">
        <f>SUMIFS(VENTAS[Cantidad],VENTAS[Código del producto Vendido],STOCK[[#This Row],[Code]])</f>
        <v>0</v>
      </c>
      <c r="L974" s="92">
        <f>STOCK[[#This Row],[Entradas]]-STOCK[[#This Row],[Salidas]]</f>
        <v>0</v>
      </c>
      <c r="M974" s="77">
        <f>STOCK[[#This Row],[Precio Final]]*10%</f>
        <v>0.6</v>
      </c>
      <c r="N974" s="77">
        <v>0</v>
      </c>
      <c r="O974" s="77">
        <v>0</v>
      </c>
      <c r="P974" s="77">
        <v>4</v>
      </c>
      <c r="Q974" s="92">
        <v>0</v>
      </c>
      <c r="R974" s="77">
        <v>0</v>
      </c>
      <c r="S974" s="77">
        <v>0</v>
      </c>
      <c r="T974" s="76">
        <f>STOCK[[#This Row],[Costo Unitario (USD)]]+STOCK[[#This Row],[Costo Envío (USD)]]+STOCK[[#This Row],[Comisión 10%]]</f>
        <v>4.6</v>
      </c>
      <c r="U974" s="77">
        <f>STOCK[[#This Row],[Costo total]]*1.5</f>
        <v>6.9</v>
      </c>
      <c r="V974" s="77">
        <v>6</v>
      </c>
      <c r="W974" s="77">
        <f>STOCK[[#This Row],[Precio Final]]-STOCK[[#This Row],[Costo total]]</f>
        <v>1.4</v>
      </c>
      <c r="X974" s="77">
        <f>STOCK[[#This Row],[Ganancia Unitaria]]*STOCK[[#This Row],[Salidas]]</f>
        <v>0</v>
      </c>
      <c r="Y974" s="77" t="s">
        <v>1951</v>
      </c>
      <c r="AA974" s="77">
        <f>STOCK[[#This Row],[Costo total]]*STOCK[[#This Row],[Entradas]]</f>
        <v>0</v>
      </c>
      <c r="AB974" s="77">
        <f>STOCK[[#This Row],[Stock Actual]]*STOCK[[#This Row],[Costo total]]</f>
        <v>0</v>
      </c>
    </row>
    <row r="975" s="76" customFormat="1" ht="50" customHeight="1" spans="1:28">
      <c r="A975" s="76" t="s">
        <v>1973</v>
      </c>
      <c r="B975" s="6"/>
      <c r="C975" s="76" t="s">
        <v>30</v>
      </c>
      <c r="D975" s="76" t="s">
        <v>1947</v>
      </c>
      <c r="E975" s="76" t="s">
        <v>1974</v>
      </c>
      <c r="F975" s="76" t="s">
        <v>1975</v>
      </c>
      <c r="G975" s="76" t="s">
        <v>1976</v>
      </c>
      <c r="H975" s="76">
        <f>STOCK[[#This Row],[Precio Final]]</f>
        <v>4.5</v>
      </c>
      <c r="I975" s="76">
        <f>STOCK[[#This Row],[Precio Venta Ideal (x1.5)]]</f>
        <v>5.175</v>
      </c>
      <c r="J975" s="92">
        <v>0</v>
      </c>
      <c r="K975" s="91">
        <f>SUMIFS(VENTAS[Cantidad],VENTAS[Código del producto Vendido],STOCK[[#This Row],[Code]])</f>
        <v>0</v>
      </c>
      <c r="L975" s="91">
        <f>STOCK[[#This Row],[Entradas]]-STOCK[[#This Row],[Salidas]]</f>
        <v>0</v>
      </c>
      <c r="M975" s="76">
        <f>STOCK[[#This Row],[Precio Final]]*10%</f>
        <v>0.45</v>
      </c>
      <c r="N975" s="76">
        <v>0</v>
      </c>
      <c r="O975" s="76">
        <v>0</v>
      </c>
      <c r="P975" s="76">
        <v>3</v>
      </c>
      <c r="Q975" s="91">
        <v>0</v>
      </c>
      <c r="R975" s="76">
        <v>0</v>
      </c>
      <c r="S975" s="76">
        <v>0</v>
      </c>
      <c r="T975" s="76">
        <f>STOCK[[#This Row],[Costo Unitario (USD)]]+STOCK[[#This Row],[Costo Envío (USD)]]+STOCK[[#This Row],[Comisión 10%]]</f>
        <v>3.45</v>
      </c>
      <c r="U975" s="76">
        <f>STOCK[[#This Row],[Costo total]]*1.5</f>
        <v>5.175</v>
      </c>
      <c r="V975" s="76">
        <v>4.5</v>
      </c>
      <c r="W975" s="76">
        <f>STOCK[[#This Row],[Precio Final]]-STOCK[[#This Row],[Costo total]]</f>
        <v>1.05</v>
      </c>
      <c r="X975" s="76">
        <f>STOCK[[#This Row],[Ganancia Unitaria]]*STOCK[[#This Row],[Salidas]]</f>
        <v>0</v>
      </c>
      <c r="Y975" s="76" t="s">
        <v>1951</v>
      </c>
      <c r="AA975" s="76">
        <f>STOCK[[#This Row],[Costo total]]*STOCK[[#This Row],[Entradas]]</f>
        <v>0</v>
      </c>
      <c r="AB975" s="76">
        <f>STOCK[[#This Row],[Stock Actual]]*STOCK[[#This Row],[Costo total]]</f>
        <v>0</v>
      </c>
    </row>
    <row r="976" s="77" customFormat="1" ht="50" customHeight="1" spans="1:28">
      <c r="A976" s="77" t="s">
        <v>1977</v>
      </c>
      <c r="B976" s="6"/>
      <c r="C976" s="77" t="s">
        <v>30</v>
      </c>
      <c r="D976" s="77" t="s">
        <v>1947</v>
      </c>
      <c r="E976" s="77" t="s">
        <v>1978</v>
      </c>
      <c r="F976" s="77" t="s">
        <v>1970</v>
      </c>
      <c r="G976" s="77" t="s">
        <v>1954</v>
      </c>
      <c r="H976" s="77">
        <f>STOCK[[#This Row],[Precio Final]]</f>
        <v>4.5</v>
      </c>
      <c r="I976" s="77">
        <f>STOCK[[#This Row],[Precio Venta Ideal (x1.5)]]</f>
        <v>5.175</v>
      </c>
      <c r="J976" s="92">
        <v>0</v>
      </c>
      <c r="K976" s="92">
        <f>SUMIFS(VENTAS[Cantidad],VENTAS[Código del producto Vendido],STOCK[[#This Row],[Code]])</f>
        <v>0</v>
      </c>
      <c r="L976" s="92">
        <f>STOCK[[#This Row],[Entradas]]-STOCK[[#This Row],[Salidas]]</f>
        <v>0</v>
      </c>
      <c r="M976" s="77">
        <f>STOCK[[#This Row],[Precio Final]]*10%</f>
        <v>0.45</v>
      </c>
      <c r="N976" s="77">
        <v>0</v>
      </c>
      <c r="O976" s="77">
        <v>0</v>
      </c>
      <c r="P976" s="77">
        <v>3</v>
      </c>
      <c r="Q976" s="92">
        <v>0</v>
      </c>
      <c r="R976" s="77">
        <v>0</v>
      </c>
      <c r="S976" s="77">
        <v>0</v>
      </c>
      <c r="T976" s="76">
        <f>STOCK[[#This Row],[Costo Unitario (USD)]]+STOCK[[#This Row],[Costo Envío (USD)]]+STOCK[[#This Row],[Comisión 10%]]</f>
        <v>3.45</v>
      </c>
      <c r="U976" s="77">
        <f>STOCK[[#This Row],[Costo total]]*1.5</f>
        <v>5.175</v>
      </c>
      <c r="V976" s="77">
        <v>4.5</v>
      </c>
      <c r="W976" s="77">
        <f>STOCK[[#This Row],[Precio Final]]-STOCK[[#This Row],[Costo total]]</f>
        <v>1.05</v>
      </c>
      <c r="X976" s="77">
        <f>STOCK[[#This Row],[Ganancia Unitaria]]*STOCK[[#This Row],[Salidas]]</f>
        <v>0</v>
      </c>
      <c r="Y976" s="77" t="s">
        <v>1951</v>
      </c>
      <c r="AA976" s="77">
        <f>STOCK[[#This Row],[Costo total]]*STOCK[[#This Row],[Entradas]]</f>
        <v>0</v>
      </c>
      <c r="AB976" s="77">
        <f>STOCK[[#This Row],[Stock Actual]]*STOCK[[#This Row],[Costo total]]</f>
        <v>0</v>
      </c>
    </row>
    <row r="977" s="76" customFormat="1" ht="50" customHeight="1" spans="1:28">
      <c r="A977" s="76" t="s">
        <v>1979</v>
      </c>
      <c r="B977" s="6"/>
      <c r="C977" s="76" t="s">
        <v>30</v>
      </c>
      <c r="D977" s="76" t="s">
        <v>1947</v>
      </c>
      <c r="E977" s="76" t="s">
        <v>1980</v>
      </c>
      <c r="F977" s="76" t="s">
        <v>1981</v>
      </c>
      <c r="G977" s="76" t="s">
        <v>702</v>
      </c>
      <c r="H977" s="76">
        <f>STOCK[[#This Row],[Precio Final]]</f>
        <v>7.5</v>
      </c>
      <c r="I977" s="76">
        <f>STOCK[[#This Row],[Precio Venta Ideal (x1.5)]]</f>
        <v>8.625</v>
      </c>
      <c r="J977" s="92">
        <v>1</v>
      </c>
      <c r="K977" s="91">
        <f>SUMIFS(VENTAS[Cantidad],VENTAS[Código del producto Vendido],STOCK[[#This Row],[Code]])</f>
        <v>1</v>
      </c>
      <c r="L977" s="91">
        <f>STOCK[[#This Row],[Entradas]]-STOCK[[#This Row],[Salidas]]</f>
        <v>0</v>
      </c>
      <c r="M977" s="76">
        <f>STOCK[[#This Row],[Precio Final]]*10%</f>
        <v>0.75</v>
      </c>
      <c r="N977" s="76">
        <v>0</v>
      </c>
      <c r="O977" s="76">
        <v>0</v>
      </c>
      <c r="P977" s="76">
        <v>5</v>
      </c>
      <c r="Q977" s="91">
        <v>0</v>
      </c>
      <c r="R977" s="76">
        <v>0</v>
      </c>
      <c r="S977" s="76">
        <v>0</v>
      </c>
      <c r="T977" s="76">
        <f>STOCK[[#This Row],[Costo Unitario (USD)]]+STOCK[[#This Row],[Costo Envío (USD)]]+STOCK[[#This Row],[Comisión 10%]]</f>
        <v>5.75</v>
      </c>
      <c r="U977" s="76">
        <f>STOCK[[#This Row],[Costo total]]*1.5</f>
        <v>8.625</v>
      </c>
      <c r="V977" s="76">
        <v>7.5</v>
      </c>
      <c r="W977" s="76">
        <f>STOCK[[#This Row],[Precio Final]]-STOCK[[#This Row],[Costo total]]</f>
        <v>1.75</v>
      </c>
      <c r="X977" s="76">
        <f>STOCK[[#This Row],[Ganancia Unitaria]]*STOCK[[#This Row],[Salidas]]</f>
        <v>1.75</v>
      </c>
      <c r="Y977" s="76" t="s">
        <v>1951</v>
      </c>
      <c r="AA977" s="76">
        <f>STOCK[[#This Row],[Costo total]]*STOCK[[#This Row],[Entradas]]</f>
        <v>5.75</v>
      </c>
      <c r="AB977" s="76">
        <f>STOCK[[#This Row],[Stock Actual]]*STOCK[[#This Row],[Costo total]]</f>
        <v>0</v>
      </c>
    </row>
    <row r="978" s="77" customFormat="1" ht="50" customHeight="1" spans="1:28">
      <c r="A978" s="77" t="s">
        <v>1982</v>
      </c>
      <c r="B978" s="6"/>
      <c r="C978" s="77" t="s">
        <v>30</v>
      </c>
      <c r="D978" s="77" t="s">
        <v>1947</v>
      </c>
      <c r="E978" s="77" t="s">
        <v>1983</v>
      </c>
      <c r="F978" s="77" t="s">
        <v>1984</v>
      </c>
      <c r="G978" s="77" t="s">
        <v>1954</v>
      </c>
      <c r="H978" s="77">
        <f>STOCK[[#This Row],[Precio Final]]</f>
        <v>3</v>
      </c>
      <c r="I978" s="77">
        <f>STOCK[[#This Row],[Precio Venta Ideal (x1.5)]]</f>
        <v>3.45</v>
      </c>
      <c r="J978" s="92">
        <v>0</v>
      </c>
      <c r="K978" s="92">
        <f>SUMIFS(VENTAS[Cantidad],VENTAS[Código del producto Vendido],STOCK[[#This Row],[Code]])</f>
        <v>0</v>
      </c>
      <c r="L978" s="92">
        <f>STOCK[[#This Row],[Entradas]]-STOCK[[#This Row],[Salidas]]</f>
        <v>0</v>
      </c>
      <c r="M978" s="77">
        <f>STOCK[[#This Row],[Precio Final]]*10%</f>
        <v>0.3</v>
      </c>
      <c r="N978" s="77">
        <v>0</v>
      </c>
      <c r="O978" s="77">
        <v>0</v>
      </c>
      <c r="P978" s="77">
        <v>2</v>
      </c>
      <c r="Q978" s="92">
        <v>0</v>
      </c>
      <c r="R978" s="77">
        <v>0</v>
      </c>
      <c r="S978" s="77">
        <v>0</v>
      </c>
      <c r="T978" s="76">
        <f>STOCK[[#This Row],[Costo Unitario (USD)]]+STOCK[[#This Row],[Costo Envío (USD)]]+STOCK[[#This Row],[Comisión 10%]]</f>
        <v>2.3</v>
      </c>
      <c r="U978" s="77">
        <f>STOCK[[#This Row],[Costo total]]*1.5</f>
        <v>3.45</v>
      </c>
      <c r="V978" s="77">
        <v>3</v>
      </c>
      <c r="W978" s="77">
        <f>STOCK[[#This Row],[Precio Final]]-STOCK[[#This Row],[Costo total]]</f>
        <v>0.7</v>
      </c>
      <c r="X978" s="77">
        <f>STOCK[[#This Row],[Ganancia Unitaria]]*STOCK[[#This Row],[Salidas]]</f>
        <v>0</v>
      </c>
      <c r="Y978" s="77" t="s">
        <v>1951</v>
      </c>
      <c r="AA978" s="77">
        <f>STOCK[[#This Row],[Costo total]]*STOCK[[#This Row],[Entradas]]</f>
        <v>0</v>
      </c>
      <c r="AB978" s="77">
        <f>STOCK[[#This Row],[Stock Actual]]*STOCK[[#This Row],[Costo total]]</f>
        <v>0</v>
      </c>
    </row>
    <row r="979" s="76" customFormat="1" ht="50" customHeight="1" spans="1:28">
      <c r="A979" s="76" t="s">
        <v>1985</v>
      </c>
      <c r="B979" s="6"/>
      <c r="C979" s="76" t="s">
        <v>30</v>
      </c>
      <c r="D979" s="76" t="s">
        <v>1947</v>
      </c>
      <c r="E979" s="76" t="s">
        <v>1986</v>
      </c>
      <c r="F979" s="76" t="s">
        <v>1970</v>
      </c>
      <c r="G979" s="76" t="s">
        <v>1294</v>
      </c>
      <c r="H979" s="76">
        <f>STOCK[[#This Row],[Precio Final]]</f>
        <v>7.5</v>
      </c>
      <c r="I979" s="76">
        <f>STOCK[[#This Row],[Precio Venta Ideal (x1.5)]]</f>
        <v>8.625</v>
      </c>
      <c r="J979" s="92">
        <v>0</v>
      </c>
      <c r="K979" s="91">
        <f>SUMIFS(VENTAS[Cantidad],VENTAS[Código del producto Vendido],STOCK[[#This Row],[Code]])</f>
        <v>0</v>
      </c>
      <c r="L979" s="91">
        <f>STOCK[[#This Row],[Entradas]]-STOCK[[#This Row],[Salidas]]</f>
        <v>0</v>
      </c>
      <c r="M979" s="76">
        <f>STOCK[[#This Row],[Precio Final]]*10%</f>
        <v>0.75</v>
      </c>
      <c r="N979" s="76">
        <v>0</v>
      </c>
      <c r="O979" s="76">
        <v>0</v>
      </c>
      <c r="P979" s="76">
        <v>5</v>
      </c>
      <c r="Q979" s="91">
        <v>0</v>
      </c>
      <c r="R979" s="76">
        <v>0</v>
      </c>
      <c r="S979" s="76">
        <v>0</v>
      </c>
      <c r="T979" s="76">
        <f>STOCK[[#This Row],[Costo Unitario (USD)]]+STOCK[[#This Row],[Costo Envío (USD)]]+STOCK[[#This Row],[Comisión 10%]]</f>
        <v>5.75</v>
      </c>
      <c r="U979" s="76">
        <f>STOCK[[#This Row],[Costo total]]*1.5</f>
        <v>8.625</v>
      </c>
      <c r="V979" s="76">
        <v>7.5</v>
      </c>
      <c r="W979" s="76">
        <f>STOCK[[#This Row],[Precio Final]]-STOCK[[#This Row],[Costo total]]</f>
        <v>1.75</v>
      </c>
      <c r="X979" s="76">
        <f>STOCK[[#This Row],[Ganancia Unitaria]]*STOCK[[#This Row],[Salidas]]</f>
        <v>0</v>
      </c>
      <c r="Y979" s="76" t="s">
        <v>1951</v>
      </c>
      <c r="AA979" s="76">
        <f>STOCK[[#This Row],[Costo total]]*STOCK[[#This Row],[Entradas]]</f>
        <v>0</v>
      </c>
      <c r="AB979" s="76">
        <f>STOCK[[#This Row],[Stock Actual]]*STOCK[[#This Row],[Costo total]]</f>
        <v>0</v>
      </c>
    </row>
    <row r="980" s="77" customFormat="1" ht="50" customHeight="1" spans="1:28">
      <c r="A980" s="77" t="s">
        <v>1987</v>
      </c>
      <c r="B980" s="6"/>
      <c r="C980" s="77" t="s">
        <v>30</v>
      </c>
      <c r="D980" s="77" t="s">
        <v>1947</v>
      </c>
      <c r="E980" s="77" t="s">
        <v>1988</v>
      </c>
      <c r="F980" s="77" t="s">
        <v>1949</v>
      </c>
      <c r="G980" s="77" t="s">
        <v>1599</v>
      </c>
      <c r="H980" s="77">
        <f>STOCK[[#This Row],[Precio Final]]</f>
        <v>12</v>
      </c>
      <c r="I980" s="77">
        <f>STOCK[[#This Row],[Precio Venta Ideal (x1.5)]]</f>
        <v>13.8</v>
      </c>
      <c r="J980" s="92">
        <v>0</v>
      </c>
      <c r="K980" s="92">
        <f>SUMIFS(VENTAS[Cantidad],VENTAS[Código del producto Vendido],STOCK[[#This Row],[Code]])</f>
        <v>0</v>
      </c>
      <c r="L980" s="92">
        <f>STOCK[[#This Row],[Entradas]]-STOCK[[#This Row],[Salidas]]</f>
        <v>0</v>
      </c>
      <c r="M980" s="77">
        <f>STOCK[[#This Row],[Precio Final]]*10%</f>
        <v>1.2</v>
      </c>
      <c r="N980" s="77">
        <v>0</v>
      </c>
      <c r="O980" s="77">
        <v>0</v>
      </c>
      <c r="P980" s="77">
        <v>8</v>
      </c>
      <c r="Q980" s="92">
        <v>0</v>
      </c>
      <c r="R980" s="77">
        <v>0</v>
      </c>
      <c r="S980" s="77">
        <v>0</v>
      </c>
      <c r="T980" s="76">
        <f>STOCK[[#This Row],[Costo Unitario (USD)]]+STOCK[[#This Row],[Costo Envío (USD)]]+STOCK[[#This Row],[Comisión 10%]]</f>
        <v>9.2</v>
      </c>
      <c r="U980" s="77">
        <f>STOCK[[#This Row],[Costo total]]*1.5</f>
        <v>13.8</v>
      </c>
      <c r="V980" s="77">
        <v>12</v>
      </c>
      <c r="W980" s="77">
        <f>STOCK[[#This Row],[Precio Final]]-STOCK[[#This Row],[Costo total]]</f>
        <v>2.8</v>
      </c>
      <c r="X980" s="77">
        <f>STOCK[[#This Row],[Ganancia Unitaria]]*STOCK[[#This Row],[Salidas]]</f>
        <v>0</v>
      </c>
      <c r="Y980" s="77" t="s">
        <v>1951</v>
      </c>
      <c r="AA980" s="77">
        <f>STOCK[[#This Row],[Costo total]]*STOCK[[#This Row],[Entradas]]</f>
        <v>0</v>
      </c>
      <c r="AB980" s="77">
        <f>STOCK[[#This Row],[Stock Actual]]*STOCK[[#This Row],[Costo total]]</f>
        <v>0</v>
      </c>
    </row>
    <row r="981" s="76" customFormat="1" ht="50" customHeight="1" spans="1:28">
      <c r="A981" s="76" t="s">
        <v>1989</v>
      </c>
      <c r="B981" s="6"/>
      <c r="C981" s="76" t="s">
        <v>30</v>
      </c>
      <c r="D981" s="76" t="s">
        <v>1947</v>
      </c>
      <c r="E981" s="76" t="s">
        <v>1990</v>
      </c>
      <c r="F981" s="76" t="s">
        <v>1991</v>
      </c>
      <c r="G981" s="76" t="s">
        <v>1954</v>
      </c>
      <c r="H981" s="76">
        <f>STOCK[[#This Row],[Precio Final]]</f>
        <v>6</v>
      </c>
      <c r="I981" s="76">
        <f>STOCK[[#This Row],[Precio Venta Ideal (x1.5)]]</f>
        <v>6.9</v>
      </c>
      <c r="J981" s="92">
        <v>0</v>
      </c>
      <c r="K981" s="91">
        <f>SUMIFS(VENTAS[Cantidad],VENTAS[Código del producto Vendido],STOCK[[#This Row],[Code]])</f>
        <v>0</v>
      </c>
      <c r="L981" s="91">
        <f>STOCK[[#This Row],[Entradas]]-STOCK[[#This Row],[Salidas]]</f>
        <v>0</v>
      </c>
      <c r="M981" s="76">
        <f>STOCK[[#This Row],[Precio Final]]*10%</f>
        <v>0.6</v>
      </c>
      <c r="N981" s="76">
        <v>0</v>
      </c>
      <c r="O981" s="76">
        <v>0</v>
      </c>
      <c r="P981" s="76">
        <v>4</v>
      </c>
      <c r="Q981" s="91">
        <v>0</v>
      </c>
      <c r="R981" s="76">
        <v>0</v>
      </c>
      <c r="S981" s="76">
        <v>0</v>
      </c>
      <c r="T981" s="76">
        <f>STOCK[[#This Row],[Costo Unitario (USD)]]+STOCK[[#This Row],[Costo Envío (USD)]]+STOCK[[#This Row],[Comisión 10%]]</f>
        <v>4.6</v>
      </c>
      <c r="U981" s="76">
        <f>STOCK[[#This Row],[Costo total]]*1.5</f>
        <v>6.9</v>
      </c>
      <c r="V981" s="76">
        <v>6</v>
      </c>
      <c r="W981" s="76">
        <f>STOCK[[#This Row],[Precio Final]]-STOCK[[#This Row],[Costo total]]</f>
        <v>1.4</v>
      </c>
      <c r="X981" s="76">
        <f>STOCK[[#This Row],[Ganancia Unitaria]]*STOCK[[#This Row],[Salidas]]</f>
        <v>0</v>
      </c>
      <c r="Y981" s="76" t="s">
        <v>1951</v>
      </c>
      <c r="AA981" s="76">
        <f>STOCK[[#This Row],[Costo total]]*STOCK[[#This Row],[Entradas]]</f>
        <v>0</v>
      </c>
      <c r="AB981" s="76">
        <f>STOCK[[#This Row],[Stock Actual]]*STOCK[[#This Row],[Costo total]]</f>
        <v>0</v>
      </c>
    </row>
    <row r="982" s="77" customFormat="1" ht="50" customHeight="1" spans="1:28">
      <c r="A982" s="77" t="s">
        <v>1992</v>
      </c>
      <c r="B982" s="6"/>
      <c r="C982" s="77" t="s">
        <v>30</v>
      </c>
      <c r="D982" s="77" t="s">
        <v>1947</v>
      </c>
      <c r="E982" s="77" t="s">
        <v>1993</v>
      </c>
      <c r="F982" s="77" t="s">
        <v>1994</v>
      </c>
      <c r="G982" s="77" t="s">
        <v>1599</v>
      </c>
      <c r="H982" s="77">
        <f>STOCK[[#This Row],[Precio Final]]</f>
        <v>7.5</v>
      </c>
      <c r="I982" s="77">
        <f>STOCK[[#This Row],[Precio Venta Ideal (x1.5)]]</f>
        <v>8.625</v>
      </c>
      <c r="J982" s="92">
        <v>0</v>
      </c>
      <c r="K982" s="92">
        <f>SUMIFS(VENTAS[Cantidad],VENTAS[Código del producto Vendido],STOCK[[#This Row],[Code]])</f>
        <v>0</v>
      </c>
      <c r="L982" s="92">
        <f>STOCK[[#This Row],[Entradas]]-STOCK[[#This Row],[Salidas]]</f>
        <v>0</v>
      </c>
      <c r="M982" s="77">
        <f>STOCK[[#This Row],[Precio Final]]*10%</f>
        <v>0.75</v>
      </c>
      <c r="N982" s="77">
        <v>0</v>
      </c>
      <c r="O982" s="77">
        <v>0</v>
      </c>
      <c r="P982" s="77">
        <v>5</v>
      </c>
      <c r="Q982" s="92">
        <v>0</v>
      </c>
      <c r="R982" s="77">
        <v>0</v>
      </c>
      <c r="S982" s="77">
        <v>0</v>
      </c>
      <c r="T982" s="76">
        <f>STOCK[[#This Row],[Costo Unitario (USD)]]+STOCK[[#This Row],[Costo Envío (USD)]]+STOCK[[#This Row],[Comisión 10%]]</f>
        <v>5.75</v>
      </c>
      <c r="U982" s="77">
        <f>STOCK[[#This Row],[Costo total]]*1.5</f>
        <v>8.625</v>
      </c>
      <c r="V982" s="77">
        <v>7.5</v>
      </c>
      <c r="W982" s="77">
        <f>STOCK[[#This Row],[Precio Final]]-STOCK[[#This Row],[Costo total]]</f>
        <v>1.75</v>
      </c>
      <c r="X982" s="77">
        <f>STOCK[[#This Row],[Ganancia Unitaria]]*STOCK[[#This Row],[Salidas]]</f>
        <v>0</v>
      </c>
      <c r="Y982" s="77" t="s">
        <v>1951</v>
      </c>
      <c r="AA982" s="77">
        <f>STOCK[[#This Row],[Costo total]]*STOCK[[#This Row],[Entradas]]</f>
        <v>0</v>
      </c>
      <c r="AB982" s="77">
        <f>STOCK[[#This Row],[Stock Actual]]*STOCK[[#This Row],[Costo total]]</f>
        <v>0</v>
      </c>
    </row>
    <row r="983" s="76" customFormat="1" ht="50" customHeight="1" spans="1:28">
      <c r="A983" s="76" t="s">
        <v>1995</v>
      </c>
      <c r="B983" s="6"/>
      <c r="C983" s="76" t="s">
        <v>30</v>
      </c>
      <c r="D983" s="76" t="s">
        <v>1947</v>
      </c>
      <c r="E983" s="76" t="s">
        <v>1996</v>
      </c>
      <c r="F983" s="76" t="s">
        <v>1997</v>
      </c>
      <c r="G983" s="76" t="s">
        <v>702</v>
      </c>
      <c r="H983" s="76">
        <f>STOCK[[#This Row],[Precio Final]]</f>
        <v>8</v>
      </c>
      <c r="I983" s="76">
        <f>STOCK[[#This Row],[Precio Venta Ideal (x1.5)]]</f>
        <v>13.2</v>
      </c>
      <c r="J983" s="92">
        <v>0</v>
      </c>
      <c r="K983" s="91">
        <f>SUMIFS(VENTAS[Cantidad],VENTAS[Código del producto Vendido],STOCK[[#This Row],[Code]])</f>
        <v>0</v>
      </c>
      <c r="L983" s="91">
        <f>STOCK[[#This Row],[Entradas]]-STOCK[[#This Row],[Salidas]]</f>
        <v>0</v>
      </c>
      <c r="M983" s="76">
        <f>STOCK[[#This Row],[Precio Final]]*10%</f>
        <v>0.8</v>
      </c>
      <c r="N983" s="76">
        <v>0</v>
      </c>
      <c r="O983" s="76">
        <v>0</v>
      </c>
      <c r="P983" s="76">
        <v>8</v>
      </c>
      <c r="Q983" s="91">
        <v>0</v>
      </c>
      <c r="R983" s="76">
        <v>0</v>
      </c>
      <c r="S983" s="76">
        <v>0</v>
      </c>
      <c r="T983" s="76">
        <f>STOCK[[#This Row],[Costo Unitario (USD)]]+STOCK[[#This Row],[Costo Envío (USD)]]+STOCK[[#This Row],[Comisión 10%]]</f>
        <v>8.8</v>
      </c>
      <c r="U983" s="76">
        <f>STOCK[[#This Row],[Costo total]]*1.5</f>
        <v>13.2</v>
      </c>
      <c r="V983" s="76">
        <v>8</v>
      </c>
      <c r="W983" s="76">
        <f>STOCK[[#This Row],[Precio Final]]-STOCK[[#This Row],[Costo total]]</f>
        <v>-0.800000000000001</v>
      </c>
      <c r="X983" s="76">
        <f>STOCK[[#This Row],[Ganancia Unitaria]]*STOCK[[#This Row],[Salidas]]</f>
        <v>0</v>
      </c>
      <c r="Y983" s="76" t="s">
        <v>1951</v>
      </c>
      <c r="AA983" s="76">
        <f>STOCK[[#This Row],[Costo total]]*STOCK[[#This Row],[Entradas]]</f>
        <v>0</v>
      </c>
      <c r="AB983" s="76">
        <f>STOCK[[#This Row],[Stock Actual]]*STOCK[[#This Row],[Costo total]]</f>
        <v>0</v>
      </c>
    </row>
    <row r="984" s="77" customFormat="1" ht="50" customHeight="1" spans="1:28">
      <c r="A984" s="77" t="s">
        <v>1998</v>
      </c>
      <c r="B984" s="6"/>
      <c r="C984" s="77" t="s">
        <v>30</v>
      </c>
      <c r="D984" s="77" t="s">
        <v>1947</v>
      </c>
      <c r="E984" s="77" t="s">
        <v>1999</v>
      </c>
      <c r="F984" s="77" t="s">
        <v>2000</v>
      </c>
      <c r="G984" s="77" t="s">
        <v>2001</v>
      </c>
      <c r="H984" s="77">
        <f>STOCK[[#This Row],[Precio Final]]</f>
        <v>3</v>
      </c>
      <c r="I984" s="77">
        <f>STOCK[[#This Row],[Precio Venta Ideal (x1.5)]]</f>
        <v>3.45</v>
      </c>
      <c r="J984" s="92">
        <v>0</v>
      </c>
      <c r="K984" s="92">
        <f>SUMIFS(VENTAS[Cantidad],VENTAS[Código del producto Vendido],STOCK[[#This Row],[Code]])</f>
        <v>0</v>
      </c>
      <c r="L984" s="92">
        <f>STOCK[[#This Row],[Entradas]]-STOCK[[#This Row],[Salidas]]</f>
        <v>0</v>
      </c>
      <c r="M984" s="77">
        <f>STOCK[[#This Row],[Precio Final]]*10%</f>
        <v>0.3</v>
      </c>
      <c r="N984" s="77">
        <v>0</v>
      </c>
      <c r="O984" s="77">
        <v>0</v>
      </c>
      <c r="P984" s="77">
        <v>2</v>
      </c>
      <c r="Q984" s="92">
        <v>0</v>
      </c>
      <c r="R984" s="77">
        <v>0</v>
      </c>
      <c r="S984" s="77">
        <v>0</v>
      </c>
      <c r="T984" s="76">
        <f>STOCK[[#This Row],[Costo Unitario (USD)]]+STOCK[[#This Row],[Costo Envío (USD)]]+STOCK[[#This Row],[Comisión 10%]]</f>
        <v>2.3</v>
      </c>
      <c r="U984" s="77">
        <f>STOCK[[#This Row],[Costo total]]*1.5</f>
        <v>3.45</v>
      </c>
      <c r="V984" s="77">
        <v>3</v>
      </c>
      <c r="W984" s="77">
        <f>STOCK[[#This Row],[Precio Final]]-STOCK[[#This Row],[Costo total]]</f>
        <v>0.7</v>
      </c>
      <c r="X984" s="77">
        <f>STOCK[[#This Row],[Ganancia Unitaria]]*STOCK[[#This Row],[Salidas]]</f>
        <v>0</v>
      </c>
      <c r="Y984" s="77" t="s">
        <v>1951</v>
      </c>
      <c r="AA984" s="77">
        <f>STOCK[[#This Row],[Costo total]]*STOCK[[#This Row],[Entradas]]</f>
        <v>0</v>
      </c>
      <c r="AB984" s="77">
        <f>STOCK[[#This Row],[Stock Actual]]*STOCK[[#This Row],[Costo total]]</f>
        <v>0</v>
      </c>
    </row>
    <row r="985" s="76" customFormat="1" ht="50" customHeight="1" spans="1:28">
      <c r="A985" s="76" t="s">
        <v>2002</v>
      </c>
      <c r="B985" s="6"/>
      <c r="C985" s="76" t="s">
        <v>30</v>
      </c>
      <c r="D985" s="76" t="s">
        <v>1947</v>
      </c>
      <c r="E985" s="76" t="s">
        <v>2003</v>
      </c>
      <c r="F985" s="76" t="s">
        <v>227</v>
      </c>
      <c r="G985" s="76" t="s">
        <v>1954</v>
      </c>
      <c r="H985" s="76">
        <f>STOCK[[#This Row],[Precio Final]]</f>
        <v>4.5</v>
      </c>
      <c r="I985" s="76">
        <f>STOCK[[#This Row],[Precio Venta Ideal (x1.5)]]</f>
        <v>5.175</v>
      </c>
      <c r="J985" s="92">
        <v>0</v>
      </c>
      <c r="K985" s="91">
        <f>SUMIFS(VENTAS[Cantidad],VENTAS[Código del producto Vendido],STOCK[[#This Row],[Code]])</f>
        <v>0</v>
      </c>
      <c r="L985" s="91">
        <f>STOCK[[#This Row],[Entradas]]-STOCK[[#This Row],[Salidas]]</f>
        <v>0</v>
      </c>
      <c r="M985" s="76">
        <f>STOCK[[#This Row],[Precio Final]]*10%</f>
        <v>0.45</v>
      </c>
      <c r="N985" s="76">
        <v>0</v>
      </c>
      <c r="O985" s="76">
        <v>0</v>
      </c>
      <c r="P985" s="76">
        <v>3</v>
      </c>
      <c r="Q985" s="91">
        <v>0</v>
      </c>
      <c r="R985" s="76">
        <v>0</v>
      </c>
      <c r="S985" s="76">
        <v>0</v>
      </c>
      <c r="T985" s="76">
        <f>STOCK[[#This Row],[Costo Unitario (USD)]]+STOCK[[#This Row],[Costo Envío (USD)]]+STOCK[[#This Row],[Comisión 10%]]</f>
        <v>3.45</v>
      </c>
      <c r="U985" s="76">
        <f>STOCK[[#This Row],[Costo total]]*1.5</f>
        <v>5.175</v>
      </c>
      <c r="V985" s="76">
        <v>4.5</v>
      </c>
      <c r="W985" s="76">
        <f>STOCK[[#This Row],[Precio Final]]-STOCK[[#This Row],[Costo total]]</f>
        <v>1.05</v>
      </c>
      <c r="X985" s="76">
        <f>STOCK[[#This Row],[Ganancia Unitaria]]*STOCK[[#This Row],[Salidas]]</f>
        <v>0</v>
      </c>
      <c r="Y985" s="76" t="s">
        <v>1951</v>
      </c>
      <c r="AA985" s="76">
        <f>STOCK[[#This Row],[Costo total]]*STOCK[[#This Row],[Entradas]]</f>
        <v>0</v>
      </c>
      <c r="AB985" s="76">
        <f>STOCK[[#This Row],[Stock Actual]]*STOCK[[#This Row],[Costo total]]</f>
        <v>0</v>
      </c>
    </row>
    <row r="986" s="77" customFormat="1" ht="50" customHeight="1" spans="1:28">
      <c r="A986" s="77" t="s">
        <v>2004</v>
      </c>
      <c r="B986" s="6"/>
      <c r="C986" s="77" t="s">
        <v>30</v>
      </c>
      <c r="D986" s="77" t="s">
        <v>1947</v>
      </c>
      <c r="E986" s="77" t="s">
        <v>2005</v>
      </c>
      <c r="F986" s="77" t="s">
        <v>2006</v>
      </c>
      <c r="G986" s="77" t="s">
        <v>1954</v>
      </c>
      <c r="H986" s="77">
        <f>STOCK[[#This Row],[Precio Final]]</f>
        <v>3</v>
      </c>
      <c r="I986" s="77">
        <f>STOCK[[#This Row],[Precio Venta Ideal (x1.5)]]</f>
        <v>3.45</v>
      </c>
      <c r="J986" s="92">
        <v>0</v>
      </c>
      <c r="K986" s="92">
        <f>SUMIFS(VENTAS[Cantidad],VENTAS[Código del producto Vendido],STOCK[[#This Row],[Code]])</f>
        <v>0</v>
      </c>
      <c r="L986" s="92">
        <f>STOCK[[#This Row],[Entradas]]-STOCK[[#This Row],[Salidas]]</f>
        <v>0</v>
      </c>
      <c r="M986" s="77">
        <f>STOCK[[#This Row],[Precio Final]]*10%</f>
        <v>0.3</v>
      </c>
      <c r="N986" s="77">
        <v>0</v>
      </c>
      <c r="O986" s="77">
        <v>0</v>
      </c>
      <c r="P986" s="77">
        <v>2</v>
      </c>
      <c r="Q986" s="92">
        <v>0</v>
      </c>
      <c r="R986" s="77">
        <v>0</v>
      </c>
      <c r="S986" s="77">
        <v>0</v>
      </c>
      <c r="T986" s="76">
        <f>STOCK[[#This Row],[Costo Unitario (USD)]]+STOCK[[#This Row],[Costo Envío (USD)]]+STOCK[[#This Row],[Comisión 10%]]</f>
        <v>2.3</v>
      </c>
      <c r="U986" s="77">
        <f>STOCK[[#This Row],[Costo total]]*1.5</f>
        <v>3.45</v>
      </c>
      <c r="V986" s="77">
        <v>3</v>
      </c>
      <c r="W986" s="77">
        <f>STOCK[[#This Row],[Precio Final]]-STOCK[[#This Row],[Costo total]]</f>
        <v>0.7</v>
      </c>
      <c r="X986" s="77">
        <f>STOCK[[#This Row],[Ganancia Unitaria]]*STOCK[[#This Row],[Salidas]]</f>
        <v>0</v>
      </c>
      <c r="Y986" s="77" t="s">
        <v>1951</v>
      </c>
      <c r="AA986" s="77">
        <f>STOCK[[#This Row],[Costo total]]*STOCK[[#This Row],[Entradas]]</f>
        <v>0</v>
      </c>
      <c r="AB986" s="77">
        <f>STOCK[[#This Row],[Stock Actual]]*STOCK[[#This Row],[Costo total]]</f>
        <v>0</v>
      </c>
    </row>
    <row r="987" s="76" customFormat="1" ht="50" customHeight="1" spans="1:28">
      <c r="A987" s="76" t="s">
        <v>2007</v>
      </c>
      <c r="B987" s="6"/>
      <c r="C987" s="76" t="s">
        <v>30</v>
      </c>
      <c r="D987" s="76" t="s">
        <v>1947</v>
      </c>
      <c r="E987" s="76" t="s">
        <v>2008</v>
      </c>
      <c r="F987" s="76" t="s">
        <v>2009</v>
      </c>
      <c r="G987" s="76" t="s">
        <v>1954</v>
      </c>
      <c r="H987" s="76">
        <f>STOCK[[#This Row],[Precio Final]]</f>
        <v>15</v>
      </c>
      <c r="I987" s="76">
        <f>STOCK[[#This Row],[Precio Venta Ideal (x1.5)]]</f>
        <v>17.25</v>
      </c>
      <c r="J987" s="92">
        <v>0</v>
      </c>
      <c r="K987" s="91">
        <f>SUMIFS(VENTAS[Cantidad],VENTAS[Código del producto Vendido],STOCK[[#This Row],[Code]])</f>
        <v>0</v>
      </c>
      <c r="L987" s="91">
        <f>STOCK[[#This Row],[Entradas]]-STOCK[[#This Row],[Salidas]]</f>
        <v>0</v>
      </c>
      <c r="M987" s="76">
        <f>STOCK[[#This Row],[Precio Final]]*10%</f>
        <v>1.5</v>
      </c>
      <c r="N987" s="76">
        <v>0</v>
      </c>
      <c r="O987" s="76">
        <v>0</v>
      </c>
      <c r="P987" s="76">
        <v>10</v>
      </c>
      <c r="Q987" s="91">
        <v>0</v>
      </c>
      <c r="R987" s="76">
        <v>0</v>
      </c>
      <c r="S987" s="76">
        <v>0</v>
      </c>
      <c r="T987" s="76">
        <f>STOCK[[#This Row],[Costo Unitario (USD)]]+STOCK[[#This Row],[Costo Envío (USD)]]+STOCK[[#This Row],[Comisión 10%]]</f>
        <v>11.5</v>
      </c>
      <c r="U987" s="76">
        <f>STOCK[[#This Row],[Costo total]]*1.5</f>
        <v>17.25</v>
      </c>
      <c r="V987" s="76">
        <v>15</v>
      </c>
      <c r="W987" s="76">
        <f>STOCK[[#This Row],[Precio Final]]-STOCK[[#This Row],[Costo total]]</f>
        <v>3.5</v>
      </c>
      <c r="X987" s="76">
        <f>STOCK[[#This Row],[Ganancia Unitaria]]*STOCK[[#This Row],[Salidas]]</f>
        <v>0</v>
      </c>
      <c r="Y987" s="76" t="s">
        <v>1951</v>
      </c>
      <c r="AA987" s="76">
        <f>STOCK[[#This Row],[Costo total]]*STOCK[[#This Row],[Entradas]]</f>
        <v>0</v>
      </c>
      <c r="AB987" s="76">
        <f>STOCK[[#This Row],[Stock Actual]]*STOCK[[#This Row],[Costo total]]</f>
        <v>0</v>
      </c>
    </row>
    <row r="988" s="77" customFormat="1" ht="50" customHeight="1" spans="1:28">
      <c r="A988" s="77" t="s">
        <v>2010</v>
      </c>
      <c r="B988" s="6"/>
      <c r="C988" s="77" t="s">
        <v>30</v>
      </c>
      <c r="D988" s="77" t="s">
        <v>1947</v>
      </c>
      <c r="E988" s="77" t="s">
        <v>2011</v>
      </c>
      <c r="F988" s="77" t="s">
        <v>2012</v>
      </c>
      <c r="G988" s="77" t="s">
        <v>1954</v>
      </c>
      <c r="H988" s="77">
        <f>STOCK[[#This Row],[Precio Final]]</f>
        <v>4.5</v>
      </c>
      <c r="I988" s="77">
        <f>STOCK[[#This Row],[Precio Venta Ideal (x1.5)]]</f>
        <v>3.675</v>
      </c>
      <c r="J988" s="92">
        <v>0</v>
      </c>
      <c r="K988" s="92">
        <f>SUMIFS(VENTAS[Cantidad],VENTAS[Código del producto Vendido],STOCK[[#This Row],[Code]])</f>
        <v>0</v>
      </c>
      <c r="L988" s="92">
        <f>STOCK[[#This Row],[Entradas]]-STOCK[[#This Row],[Salidas]]</f>
        <v>0</v>
      </c>
      <c r="M988" s="77">
        <f>STOCK[[#This Row],[Precio Final]]*10%</f>
        <v>0.45</v>
      </c>
      <c r="N988" s="77">
        <v>0</v>
      </c>
      <c r="O988" s="77">
        <v>0</v>
      </c>
      <c r="P988" s="77">
        <v>2</v>
      </c>
      <c r="Q988" s="92">
        <v>0</v>
      </c>
      <c r="R988" s="77">
        <v>0</v>
      </c>
      <c r="S988" s="77">
        <v>0</v>
      </c>
      <c r="T988" s="76">
        <f>STOCK[[#This Row],[Costo Unitario (USD)]]+STOCK[[#This Row],[Costo Envío (USD)]]+STOCK[[#This Row],[Comisión 10%]]</f>
        <v>2.45</v>
      </c>
      <c r="U988" s="77">
        <f>STOCK[[#This Row],[Costo total]]*1.5</f>
        <v>3.675</v>
      </c>
      <c r="V988" s="77">
        <v>4.5</v>
      </c>
      <c r="W988" s="77">
        <f>STOCK[[#This Row],[Precio Final]]-STOCK[[#This Row],[Costo total]]</f>
        <v>2.05</v>
      </c>
      <c r="X988" s="77">
        <f>STOCK[[#This Row],[Ganancia Unitaria]]*STOCK[[#This Row],[Salidas]]</f>
        <v>0</v>
      </c>
      <c r="Y988" s="77" t="s">
        <v>1951</v>
      </c>
      <c r="AA988" s="77">
        <f>STOCK[[#This Row],[Costo total]]*STOCK[[#This Row],[Entradas]]</f>
        <v>0</v>
      </c>
      <c r="AB988" s="77">
        <f>STOCK[[#This Row],[Stock Actual]]*STOCK[[#This Row],[Costo total]]</f>
        <v>0</v>
      </c>
    </row>
    <row r="989" s="76" customFormat="1" ht="50" customHeight="1" spans="1:28">
      <c r="A989" s="76" t="s">
        <v>2013</v>
      </c>
      <c r="B989" s="6"/>
      <c r="C989" s="76" t="s">
        <v>30</v>
      </c>
      <c r="D989" s="76" t="s">
        <v>1947</v>
      </c>
      <c r="E989" s="76" t="s">
        <v>2014</v>
      </c>
      <c r="F989" s="76" t="s">
        <v>2015</v>
      </c>
      <c r="G989" s="76" t="s">
        <v>1950</v>
      </c>
      <c r="H989" s="76">
        <f>STOCK[[#This Row],[Precio Final]]</f>
        <v>4.5</v>
      </c>
      <c r="I989" s="76">
        <f>STOCK[[#This Row],[Precio Venta Ideal (x1.5)]]</f>
        <v>3.675</v>
      </c>
      <c r="J989" s="92">
        <v>0</v>
      </c>
      <c r="K989" s="91">
        <f>SUMIFS(VENTAS[Cantidad],VENTAS[Código del producto Vendido],STOCK[[#This Row],[Code]])</f>
        <v>0</v>
      </c>
      <c r="L989" s="91">
        <f>STOCK[[#This Row],[Entradas]]-STOCK[[#This Row],[Salidas]]</f>
        <v>0</v>
      </c>
      <c r="M989" s="76">
        <f>STOCK[[#This Row],[Precio Final]]*10%</f>
        <v>0.45</v>
      </c>
      <c r="N989" s="76">
        <v>0</v>
      </c>
      <c r="O989" s="76">
        <v>0</v>
      </c>
      <c r="P989" s="76">
        <v>2</v>
      </c>
      <c r="Q989" s="91">
        <v>0</v>
      </c>
      <c r="R989" s="76">
        <v>0</v>
      </c>
      <c r="S989" s="76">
        <v>0</v>
      </c>
      <c r="T989" s="76">
        <f>STOCK[[#This Row],[Costo Unitario (USD)]]+STOCK[[#This Row],[Costo Envío (USD)]]+STOCK[[#This Row],[Comisión 10%]]</f>
        <v>2.45</v>
      </c>
      <c r="U989" s="76">
        <f>STOCK[[#This Row],[Costo total]]*1.5</f>
        <v>3.675</v>
      </c>
      <c r="V989" s="76">
        <v>4.5</v>
      </c>
      <c r="W989" s="76">
        <f>STOCK[[#This Row],[Precio Final]]-STOCK[[#This Row],[Costo total]]</f>
        <v>2.05</v>
      </c>
      <c r="X989" s="76">
        <f>STOCK[[#This Row],[Ganancia Unitaria]]*STOCK[[#This Row],[Salidas]]</f>
        <v>0</v>
      </c>
      <c r="Y989" s="76" t="s">
        <v>1951</v>
      </c>
      <c r="AA989" s="76">
        <f>STOCK[[#This Row],[Costo total]]*STOCK[[#This Row],[Entradas]]</f>
        <v>0</v>
      </c>
      <c r="AB989" s="76">
        <f>STOCK[[#This Row],[Stock Actual]]*STOCK[[#This Row],[Costo total]]</f>
        <v>0</v>
      </c>
    </row>
    <row r="990" s="77" customFormat="1" ht="50" customHeight="1" spans="1:28">
      <c r="A990" s="77" t="s">
        <v>2016</v>
      </c>
      <c r="B990" s="6"/>
      <c r="C990" s="77" t="s">
        <v>30</v>
      </c>
      <c r="D990" s="77" t="s">
        <v>1951</v>
      </c>
      <c r="E990" s="77" t="s">
        <v>2017</v>
      </c>
      <c r="F990" s="77" t="s">
        <v>2018</v>
      </c>
      <c r="G990" s="77" t="s">
        <v>34</v>
      </c>
      <c r="H990" s="77">
        <f>STOCK[[#This Row],[Precio Final]]</f>
        <v>22</v>
      </c>
      <c r="I990" s="77">
        <f>STOCK[[#This Row],[Precio Venta Ideal (x1.5)]]</f>
        <v>3.3</v>
      </c>
      <c r="J990" s="92">
        <v>1</v>
      </c>
      <c r="K990" s="92">
        <f>SUMIFS(VENTAS[Cantidad],VENTAS[Código del producto Vendido],STOCK[[#This Row],[Code]])</f>
        <v>1</v>
      </c>
      <c r="L990" s="92">
        <f>STOCK[[#This Row],[Entradas]]-STOCK[[#This Row],[Salidas]]</f>
        <v>0</v>
      </c>
      <c r="M990" s="77">
        <f>STOCK[[#This Row],[Precio Final]]*10%</f>
        <v>2.2</v>
      </c>
      <c r="N990" s="77">
        <v>0</v>
      </c>
      <c r="O990" s="77">
        <v>0</v>
      </c>
      <c r="P990" s="77">
        <v>0</v>
      </c>
      <c r="Q990" s="92">
        <v>0</v>
      </c>
      <c r="R990" s="77">
        <v>0</v>
      </c>
      <c r="S990" s="77">
        <v>0</v>
      </c>
      <c r="T990" s="76">
        <f>STOCK[[#This Row],[Costo Unitario (USD)]]+STOCK[[#This Row],[Costo Envío (USD)]]+STOCK[[#This Row],[Comisión 10%]]</f>
        <v>2.2</v>
      </c>
      <c r="U990" s="77">
        <f>STOCK[[#This Row],[Costo total]]*1.5</f>
        <v>3.3</v>
      </c>
      <c r="V990" s="77">
        <v>22</v>
      </c>
      <c r="W990" s="77">
        <f>STOCK[[#This Row],[Precio Final]]-STOCK[[#This Row],[Costo total]]</f>
        <v>19.8</v>
      </c>
      <c r="X990" s="77">
        <f>STOCK[[#This Row],[Ganancia Unitaria]]*STOCK[[#This Row],[Salidas]]</f>
        <v>19.8</v>
      </c>
      <c r="Y990" s="77" t="s">
        <v>1951</v>
      </c>
      <c r="AA990" s="77">
        <f>STOCK[[#This Row],[Costo total]]*STOCK[[#This Row],[Entradas]]</f>
        <v>2.2</v>
      </c>
      <c r="AB990" s="77">
        <f>STOCK[[#This Row],[Stock Actual]]*STOCK[[#This Row],[Costo total]]</f>
        <v>0</v>
      </c>
    </row>
    <row r="991" s="76" customFormat="1" ht="50" customHeight="1" spans="1:28">
      <c r="A991" s="76" t="s">
        <v>2019</v>
      </c>
      <c r="B991" s="6"/>
      <c r="C991" s="76" t="s">
        <v>30</v>
      </c>
      <c r="D991" s="76" t="s">
        <v>2020</v>
      </c>
      <c r="E991" s="76" t="s">
        <v>2021</v>
      </c>
      <c r="F991" s="76" t="s">
        <v>44</v>
      </c>
      <c r="G991" s="76" t="s">
        <v>34</v>
      </c>
      <c r="H991" s="76">
        <f>STOCK[[#This Row],[Precio Final]]</f>
        <v>22</v>
      </c>
      <c r="I991" s="76">
        <f>STOCK[[#This Row],[Precio Venta Ideal (x1.5)]]</f>
        <v>3.3</v>
      </c>
      <c r="J991" s="91">
        <v>1</v>
      </c>
      <c r="K991" s="91">
        <f>SUMIFS(VENTAS[Cantidad],VENTAS[Código del producto Vendido],STOCK[[#This Row],[Code]])</f>
        <v>0</v>
      </c>
      <c r="L991" s="91">
        <f>STOCK[[#This Row],[Entradas]]-STOCK[[#This Row],[Salidas]]</f>
        <v>1</v>
      </c>
      <c r="M991" s="76">
        <f>STOCK[[#This Row],[Precio Final]]*10%</f>
        <v>2.2</v>
      </c>
      <c r="N991" s="76">
        <v>0</v>
      </c>
      <c r="O991" s="76">
        <v>0</v>
      </c>
      <c r="P991" s="76">
        <v>0</v>
      </c>
      <c r="Q991" s="91">
        <v>0</v>
      </c>
      <c r="R991" s="76">
        <v>0</v>
      </c>
      <c r="S991" s="76">
        <v>0</v>
      </c>
      <c r="T991" s="76">
        <f>STOCK[[#This Row],[Costo Unitario (USD)]]+STOCK[[#This Row],[Costo Envío (USD)]]+STOCK[[#This Row],[Comisión 10%]]</f>
        <v>2.2</v>
      </c>
      <c r="U991" s="76">
        <f>STOCK[[#This Row],[Costo total]]*1.5</f>
        <v>3.3</v>
      </c>
      <c r="V991" s="76">
        <v>22</v>
      </c>
      <c r="W991" s="76">
        <f>STOCK[[#This Row],[Precio Final]]-STOCK[[#This Row],[Costo total]]</f>
        <v>19.8</v>
      </c>
      <c r="X991" s="76">
        <f>STOCK[[#This Row],[Ganancia Unitaria]]*STOCK[[#This Row],[Salidas]]</f>
        <v>0</v>
      </c>
      <c r="Y991" s="76" t="s">
        <v>1951</v>
      </c>
      <c r="AA991" s="76">
        <f>STOCK[[#This Row],[Costo total]]*STOCK[[#This Row],[Entradas]]</f>
        <v>2.2</v>
      </c>
      <c r="AB991" s="76">
        <f>STOCK[[#This Row],[Stock Actual]]*STOCK[[#This Row],[Costo total]]</f>
        <v>2.2</v>
      </c>
    </row>
    <row r="992" s="77" customFormat="1" ht="50" customHeight="1" spans="1:28">
      <c r="A992" s="77" t="s">
        <v>2022</v>
      </c>
      <c r="B992" s="6"/>
      <c r="C992" s="77" t="s">
        <v>30</v>
      </c>
      <c r="D992" s="77" t="s">
        <v>1947</v>
      </c>
      <c r="E992" s="77" t="s">
        <v>2017</v>
      </c>
      <c r="F992" s="77" t="s">
        <v>2023</v>
      </c>
      <c r="G992" s="77" t="s">
        <v>34</v>
      </c>
      <c r="H992" s="77">
        <f>STOCK[[#This Row],[Precio Final]]</f>
        <v>22</v>
      </c>
      <c r="I992" s="77">
        <f>STOCK[[#This Row],[Precio Venta Ideal (x1.5)]]</f>
        <v>3.3</v>
      </c>
      <c r="J992" s="92">
        <v>1</v>
      </c>
      <c r="K992" s="92">
        <f>SUMIFS(VENTAS[Cantidad],VENTAS[Código del producto Vendido],STOCK[[#This Row],[Code]])</f>
        <v>1</v>
      </c>
      <c r="L992" s="92">
        <f>STOCK[[#This Row],[Entradas]]-STOCK[[#This Row],[Salidas]]</f>
        <v>0</v>
      </c>
      <c r="M992" s="77">
        <f>STOCK[[#This Row],[Precio Final]]*10%</f>
        <v>2.2</v>
      </c>
      <c r="N992" s="77">
        <v>0</v>
      </c>
      <c r="O992" s="77">
        <v>0</v>
      </c>
      <c r="P992" s="77">
        <v>0</v>
      </c>
      <c r="Q992" s="92">
        <v>0</v>
      </c>
      <c r="R992" s="77">
        <v>0</v>
      </c>
      <c r="S992" s="77">
        <v>0</v>
      </c>
      <c r="T992" s="76">
        <f>STOCK[[#This Row],[Costo Unitario (USD)]]+STOCK[[#This Row],[Costo Envío (USD)]]+STOCK[[#This Row],[Comisión 10%]]</f>
        <v>2.2</v>
      </c>
      <c r="U992" s="77">
        <f>STOCK[[#This Row],[Costo total]]*1.5</f>
        <v>3.3</v>
      </c>
      <c r="V992" s="77">
        <v>22</v>
      </c>
      <c r="W992" s="77">
        <f>STOCK[[#This Row],[Precio Final]]-STOCK[[#This Row],[Costo total]]</f>
        <v>19.8</v>
      </c>
      <c r="X992" s="77">
        <f>STOCK[[#This Row],[Ganancia Unitaria]]*STOCK[[#This Row],[Salidas]]</f>
        <v>19.8</v>
      </c>
      <c r="Y992" s="77" t="s">
        <v>1951</v>
      </c>
      <c r="AA992" s="77">
        <f>STOCK[[#This Row],[Costo total]]*STOCK[[#This Row],[Entradas]]</f>
        <v>2.2</v>
      </c>
      <c r="AB992" s="77">
        <f>STOCK[[#This Row],[Stock Actual]]*STOCK[[#This Row],[Costo total]]</f>
        <v>0</v>
      </c>
    </row>
    <row r="993" s="76" customFormat="1" ht="50" customHeight="1" spans="1:28">
      <c r="A993" s="76" t="s">
        <v>2024</v>
      </c>
      <c r="B993" s="6"/>
      <c r="C993" s="76" t="s">
        <v>30</v>
      </c>
      <c r="D993" s="76" t="s">
        <v>1947</v>
      </c>
      <c r="E993" s="76" t="s">
        <v>2025</v>
      </c>
      <c r="F993" s="76" t="s">
        <v>2026</v>
      </c>
      <c r="H993" s="76">
        <f>STOCK[[#This Row],[Precio Final]]</f>
        <v>3</v>
      </c>
      <c r="I993" s="76">
        <f>STOCK[[#This Row],[Precio Venta Ideal (x1.5)]]</f>
        <v>0.45</v>
      </c>
      <c r="J993" s="91">
        <v>0</v>
      </c>
      <c r="K993" s="91">
        <f>SUMIFS(VENTAS[Cantidad],VENTAS[Código del producto Vendido],STOCK[[#This Row],[Code]])</f>
        <v>0</v>
      </c>
      <c r="L993" s="91">
        <f>STOCK[[#This Row],[Entradas]]-STOCK[[#This Row],[Salidas]]</f>
        <v>0</v>
      </c>
      <c r="M993" s="76">
        <f>STOCK[[#This Row],[Precio Final]]*10%</f>
        <v>0.3</v>
      </c>
      <c r="N993" s="76">
        <v>0</v>
      </c>
      <c r="O993" s="76">
        <v>0</v>
      </c>
      <c r="P993" s="76">
        <v>0</v>
      </c>
      <c r="Q993" s="91">
        <v>0</v>
      </c>
      <c r="R993" s="76">
        <v>0</v>
      </c>
      <c r="S993" s="76">
        <v>0</v>
      </c>
      <c r="T993" s="76">
        <f>STOCK[[#This Row],[Costo Unitario (USD)]]+STOCK[[#This Row],[Costo Envío (USD)]]+STOCK[[#This Row],[Comisión 10%]]</f>
        <v>0.3</v>
      </c>
      <c r="U993" s="76">
        <f>STOCK[[#This Row],[Costo total]]*1.5</f>
        <v>0.45</v>
      </c>
      <c r="V993" s="76">
        <v>3</v>
      </c>
      <c r="W993" s="76">
        <f>STOCK[[#This Row],[Precio Final]]-STOCK[[#This Row],[Costo total]]</f>
        <v>2.7</v>
      </c>
      <c r="X993" s="76">
        <f>STOCK[[#This Row],[Ganancia Unitaria]]*STOCK[[#This Row],[Salidas]]</f>
        <v>0</v>
      </c>
      <c r="Y993" s="76" t="s">
        <v>1951</v>
      </c>
      <c r="Z993" s="76">
        <f>STOCK[[#This Row],[Precio Final]]*25%</f>
        <v>0.75</v>
      </c>
      <c r="AA993" s="76">
        <f>STOCK[[#This Row],[Costo total]]*STOCK[[#This Row],[Entradas]]</f>
        <v>0</v>
      </c>
      <c r="AB993" s="76">
        <f>STOCK[[#This Row],[Stock Actual]]*STOCK[[#This Row],[Costo total]]</f>
        <v>0</v>
      </c>
    </row>
    <row r="994" s="77" customFormat="1" ht="50" customHeight="1" spans="1:28">
      <c r="A994" s="77" t="s">
        <v>2027</v>
      </c>
      <c r="B994" s="6"/>
      <c r="C994" s="77" t="s">
        <v>30</v>
      </c>
      <c r="D994" s="77" t="s">
        <v>1947</v>
      </c>
      <c r="E994" s="77" t="s">
        <v>2028</v>
      </c>
      <c r="F994" s="77" t="s">
        <v>2029</v>
      </c>
      <c r="G994" s="77" t="s">
        <v>2030</v>
      </c>
      <c r="H994" s="77">
        <f>STOCK[[#This Row],[Precio Final]]</f>
        <v>3</v>
      </c>
      <c r="I994" s="77">
        <f>STOCK[[#This Row],[Precio Venta Ideal (x1.5)]]</f>
        <v>0.45</v>
      </c>
      <c r="J994" s="92">
        <v>1</v>
      </c>
      <c r="K994" s="92">
        <f>SUMIFS(VENTAS[Cantidad],VENTAS[Código del producto Vendido],STOCK[[#This Row],[Code]])</f>
        <v>1</v>
      </c>
      <c r="L994" s="92">
        <f>STOCK[[#This Row],[Entradas]]-STOCK[[#This Row],[Salidas]]</f>
        <v>0</v>
      </c>
      <c r="M994" s="77">
        <f>STOCK[[#This Row],[Precio Final]]*10%</f>
        <v>0.3</v>
      </c>
      <c r="N994" s="77">
        <v>0</v>
      </c>
      <c r="O994" s="77">
        <v>0</v>
      </c>
      <c r="P994" s="77">
        <v>0</v>
      </c>
      <c r="Q994" s="92">
        <v>0</v>
      </c>
      <c r="R994" s="77">
        <v>0</v>
      </c>
      <c r="S994" s="77">
        <v>0</v>
      </c>
      <c r="T994" s="76">
        <f>STOCK[[#This Row],[Costo Unitario (USD)]]+STOCK[[#This Row],[Costo Envío (USD)]]+STOCK[[#This Row],[Comisión 10%]]</f>
        <v>0.3</v>
      </c>
      <c r="U994" s="77">
        <f>STOCK[[#This Row],[Costo total]]*1.5</f>
        <v>0.45</v>
      </c>
      <c r="V994" s="77">
        <v>3</v>
      </c>
      <c r="W994" s="77">
        <f>STOCK[[#This Row],[Precio Final]]-STOCK[[#This Row],[Costo total]]</f>
        <v>2.7</v>
      </c>
      <c r="X994" s="77">
        <f>STOCK[[#This Row],[Ganancia Unitaria]]*STOCK[[#This Row],[Salidas]]</f>
        <v>2.7</v>
      </c>
      <c r="Y994" s="77" t="s">
        <v>1951</v>
      </c>
      <c r="Z994" s="77">
        <f>STOCK[[#This Row],[Precio Final]]*25%</f>
        <v>0.75</v>
      </c>
      <c r="AA994" s="77">
        <f>STOCK[[#This Row],[Costo total]]*STOCK[[#This Row],[Entradas]]</f>
        <v>0.3</v>
      </c>
      <c r="AB994" s="77">
        <f>STOCK[[#This Row],[Stock Actual]]*STOCK[[#This Row],[Costo total]]</f>
        <v>0</v>
      </c>
    </row>
    <row r="995" s="76" customFormat="1" ht="50" customHeight="1" spans="1:28">
      <c r="A995" s="76" t="s">
        <v>2031</v>
      </c>
      <c r="B995" s="6"/>
      <c r="C995" s="76" t="s">
        <v>30</v>
      </c>
      <c r="D995" s="76" t="s">
        <v>1947</v>
      </c>
      <c r="E995" s="76" t="s">
        <v>2032</v>
      </c>
      <c r="F995" s="76" t="s">
        <v>1981</v>
      </c>
      <c r="H995" s="76">
        <f>STOCK[[#This Row],[Precio Final]]</f>
        <v>3</v>
      </c>
      <c r="I995" s="76">
        <f>STOCK[[#This Row],[Precio Venta Ideal (x1.5)]]</f>
        <v>0.45</v>
      </c>
      <c r="J995" s="91">
        <v>0</v>
      </c>
      <c r="K995" s="91">
        <f>SUMIFS(VENTAS[Cantidad],VENTAS[Código del producto Vendido],STOCK[[#This Row],[Code]])</f>
        <v>0</v>
      </c>
      <c r="L995" s="91">
        <f>STOCK[[#This Row],[Entradas]]-STOCK[[#This Row],[Salidas]]</f>
        <v>0</v>
      </c>
      <c r="M995" s="76">
        <f>STOCK[[#This Row],[Precio Final]]*10%</f>
        <v>0.3</v>
      </c>
      <c r="N995" s="76">
        <v>0</v>
      </c>
      <c r="O995" s="76">
        <v>0</v>
      </c>
      <c r="P995" s="76">
        <v>0</v>
      </c>
      <c r="Q995" s="91">
        <v>0</v>
      </c>
      <c r="R995" s="76">
        <v>0</v>
      </c>
      <c r="S995" s="76">
        <v>0</v>
      </c>
      <c r="T995" s="76">
        <f>STOCK[[#This Row],[Costo Unitario (USD)]]+STOCK[[#This Row],[Costo Envío (USD)]]+STOCK[[#This Row],[Comisión 10%]]</f>
        <v>0.3</v>
      </c>
      <c r="U995" s="76">
        <f>STOCK[[#This Row],[Costo total]]*1.5</f>
        <v>0.45</v>
      </c>
      <c r="V995" s="76">
        <v>3</v>
      </c>
      <c r="W995" s="76">
        <f>STOCK[[#This Row],[Precio Final]]-STOCK[[#This Row],[Costo total]]</f>
        <v>2.7</v>
      </c>
      <c r="X995" s="76">
        <f>STOCK[[#This Row],[Ganancia Unitaria]]*STOCK[[#This Row],[Salidas]]</f>
        <v>0</v>
      </c>
      <c r="Y995" s="76" t="s">
        <v>1951</v>
      </c>
      <c r="Z995" s="76">
        <f>STOCK[[#This Row],[Precio Final]]*25%</f>
        <v>0.75</v>
      </c>
      <c r="AA995" s="76">
        <f>STOCK[[#This Row],[Costo total]]*STOCK[[#This Row],[Entradas]]</f>
        <v>0</v>
      </c>
      <c r="AB995" s="76">
        <f>STOCK[[#This Row],[Stock Actual]]*STOCK[[#This Row],[Costo total]]</f>
        <v>0</v>
      </c>
    </row>
    <row r="996" s="77" customFormat="1" ht="50" customHeight="1" spans="1:28">
      <c r="A996" s="77" t="s">
        <v>2033</v>
      </c>
      <c r="B996" s="6"/>
      <c r="C996" s="77" t="s">
        <v>30</v>
      </c>
      <c r="D996" s="77" t="s">
        <v>1947</v>
      </c>
      <c r="E996" s="77" t="s">
        <v>2034</v>
      </c>
      <c r="F996" s="77" t="s">
        <v>2035</v>
      </c>
      <c r="G996" s="77" t="s">
        <v>2036</v>
      </c>
      <c r="H996" s="77">
        <f>STOCK[[#This Row],[Precio Final]]</f>
        <v>3</v>
      </c>
      <c r="I996" s="77">
        <f>STOCK[[#This Row],[Precio Venta Ideal (x1.5)]]</f>
        <v>0.45</v>
      </c>
      <c r="J996" s="92">
        <v>0</v>
      </c>
      <c r="K996" s="92">
        <f>SUMIFS(VENTAS[Cantidad],VENTAS[Código del producto Vendido],STOCK[[#This Row],[Code]])</f>
        <v>0</v>
      </c>
      <c r="L996" s="92">
        <f>STOCK[[#This Row],[Entradas]]-STOCK[[#This Row],[Salidas]]</f>
        <v>0</v>
      </c>
      <c r="M996" s="77">
        <f>STOCK[[#This Row],[Precio Final]]*10%</f>
        <v>0.3</v>
      </c>
      <c r="N996" s="77">
        <v>0</v>
      </c>
      <c r="O996" s="77">
        <v>0</v>
      </c>
      <c r="P996" s="77">
        <v>0</v>
      </c>
      <c r="Q996" s="92">
        <v>0</v>
      </c>
      <c r="R996" s="77">
        <v>0</v>
      </c>
      <c r="S996" s="77">
        <v>0</v>
      </c>
      <c r="T996" s="76">
        <f>STOCK[[#This Row],[Costo Unitario (USD)]]+STOCK[[#This Row],[Costo Envío (USD)]]+STOCK[[#This Row],[Comisión 10%]]</f>
        <v>0.3</v>
      </c>
      <c r="U996" s="77">
        <f>STOCK[[#This Row],[Costo total]]*1.5</f>
        <v>0.45</v>
      </c>
      <c r="V996" s="77">
        <v>3</v>
      </c>
      <c r="W996" s="77">
        <f>STOCK[[#This Row],[Precio Final]]-STOCK[[#This Row],[Costo total]]</f>
        <v>2.7</v>
      </c>
      <c r="X996" s="77">
        <f>STOCK[[#This Row],[Ganancia Unitaria]]*STOCK[[#This Row],[Salidas]]</f>
        <v>0</v>
      </c>
      <c r="Y996" s="77" t="s">
        <v>1951</v>
      </c>
      <c r="Z996" s="77">
        <f>STOCK[[#This Row],[Precio Final]]*25%</f>
        <v>0.75</v>
      </c>
      <c r="AA996" s="77">
        <f>STOCK[[#This Row],[Costo total]]*STOCK[[#This Row],[Entradas]]</f>
        <v>0</v>
      </c>
      <c r="AB996" s="77">
        <f>STOCK[[#This Row],[Stock Actual]]*STOCK[[#This Row],[Costo total]]</f>
        <v>0</v>
      </c>
    </row>
    <row r="997" s="76" customFormat="1" ht="50" customHeight="1" spans="1:28">
      <c r="A997" s="76" t="s">
        <v>2037</v>
      </c>
      <c r="B997" s="6"/>
      <c r="C997" s="76" t="s">
        <v>30</v>
      </c>
      <c r="D997" s="76" t="s">
        <v>1947</v>
      </c>
      <c r="E997" s="76" t="s">
        <v>2038</v>
      </c>
      <c r="F997" s="76" t="s">
        <v>2039</v>
      </c>
      <c r="H997" s="76">
        <f>STOCK[[#This Row],[Precio Final]]</f>
        <v>2</v>
      </c>
      <c r="I997" s="76">
        <f>STOCK[[#This Row],[Precio Venta Ideal (x1.5)]]</f>
        <v>0.3</v>
      </c>
      <c r="J997" s="91">
        <v>0</v>
      </c>
      <c r="K997" s="91">
        <f>SUMIFS(VENTAS[Cantidad],VENTAS[Código del producto Vendido],STOCK[[#This Row],[Code]])</f>
        <v>0</v>
      </c>
      <c r="L997" s="91">
        <f>STOCK[[#This Row],[Entradas]]-STOCK[[#This Row],[Salidas]]</f>
        <v>0</v>
      </c>
      <c r="M997" s="76">
        <f>STOCK[[#This Row],[Precio Final]]*10%</f>
        <v>0.2</v>
      </c>
      <c r="N997" s="76">
        <v>0</v>
      </c>
      <c r="O997" s="76">
        <v>0</v>
      </c>
      <c r="P997" s="76">
        <v>0</v>
      </c>
      <c r="Q997" s="91">
        <v>0</v>
      </c>
      <c r="R997" s="76">
        <v>0</v>
      </c>
      <c r="S997" s="76">
        <v>0</v>
      </c>
      <c r="T997" s="76">
        <f>STOCK[[#This Row],[Costo Unitario (USD)]]+STOCK[[#This Row],[Costo Envío (USD)]]+STOCK[[#This Row],[Comisión 10%]]</f>
        <v>0.2</v>
      </c>
      <c r="U997" s="76">
        <f>STOCK[[#This Row],[Costo total]]*1.5</f>
        <v>0.3</v>
      </c>
      <c r="V997" s="76">
        <v>2</v>
      </c>
      <c r="W997" s="76">
        <f>STOCK[[#This Row],[Precio Final]]-STOCK[[#This Row],[Costo total]]</f>
        <v>1.8</v>
      </c>
      <c r="X997" s="76">
        <f>STOCK[[#This Row],[Ganancia Unitaria]]*STOCK[[#This Row],[Salidas]]</f>
        <v>0</v>
      </c>
      <c r="Y997" s="76" t="s">
        <v>1951</v>
      </c>
      <c r="Z997" s="76">
        <f>STOCK[[#This Row],[Precio Final]]*25%</f>
        <v>0.5</v>
      </c>
      <c r="AA997" s="76">
        <f>STOCK[[#This Row],[Costo total]]*STOCK[[#This Row],[Entradas]]</f>
        <v>0</v>
      </c>
      <c r="AB997" s="76">
        <f>STOCK[[#This Row],[Stock Actual]]*STOCK[[#This Row],[Costo total]]</f>
        <v>0</v>
      </c>
    </row>
    <row r="998" s="77" customFormat="1" ht="50" customHeight="1" spans="1:28">
      <c r="A998" s="77" t="s">
        <v>2040</v>
      </c>
      <c r="B998" s="6"/>
      <c r="C998" s="77" t="s">
        <v>30</v>
      </c>
      <c r="D998" s="77" t="s">
        <v>1951</v>
      </c>
      <c r="E998" s="77" t="s">
        <v>2041</v>
      </c>
      <c r="F998" s="77" t="s">
        <v>1960</v>
      </c>
      <c r="H998" s="77">
        <f>STOCK[[#This Row],[Precio Final]]</f>
        <v>3</v>
      </c>
      <c r="I998" s="77">
        <f>STOCK[[#This Row],[Precio Venta Ideal (x1.5)]]</f>
        <v>0.45</v>
      </c>
      <c r="J998" s="92">
        <v>1</v>
      </c>
      <c r="K998" s="92">
        <f>SUMIFS(VENTAS[Cantidad],VENTAS[Código del producto Vendido],STOCK[[#This Row],[Code]])</f>
        <v>1</v>
      </c>
      <c r="L998" s="92">
        <f>STOCK[[#This Row],[Entradas]]-STOCK[[#This Row],[Salidas]]</f>
        <v>0</v>
      </c>
      <c r="M998" s="77">
        <f>STOCK[[#This Row],[Precio Final]]*10%</f>
        <v>0.3</v>
      </c>
      <c r="N998" s="77">
        <v>0</v>
      </c>
      <c r="O998" s="77">
        <v>0</v>
      </c>
      <c r="P998" s="77">
        <v>0</v>
      </c>
      <c r="Q998" s="92">
        <v>0</v>
      </c>
      <c r="R998" s="77">
        <v>0</v>
      </c>
      <c r="S998" s="77">
        <v>0</v>
      </c>
      <c r="T998" s="76">
        <f>STOCK[[#This Row],[Costo Unitario (USD)]]+STOCK[[#This Row],[Costo Envío (USD)]]+STOCK[[#This Row],[Comisión 10%]]</f>
        <v>0.3</v>
      </c>
      <c r="U998" s="77">
        <f>STOCK[[#This Row],[Costo total]]*1.5</f>
        <v>0.45</v>
      </c>
      <c r="V998" s="77">
        <v>3</v>
      </c>
      <c r="W998" s="77">
        <f>STOCK[[#This Row],[Precio Final]]-STOCK[[#This Row],[Costo total]]</f>
        <v>2.7</v>
      </c>
      <c r="X998" s="77">
        <f>STOCK[[#This Row],[Ganancia Unitaria]]*STOCK[[#This Row],[Salidas]]</f>
        <v>2.7</v>
      </c>
      <c r="Y998" s="77" t="s">
        <v>1951</v>
      </c>
      <c r="Z998" s="77">
        <f>STOCK[[#This Row],[Precio Final]]*25%</f>
        <v>0.75</v>
      </c>
      <c r="AA998" s="77">
        <f>STOCK[[#This Row],[Costo total]]*STOCK[[#This Row],[Entradas]]</f>
        <v>0.3</v>
      </c>
      <c r="AB998" s="77">
        <f>STOCK[[#This Row],[Stock Actual]]*STOCK[[#This Row],[Costo total]]</f>
        <v>0</v>
      </c>
    </row>
    <row r="999" s="76" customFormat="1" ht="50" customHeight="1" spans="1:28">
      <c r="A999" s="76" t="s">
        <v>2042</v>
      </c>
      <c r="B999" s="6"/>
      <c r="C999" s="76" t="s">
        <v>30</v>
      </c>
      <c r="D999" s="76" t="s">
        <v>1947</v>
      </c>
      <c r="E999" s="76" t="s">
        <v>2043</v>
      </c>
      <c r="F999" s="76" t="s">
        <v>1960</v>
      </c>
      <c r="H999" s="76">
        <f>STOCK[[#This Row],[Precio Final]]</f>
        <v>3</v>
      </c>
      <c r="I999" s="76">
        <f>STOCK[[#This Row],[Precio Venta Ideal (x1.5)]]</f>
        <v>0.45</v>
      </c>
      <c r="J999" s="91">
        <v>0</v>
      </c>
      <c r="K999" s="91">
        <f>SUMIFS(VENTAS[Cantidad],VENTAS[Código del producto Vendido],STOCK[[#This Row],[Code]])</f>
        <v>0</v>
      </c>
      <c r="L999" s="91">
        <f>STOCK[[#This Row],[Entradas]]-STOCK[[#This Row],[Salidas]]</f>
        <v>0</v>
      </c>
      <c r="M999" s="76">
        <f>STOCK[[#This Row],[Precio Final]]*10%</f>
        <v>0.3</v>
      </c>
      <c r="N999" s="76">
        <v>0</v>
      </c>
      <c r="O999" s="76">
        <v>0</v>
      </c>
      <c r="P999" s="76">
        <v>0</v>
      </c>
      <c r="Q999" s="91">
        <v>0</v>
      </c>
      <c r="R999" s="76">
        <v>0</v>
      </c>
      <c r="S999" s="76">
        <v>0</v>
      </c>
      <c r="T999" s="76">
        <f>STOCK[[#This Row],[Costo Unitario (USD)]]+STOCK[[#This Row],[Costo Envío (USD)]]+STOCK[[#This Row],[Comisión 10%]]</f>
        <v>0.3</v>
      </c>
      <c r="U999" s="76">
        <f>STOCK[[#This Row],[Costo total]]*1.5</f>
        <v>0.45</v>
      </c>
      <c r="V999" s="76">
        <v>3</v>
      </c>
      <c r="W999" s="76">
        <f>STOCK[[#This Row],[Precio Final]]-STOCK[[#This Row],[Costo total]]</f>
        <v>2.7</v>
      </c>
      <c r="X999" s="76">
        <f>STOCK[[#This Row],[Ganancia Unitaria]]*STOCK[[#This Row],[Salidas]]</f>
        <v>0</v>
      </c>
      <c r="Y999" s="76" t="s">
        <v>1951</v>
      </c>
      <c r="Z999" s="76">
        <f>STOCK[[#This Row],[Precio Final]]*25%</f>
        <v>0.75</v>
      </c>
      <c r="AA999" s="76">
        <f>STOCK[[#This Row],[Costo total]]*STOCK[[#This Row],[Entradas]]</f>
        <v>0</v>
      </c>
      <c r="AB999" s="76">
        <f>STOCK[[#This Row],[Stock Actual]]*STOCK[[#This Row],[Costo total]]</f>
        <v>0</v>
      </c>
    </row>
    <row r="1000" s="77" customFormat="1" ht="50" customHeight="1" spans="1:28">
      <c r="A1000" s="77" t="s">
        <v>2044</v>
      </c>
      <c r="B1000" s="6"/>
      <c r="C1000" s="77" t="s">
        <v>30</v>
      </c>
      <c r="D1000" s="77" t="s">
        <v>1947</v>
      </c>
      <c r="E1000" s="77" t="s">
        <v>2045</v>
      </c>
      <c r="F1000" s="77" t="s">
        <v>2046</v>
      </c>
      <c r="H1000" s="77">
        <f>STOCK[[#This Row],[Precio Final]]</f>
        <v>5</v>
      </c>
      <c r="I1000" s="77">
        <f>STOCK[[#This Row],[Precio Venta Ideal (x1.5)]]</f>
        <v>0.75</v>
      </c>
      <c r="J1000" s="91">
        <v>0</v>
      </c>
      <c r="K1000" s="92">
        <f>SUMIFS(VENTAS[Cantidad],VENTAS[Código del producto Vendido],STOCK[[#This Row],[Code]])</f>
        <v>0</v>
      </c>
      <c r="L1000" s="92">
        <f>STOCK[[#This Row],[Entradas]]-STOCK[[#This Row],[Salidas]]</f>
        <v>0</v>
      </c>
      <c r="M1000" s="77">
        <f>STOCK[[#This Row],[Precio Final]]*10%</f>
        <v>0.5</v>
      </c>
      <c r="N1000" s="77">
        <v>0</v>
      </c>
      <c r="O1000" s="77">
        <v>0</v>
      </c>
      <c r="P1000" s="77">
        <v>0</v>
      </c>
      <c r="Q1000" s="92">
        <v>0</v>
      </c>
      <c r="R1000" s="77">
        <v>0</v>
      </c>
      <c r="S1000" s="77">
        <v>0</v>
      </c>
      <c r="T1000" s="76">
        <f>STOCK[[#This Row],[Costo Unitario (USD)]]+STOCK[[#This Row],[Costo Envío (USD)]]+STOCK[[#This Row],[Comisión 10%]]</f>
        <v>0.5</v>
      </c>
      <c r="U1000" s="77">
        <f>STOCK[[#This Row],[Costo total]]*1.5</f>
        <v>0.75</v>
      </c>
      <c r="V1000" s="77">
        <v>5</v>
      </c>
      <c r="W1000" s="77">
        <f>STOCK[[#This Row],[Precio Final]]-STOCK[[#This Row],[Costo total]]</f>
        <v>4.5</v>
      </c>
      <c r="X1000" s="77">
        <f>STOCK[[#This Row],[Ganancia Unitaria]]*STOCK[[#This Row],[Salidas]]</f>
        <v>0</v>
      </c>
      <c r="Y1000" s="77" t="s">
        <v>1951</v>
      </c>
      <c r="Z1000" s="77">
        <f>STOCK[[#This Row],[Precio Final]]*25%</f>
        <v>1.25</v>
      </c>
      <c r="AA1000" s="77">
        <f>STOCK[[#This Row],[Costo total]]*STOCK[[#This Row],[Entradas]]</f>
        <v>0</v>
      </c>
      <c r="AB1000" s="77">
        <f>STOCK[[#This Row],[Stock Actual]]*STOCK[[#This Row],[Costo total]]</f>
        <v>0</v>
      </c>
    </row>
    <row r="1001" s="76" customFormat="1" ht="50" customHeight="1" spans="1:28">
      <c r="A1001" s="76" t="s">
        <v>2047</v>
      </c>
      <c r="B1001" s="6"/>
      <c r="C1001" s="76" t="s">
        <v>30</v>
      </c>
      <c r="D1001" s="76" t="s">
        <v>1947</v>
      </c>
      <c r="E1001" s="76" t="s">
        <v>2048</v>
      </c>
      <c r="F1001" s="76" t="s">
        <v>2049</v>
      </c>
      <c r="G1001" s="76" t="s">
        <v>34</v>
      </c>
      <c r="H1001" s="76">
        <f>STOCK[[#This Row],[Precio Final]]</f>
        <v>6</v>
      </c>
      <c r="I1001" s="76">
        <f>STOCK[[#This Row],[Precio Venta Ideal (x1.5)]]</f>
        <v>0.9</v>
      </c>
      <c r="J1001" s="91">
        <v>0</v>
      </c>
      <c r="K1001" s="91">
        <f>SUMIFS(VENTAS[Cantidad],VENTAS[Código del producto Vendido],STOCK[[#This Row],[Code]])</f>
        <v>0</v>
      </c>
      <c r="L1001" s="91">
        <f>STOCK[[#This Row],[Entradas]]-STOCK[[#This Row],[Salidas]]</f>
        <v>0</v>
      </c>
      <c r="M1001" s="76">
        <f>STOCK[[#This Row],[Precio Final]]*10%</f>
        <v>0.6</v>
      </c>
      <c r="N1001" s="76">
        <v>0</v>
      </c>
      <c r="O1001" s="76">
        <v>0</v>
      </c>
      <c r="P1001" s="76">
        <v>0</v>
      </c>
      <c r="Q1001" s="91">
        <v>0</v>
      </c>
      <c r="R1001" s="76">
        <v>0</v>
      </c>
      <c r="S1001" s="76">
        <v>0</v>
      </c>
      <c r="T1001" s="76">
        <f>STOCK[[#This Row],[Costo Unitario (USD)]]+STOCK[[#This Row],[Costo Envío (USD)]]+STOCK[[#This Row],[Comisión 10%]]</f>
        <v>0.6</v>
      </c>
      <c r="U1001" s="76">
        <f>STOCK[[#This Row],[Costo total]]*1.5</f>
        <v>0.9</v>
      </c>
      <c r="V1001" s="76">
        <v>6</v>
      </c>
      <c r="W1001" s="76">
        <f>STOCK[[#This Row],[Precio Final]]-STOCK[[#This Row],[Costo total]]</f>
        <v>5.4</v>
      </c>
      <c r="X1001" s="76">
        <f>STOCK[[#This Row],[Ganancia Unitaria]]*STOCK[[#This Row],[Salidas]]</f>
        <v>0</v>
      </c>
      <c r="Y1001" s="76" t="s">
        <v>1951</v>
      </c>
      <c r="AA1001" s="76">
        <f>STOCK[[#This Row],[Costo total]]*STOCK[[#This Row],[Entradas]]</f>
        <v>0</v>
      </c>
      <c r="AB1001" s="76">
        <f>STOCK[[#This Row],[Stock Actual]]*STOCK[[#This Row],[Costo total]]</f>
        <v>0</v>
      </c>
    </row>
    <row r="1002" s="77" customFormat="1" ht="50" customHeight="1" spans="1:28">
      <c r="A1002" s="77" t="s">
        <v>2050</v>
      </c>
      <c r="B1002" s="6"/>
      <c r="C1002" s="77" t="s">
        <v>30</v>
      </c>
      <c r="D1002" s="77" t="s">
        <v>1947</v>
      </c>
      <c r="E1002" s="77" t="s">
        <v>2051</v>
      </c>
      <c r="F1002" s="77" t="s">
        <v>2052</v>
      </c>
      <c r="G1002" s="77" t="s">
        <v>2053</v>
      </c>
      <c r="H1002" s="77">
        <f>STOCK[[#This Row],[Precio Final]]</f>
        <v>6</v>
      </c>
      <c r="I1002" s="77">
        <f>STOCK[[#This Row],[Precio Venta Ideal (x1.5)]]</f>
        <v>0.9</v>
      </c>
      <c r="J1002" s="91">
        <v>0</v>
      </c>
      <c r="K1002" s="92">
        <f>SUMIFS(VENTAS[Cantidad],VENTAS[Código del producto Vendido],STOCK[[#This Row],[Code]])</f>
        <v>0</v>
      </c>
      <c r="L1002" s="92">
        <f>STOCK[[#This Row],[Entradas]]-STOCK[[#This Row],[Salidas]]</f>
        <v>0</v>
      </c>
      <c r="M1002" s="77">
        <f>STOCK[[#This Row],[Precio Final]]*10%</f>
        <v>0.6</v>
      </c>
      <c r="N1002" s="77">
        <v>0</v>
      </c>
      <c r="O1002" s="77">
        <v>0</v>
      </c>
      <c r="P1002" s="77">
        <v>0</v>
      </c>
      <c r="Q1002" s="92">
        <v>0</v>
      </c>
      <c r="R1002" s="77">
        <v>0</v>
      </c>
      <c r="S1002" s="77">
        <v>0</v>
      </c>
      <c r="T1002" s="76">
        <f>STOCK[[#This Row],[Costo Unitario (USD)]]+STOCK[[#This Row],[Costo Envío (USD)]]+STOCK[[#This Row],[Comisión 10%]]</f>
        <v>0.6</v>
      </c>
      <c r="U1002" s="77">
        <f>STOCK[[#This Row],[Costo total]]*1.5</f>
        <v>0.9</v>
      </c>
      <c r="V1002" s="77">
        <v>6</v>
      </c>
      <c r="W1002" s="77">
        <f>STOCK[[#This Row],[Precio Final]]-STOCK[[#This Row],[Costo total]]</f>
        <v>5.4</v>
      </c>
      <c r="X1002" s="77">
        <f>STOCK[[#This Row],[Ganancia Unitaria]]*STOCK[[#This Row],[Salidas]]</f>
        <v>0</v>
      </c>
      <c r="Y1002" s="77" t="s">
        <v>1951</v>
      </c>
      <c r="AA1002" s="77">
        <f>STOCK[[#This Row],[Costo total]]*STOCK[[#This Row],[Entradas]]</f>
        <v>0</v>
      </c>
      <c r="AB1002" s="77">
        <f>STOCK[[#This Row],[Stock Actual]]*STOCK[[#This Row],[Costo total]]</f>
        <v>0</v>
      </c>
    </row>
    <row r="1003" s="76" customFormat="1" ht="50" customHeight="1" spans="1:28">
      <c r="A1003" s="76" t="s">
        <v>2054</v>
      </c>
      <c r="B1003" s="6"/>
      <c r="C1003" s="76" t="s">
        <v>30</v>
      </c>
      <c r="D1003" s="76" t="s">
        <v>1947</v>
      </c>
      <c r="E1003" s="76" t="s">
        <v>2055</v>
      </c>
      <c r="F1003" s="76" t="s">
        <v>2056</v>
      </c>
      <c r="G1003" s="76" t="s">
        <v>34</v>
      </c>
      <c r="H1003" s="76">
        <f>STOCK[[#This Row],[Precio Final]]</f>
        <v>20</v>
      </c>
      <c r="I1003" s="76">
        <f>STOCK[[#This Row],[Precio Venta Ideal (x1.5)]]</f>
        <v>3</v>
      </c>
      <c r="J1003" s="91">
        <v>0</v>
      </c>
      <c r="K1003" s="91">
        <f>SUMIFS(VENTAS[Cantidad],VENTAS[Código del producto Vendido],STOCK[[#This Row],[Code]])</f>
        <v>0</v>
      </c>
      <c r="L1003" s="91">
        <f>STOCK[[#This Row],[Entradas]]-STOCK[[#This Row],[Salidas]]</f>
        <v>0</v>
      </c>
      <c r="M1003" s="76">
        <f>STOCK[[#This Row],[Precio Final]]*10%</f>
        <v>2</v>
      </c>
      <c r="N1003" s="76">
        <v>0</v>
      </c>
      <c r="O1003" s="76">
        <v>0</v>
      </c>
      <c r="P1003" s="76">
        <v>0</v>
      </c>
      <c r="Q1003" s="91">
        <v>0</v>
      </c>
      <c r="R1003" s="76">
        <v>0</v>
      </c>
      <c r="S1003" s="76">
        <v>0</v>
      </c>
      <c r="T1003" s="76">
        <f>STOCK[[#This Row],[Costo Unitario (USD)]]+STOCK[[#This Row],[Costo Envío (USD)]]+STOCK[[#This Row],[Comisión 10%]]</f>
        <v>2</v>
      </c>
      <c r="U1003" s="76">
        <f>STOCK[[#This Row],[Costo total]]*1.5</f>
        <v>3</v>
      </c>
      <c r="V1003" s="76">
        <v>20</v>
      </c>
      <c r="W1003" s="76">
        <f>STOCK[[#This Row],[Precio Final]]-STOCK[[#This Row],[Costo total]]</f>
        <v>18</v>
      </c>
      <c r="X1003" s="76">
        <f>STOCK[[#This Row],[Ganancia Unitaria]]*STOCK[[#This Row],[Salidas]]</f>
        <v>0</v>
      </c>
      <c r="Y1003" s="76" t="s">
        <v>1951</v>
      </c>
      <c r="AA1003" s="76">
        <f>STOCK[[#This Row],[Costo total]]*STOCK[[#This Row],[Entradas]]</f>
        <v>0</v>
      </c>
      <c r="AB1003" s="76">
        <f>STOCK[[#This Row],[Stock Actual]]*STOCK[[#This Row],[Costo total]]</f>
        <v>0</v>
      </c>
    </row>
    <row r="1004" s="77" customFormat="1" ht="50" customHeight="1" spans="1:28">
      <c r="A1004" s="77" t="s">
        <v>2057</v>
      </c>
      <c r="B1004" s="6"/>
      <c r="C1004" s="77" t="s">
        <v>30</v>
      </c>
      <c r="D1004" s="77" t="s">
        <v>151</v>
      </c>
      <c r="E1004" s="77" t="s">
        <v>2058</v>
      </c>
      <c r="F1004" s="77" t="s">
        <v>257</v>
      </c>
      <c r="G1004" s="77" t="s">
        <v>34</v>
      </c>
      <c r="H1004" s="77">
        <f>STOCK[[#This Row],[Precio Final]]</f>
        <v>28</v>
      </c>
      <c r="I1004" s="77">
        <f>STOCK[[#This Row],[Precio Venta Ideal (x1.5)]]</f>
        <v>25.2</v>
      </c>
      <c r="J1004" s="91">
        <v>0</v>
      </c>
      <c r="K1004" s="92">
        <f>SUMIFS(VENTAS[Cantidad],VENTAS[Código del producto Vendido],STOCK[[#This Row],[Code]])</f>
        <v>0</v>
      </c>
      <c r="L1004" s="92">
        <f>STOCK[[#This Row],[Entradas]]-STOCK[[#This Row],[Salidas]]</f>
        <v>0</v>
      </c>
      <c r="M1004" s="77">
        <f>STOCK[[#This Row],[Precio Final]]*10%</f>
        <v>2.8</v>
      </c>
      <c r="N1004" s="77">
        <v>0</v>
      </c>
      <c r="O1004" s="77">
        <v>0</v>
      </c>
      <c r="P1004" s="77">
        <v>14</v>
      </c>
      <c r="Q1004" s="92">
        <v>0</v>
      </c>
      <c r="R1004" s="77">
        <v>0</v>
      </c>
      <c r="S1004" s="77">
        <v>0</v>
      </c>
      <c r="T1004" s="76">
        <f>STOCK[[#This Row],[Costo Unitario (USD)]]+STOCK[[#This Row],[Costo Envío (USD)]]+STOCK[[#This Row],[Comisión 10%]]</f>
        <v>16.8</v>
      </c>
      <c r="U1004" s="77">
        <f>STOCK[[#This Row],[Costo total]]*1.5</f>
        <v>25.2</v>
      </c>
      <c r="V1004" s="77">
        <v>28</v>
      </c>
      <c r="W1004" s="77">
        <f>STOCK[[#This Row],[Precio Final]]-STOCK[[#This Row],[Costo total]]</f>
        <v>11.2</v>
      </c>
      <c r="X1004" s="77">
        <f>STOCK[[#This Row],[Ganancia Unitaria]]*STOCK[[#This Row],[Salidas]]</f>
        <v>0</v>
      </c>
      <c r="Y1004" s="77" t="s">
        <v>1951</v>
      </c>
      <c r="AA1004" s="77">
        <f>STOCK[[#This Row],[Costo total]]*STOCK[[#This Row],[Entradas]]</f>
        <v>0</v>
      </c>
      <c r="AB1004" s="77">
        <f>STOCK[[#This Row],[Stock Actual]]*STOCK[[#This Row],[Costo total]]</f>
        <v>0</v>
      </c>
    </row>
    <row r="1005" s="76" customFormat="1" ht="50" customHeight="1" spans="1:28">
      <c r="A1005" s="76" t="s">
        <v>2059</v>
      </c>
      <c r="B1005" s="6"/>
      <c r="C1005" s="76" t="s">
        <v>30</v>
      </c>
      <c r="D1005" s="76" t="s">
        <v>741</v>
      </c>
      <c r="E1005" s="76" t="s">
        <v>2060</v>
      </c>
      <c r="F1005" s="76" t="s">
        <v>2061</v>
      </c>
      <c r="G1005" s="76" t="s">
        <v>702</v>
      </c>
      <c r="H1005" s="76">
        <f>STOCK[[#This Row],[Precio Final]]</f>
        <v>0</v>
      </c>
      <c r="I1005" s="76">
        <f>STOCK[[#This Row],[Precio Venta Ideal (x1.5)]]</f>
        <v>0</v>
      </c>
      <c r="J1005" s="91">
        <v>0</v>
      </c>
      <c r="K1005" s="91">
        <f>SUMIFS(VENTAS[Cantidad],VENTAS[Código del producto Vendido],STOCK[[#This Row],[Code]])</f>
        <v>0</v>
      </c>
      <c r="L1005" s="91">
        <f>STOCK[[#This Row],[Entradas]]-STOCK[[#This Row],[Salidas]]</f>
        <v>0</v>
      </c>
      <c r="M1005" s="76">
        <f>STOCK[[#This Row],[Precio Final]]*10%</f>
        <v>0</v>
      </c>
      <c r="N1005" s="76">
        <v>0</v>
      </c>
      <c r="O1005" s="76">
        <v>0</v>
      </c>
      <c r="P1005" s="76">
        <v>0</v>
      </c>
      <c r="Q1005" s="91">
        <v>0</v>
      </c>
      <c r="R1005" s="76">
        <v>0</v>
      </c>
      <c r="S1005" s="76">
        <v>0</v>
      </c>
      <c r="T1005" s="76">
        <f>STOCK[[#This Row],[Costo Unitario (USD)]]+STOCK[[#This Row],[Costo Envío (USD)]]+STOCK[[#This Row],[Comisión 10%]]</f>
        <v>0</v>
      </c>
      <c r="U1005" s="76">
        <f>STOCK[[#This Row],[Costo total]]*1.5</f>
        <v>0</v>
      </c>
      <c r="W1005" s="76">
        <f>STOCK[[#This Row],[Precio Final]]-STOCK[[#This Row],[Costo total]]</f>
        <v>0</v>
      </c>
      <c r="X1005" s="76">
        <f>STOCK[[#This Row],[Ganancia Unitaria]]*STOCK[[#This Row],[Salidas]]</f>
        <v>0</v>
      </c>
      <c r="Y1005" s="76" t="s">
        <v>1951</v>
      </c>
      <c r="AA1005" s="76">
        <f>STOCK[[#This Row],[Costo total]]*STOCK[[#This Row],[Entradas]]</f>
        <v>0</v>
      </c>
      <c r="AB1005" s="76">
        <f>STOCK[[#This Row],[Stock Actual]]*STOCK[[#This Row],[Costo total]]</f>
        <v>0</v>
      </c>
    </row>
    <row r="1006" s="77" customFormat="1" ht="50" customHeight="1" spans="1:28">
      <c r="A1006" s="77" t="s">
        <v>2062</v>
      </c>
      <c r="B1006" s="6"/>
      <c r="C1006" s="77" t="s">
        <v>30</v>
      </c>
      <c r="D1006" s="77" t="s">
        <v>151</v>
      </c>
      <c r="E1006" s="77" t="s">
        <v>2063</v>
      </c>
      <c r="F1006" s="77" t="s">
        <v>2064</v>
      </c>
      <c r="G1006" s="77" t="s">
        <v>702</v>
      </c>
      <c r="H1006" s="77">
        <f>STOCK[[#This Row],[Precio Final]]</f>
        <v>30</v>
      </c>
      <c r="I1006" s="77">
        <f>STOCK[[#This Row],[Precio Venta Ideal (x1.5)]]</f>
        <v>27</v>
      </c>
      <c r="J1006" s="91">
        <v>0</v>
      </c>
      <c r="K1006" s="92">
        <f>SUMIFS(VENTAS[Cantidad],VENTAS[Código del producto Vendido],STOCK[[#This Row],[Code]])</f>
        <v>0</v>
      </c>
      <c r="L1006" s="92">
        <f>STOCK[[#This Row],[Entradas]]-STOCK[[#This Row],[Salidas]]</f>
        <v>0</v>
      </c>
      <c r="M1006" s="77">
        <f>STOCK[[#This Row],[Precio Final]]*10%</f>
        <v>3</v>
      </c>
      <c r="N1006" s="77">
        <v>0</v>
      </c>
      <c r="O1006" s="77">
        <v>0</v>
      </c>
      <c r="P1006" s="77">
        <v>15</v>
      </c>
      <c r="Q1006" s="92">
        <v>0</v>
      </c>
      <c r="R1006" s="77">
        <v>0</v>
      </c>
      <c r="S1006" s="77">
        <v>0</v>
      </c>
      <c r="T1006" s="76">
        <f>STOCK[[#This Row],[Costo Unitario (USD)]]+STOCK[[#This Row],[Costo Envío (USD)]]+STOCK[[#This Row],[Comisión 10%]]</f>
        <v>18</v>
      </c>
      <c r="U1006" s="77">
        <f>STOCK[[#This Row],[Costo total]]*1.5</f>
        <v>27</v>
      </c>
      <c r="V1006" s="77">
        <v>30</v>
      </c>
      <c r="W1006" s="77">
        <f>STOCK[[#This Row],[Precio Final]]-STOCK[[#This Row],[Costo total]]</f>
        <v>12</v>
      </c>
      <c r="X1006" s="77">
        <f>STOCK[[#This Row],[Ganancia Unitaria]]*STOCK[[#This Row],[Salidas]]</f>
        <v>0</v>
      </c>
      <c r="Y1006" s="77" t="s">
        <v>1951</v>
      </c>
      <c r="AA1006" s="77">
        <f>STOCK[[#This Row],[Costo total]]*STOCK[[#This Row],[Entradas]]</f>
        <v>0</v>
      </c>
      <c r="AB1006" s="77">
        <f>STOCK[[#This Row],[Stock Actual]]*STOCK[[#This Row],[Costo total]]</f>
        <v>0</v>
      </c>
    </row>
    <row r="1007" s="76" customFormat="1" ht="50" customHeight="1" spans="1:28">
      <c r="A1007" s="76" t="s">
        <v>2065</v>
      </c>
      <c r="B1007" s="6"/>
      <c r="C1007" s="76" t="s">
        <v>30</v>
      </c>
      <c r="D1007" s="76" t="s">
        <v>1947</v>
      </c>
      <c r="E1007" s="76" t="s">
        <v>2066</v>
      </c>
      <c r="F1007" s="76" t="s">
        <v>2067</v>
      </c>
      <c r="G1007" s="76" t="s">
        <v>2068</v>
      </c>
      <c r="H1007" s="76">
        <f>STOCK[[#This Row],[Precio Final]]</f>
        <v>0</v>
      </c>
      <c r="I1007" s="76">
        <f>STOCK[[#This Row],[Precio Venta Ideal (x1.5)]]</f>
        <v>0</v>
      </c>
      <c r="J1007" s="91">
        <v>0</v>
      </c>
      <c r="K1007" s="91">
        <f>SUMIFS(VENTAS[Cantidad],VENTAS[Código del producto Vendido],STOCK[[#This Row],[Code]])</f>
        <v>0</v>
      </c>
      <c r="L1007" s="91">
        <f>STOCK[[#This Row],[Entradas]]-STOCK[[#This Row],[Salidas]]</f>
        <v>0</v>
      </c>
      <c r="M1007" s="76">
        <f>STOCK[[#This Row],[Precio Final]]*10%</f>
        <v>0</v>
      </c>
      <c r="N1007" s="76">
        <v>0</v>
      </c>
      <c r="O1007" s="76">
        <v>0</v>
      </c>
      <c r="P1007" s="76">
        <v>0</v>
      </c>
      <c r="Q1007" s="91">
        <v>0</v>
      </c>
      <c r="R1007" s="76">
        <v>0</v>
      </c>
      <c r="S1007" s="76">
        <v>0</v>
      </c>
      <c r="T1007" s="76">
        <f>STOCK[[#This Row],[Costo Unitario (USD)]]+STOCK[[#This Row],[Costo Envío (USD)]]+STOCK[[#This Row],[Comisión 10%]]</f>
        <v>0</v>
      </c>
      <c r="U1007" s="76">
        <f>STOCK[[#This Row],[Costo total]]*1.5</f>
        <v>0</v>
      </c>
      <c r="W1007" s="76">
        <f>STOCK[[#This Row],[Precio Final]]-STOCK[[#This Row],[Costo total]]</f>
        <v>0</v>
      </c>
      <c r="X1007" s="76">
        <f>STOCK[[#This Row],[Ganancia Unitaria]]*STOCK[[#This Row],[Salidas]]</f>
        <v>0</v>
      </c>
      <c r="Y1007" s="76" t="s">
        <v>1951</v>
      </c>
      <c r="AA1007" s="76">
        <f>STOCK[[#This Row],[Costo total]]*STOCK[[#This Row],[Entradas]]</f>
        <v>0</v>
      </c>
      <c r="AB1007" s="76">
        <f>STOCK[[#This Row],[Stock Actual]]*STOCK[[#This Row],[Costo total]]</f>
        <v>0</v>
      </c>
    </row>
    <row r="1008" s="77" customFormat="1" ht="50" customHeight="1" spans="1:28">
      <c r="A1008" s="77" t="s">
        <v>2069</v>
      </c>
      <c r="B1008" s="6"/>
      <c r="C1008" s="77" t="s">
        <v>30</v>
      </c>
      <c r="D1008" s="77" t="s">
        <v>1947</v>
      </c>
      <c r="E1008" s="77" t="s">
        <v>2070</v>
      </c>
      <c r="F1008" s="77" t="s">
        <v>2067</v>
      </c>
      <c r="G1008" s="77" t="s">
        <v>2068</v>
      </c>
      <c r="H1008" s="77">
        <f>STOCK[[#This Row],[Precio Final]]</f>
        <v>0</v>
      </c>
      <c r="I1008" s="77">
        <f>STOCK[[#This Row],[Precio Venta Ideal (x1.5)]]</f>
        <v>0</v>
      </c>
      <c r="J1008" s="91">
        <v>0</v>
      </c>
      <c r="K1008" s="92">
        <f>SUMIFS(VENTAS[Cantidad],VENTAS[Código del producto Vendido],STOCK[[#This Row],[Code]])</f>
        <v>0</v>
      </c>
      <c r="L1008" s="92">
        <f>STOCK[[#This Row],[Entradas]]-STOCK[[#This Row],[Salidas]]</f>
        <v>0</v>
      </c>
      <c r="M1008" s="77">
        <f>STOCK[[#This Row],[Precio Final]]*10%</f>
        <v>0</v>
      </c>
      <c r="N1008" s="77">
        <v>0</v>
      </c>
      <c r="O1008" s="77">
        <v>0</v>
      </c>
      <c r="P1008" s="77">
        <v>0</v>
      </c>
      <c r="Q1008" s="92">
        <v>0</v>
      </c>
      <c r="R1008" s="77">
        <v>0</v>
      </c>
      <c r="S1008" s="77">
        <v>0</v>
      </c>
      <c r="T1008" s="76">
        <f>STOCK[[#This Row],[Costo Unitario (USD)]]+STOCK[[#This Row],[Costo Envío (USD)]]+STOCK[[#This Row],[Comisión 10%]]</f>
        <v>0</v>
      </c>
      <c r="U1008" s="77">
        <f>STOCK[[#This Row],[Costo total]]*1.5</f>
        <v>0</v>
      </c>
      <c r="W1008" s="77">
        <f>STOCK[[#This Row],[Precio Final]]-STOCK[[#This Row],[Costo total]]</f>
        <v>0</v>
      </c>
      <c r="X1008" s="77">
        <f>STOCK[[#This Row],[Ganancia Unitaria]]*STOCK[[#This Row],[Salidas]]</f>
        <v>0</v>
      </c>
      <c r="Y1008" s="77" t="s">
        <v>1951</v>
      </c>
      <c r="AA1008" s="77">
        <f>STOCK[[#This Row],[Costo total]]*STOCK[[#This Row],[Entradas]]</f>
        <v>0</v>
      </c>
      <c r="AB1008" s="77">
        <f>STOCK[[#This Row],[Stock Actual]]*STOCK[[#This Row],[Costo total]]</f>
        <v>0</v>
      </c>
    </row>
    <row r="1009" s="76" customFormat="1" ht="50" customHeight="1" spans="1:28">
      <c r="A1009" s="76" t="s">
        <v>2071</v>
      </c>
      <c r="B1009" s="6"/>
      <c r="C1009" s="76" t="s">
        <v>30</v>
      </c>
      <c r="D1009" s="76" t="s">
        <v>1947</v>
      </c>
      <c r="E1009" s="76" t="s">
        <v>2072</v>
      </c>
      <c r="F1009" s="76" t="s">
        <v>2067</v>
      </c>
      <c r="G1009" s="76" t="s">
        <v>2068</v>
      </c>
      <c r="H1009" s="76">
        <f>STOCK[[#This Row],[Precio Final]]</f>
        <v>0</v>
      </c>
      <c r="I1009" s="76">
        <f>STOCK[[#This Row],[Precio Venta Ideal (x1.5)]]</f>
        <v>0</v>
      </c>
      <c r="J1009" s="91">
        <v>0</v>
      </c>
      <c r="K1009" s="91">
        <f>SUMIFS(VENTAS[Cantidad],VENTAS[Código del producto Vendido],STOCK[[#This Row],[Code]])</f>
        <v>0</v>
      </c>
      <c r="L1009" s="91">
        <f>STOCK[[#This Row],[Entradas]]-STOCK[[#This Row],[Salidas]]</f>
        <v>0</v>
      </c>
      <c r="M1009" s="76">
        <f>STOCK[[#This Row],[Precio Final]]*10%</f>
        <v>0</v>
      </c>
      <c r="N1009" s="76">
        <v>0</v>
      </c>
      <c r="O1009" s="76">
        <v>0</v>
      </c>
      <c r="P1009" s="76">
        <v>0</v>
      </c>
      <c r="Q1009" s="91">
        <v>0</v>
      </c>
      <c r="R1009" s="76">
        <v>0</v>
      </c>
      <c r="S1009" s="76">
        <v>0</v>
      </c>
      <c r="T1009" s="76">
        <f>STOCK[[#This Row],[Costo Unitario (USD)]]+STOCK[[#This Row],[Costo Envío (USD)]]+STOCK[[#This Row],[Comisión 10%]]</f>
        <v>0</v>
      </c>
      <c r="U1009" s="76">
        <f>STOCK[[#This Row],[Costo total]]*1.5</f>
        <v>0</v>
      </c>
      <c r="W1009" s="76">
        <f>STOCK[[#This Row],[Precio Final]]-STOCK[[#This Row],[Costo total]]</f>
        <v>0</v>
      </c>
      <c r="X1009" s="76">
        <f>STOCK[[#This Row],[Ganancia Unitaria]]*STOCK[[#This Row],[Salidas]]</f>
        <v>0</v>
      </c>
      <c r="Y1009" s="76" t="s">
        <v>1951</v>
      </c>
      <c r="AA1009" s="76">
        <f>STOCK[[#This Row],[Costo total]]*STOCK[[#This Row],[Entradas]]</f>
        <v>0</v>
      </c>
      <c r="AB1009" s="76">
        <f>STOCK[[#This Row],[Stock Actual]]*STOCK[[#This Row],[Costo total]]</f>
        <v>0</v>
      </c>
    </row>
    <row r="1010" s="77" customFormat="1" ht="50" customHeight="1" spans="1:28">
      <c r="A1010" s="77" t="s">
        <v>2073</v>
      </c>
      <c r="B1010" s="6"/>
      <c r="C1010" s="77" t="s">
        <v>30</v>
      </c>
      <c r="D1010" s="77" t="s">
        <v>1947</v>
      </c>
      <c r="E1010" s="77" t="s">
        <v>2074</v>
      </c>
      <c r="F1010" s="77" t="s">
        <v>2067</v>
      </c>
      <c r="G1010" s="77" t="s">
        <v>2068</v>
      </c>
      <c r="H1010" s="77">
        <f>STOCK[[#This Row],[Precio Final]]</f>
        <v>0</v>
      </c>
      <c r="I1010" s="77">
        <f>STOCK[[#This Row],[Precio Venta Ideal (x1.5)]]</f>
        <v>0</v>
      </c>
      <c r="J1010" s="91">
        <v>0</v>
      </c>
      <c r="K1010" s="92">
        <f>SUMIFS(VENTAS[Cantidad],VENTAS[Código del producto Vendido],STOCK[[#This Row],[Code]])</f>
        <v>0</v>
      </c>
      <c r="L1010" s="92">
        <f>STOCK[[#This Row],[Entradas]]-STOCK[[#This Row],[Salidas]]</f>
        <v>0</v>
      </c>
      <c r="M1010" s="77">
        <f>STOCK[[#This Row],[Precio Final]]*10%</f>
        <v>0</v>
      </c>
      <c r="N1010" s="77">
        <v>0</v>
      </c>
      <c r="O1010" s="77">
        <v>0</v>
      </c>
      <c r="P1010" s="77">
        <v>0</v>
      </c>
      <c r="Q1010" s="92">
        <v>0</v>
      </c>
      <c r="R1010" s="77">
        <v>0</v>
      </c>
      <c r="S1010" s="77">
        <v>0</v>
      </c>
      <c r="T1010" s="76">
        <f>STOCK[[#This Row],[Costo Unitario (USD)]]+STOCK[[#This Row],[Costo Envío (USD)]]+STOCK[[#This Row],[Comisión 10%]]</f>
        <v>0</v>
      </c>
      <c r="U1010" s="77">
        <f>STOCK[[#This Row],[Costo total]]*1.5</f>
        <v>0</v>
      </c>
      <c r="W1010" s="77">
        <f>STOCK[[#This Row],[Precio Final]]-STOCK[[#This Row],[Costo total]]</f>
        <v>0</v>
      </c>
      <c r="X1010" s="77">
        <f>STOCK[[#This Row],[Ganancia Unitaria]]*STOCK[[#This Row],[Salidas]]</f>
        <v>0</v>
      </c>
      <c r="Y1010" s="77" t="s">
        <v>1951</v>
      </c>
      <c r="AA1010" s="77">
        <f>STOCK[[#This Row],[Costo total]]*STOCK[[#This Row],[Entradas]]</f>
        <v>0</v>
      </c>
      <c r="AB1010" s="77">
        <f>STOCK[[#This Row],[Stock Actual]]*STOCK[[#This Row],[Costo total]]</f>
        <v>0</v>
      </c>
    </row>
    <row r="1011" s="76" customFormat="1" ht="50" customHeight="1" spans="1:28">
      <c r="A1011" s="76" t="s">
        <v>2075</v>
      </c>
      <c r="B1011" s="6"/>
      <c r="C1011" s="76" t="s">
        <v>30</v>
      </c>
      <c r="D1011" s="76" t="s">
        <v>1947</v>
      </c>
      <c r="E1011" s="76" t="s">
        <v>2076</v>
      </c>
      <c r="F1011" s="76" t="s">
        <v>2077</v>
      </c>
      <c r="G1011" s="76" t="s">
        <v>2068</v>
      </c>
      <c r="H1011" s="76">
        <f>STOCK[[#This Row],[Precio Final]]</f>
        <v>0</v>
      </c>
      <c r="I1011" s="76">
        <f>STOCK[[#This Row],[Precio Venta Ideal (x1.5)]]</f>
        <v>0</v>
      </c>
      <c r="J1011" s="91">
        <v>0</v>
      </c>
      <c r="K1011" s="91">
        <f>SUMIFS(VENTAS[Cantidad],VENTAS[Código del producto Vendido],STOCK[[#This Row],[Code]])</f>
        <v>0</v>
      </c>
      <c r="L1011" s="91">
        <f>STOCK[[#This Row],[Entradas]]-STOCK[[#This Row],[Salidas]]</f>
        <v>0</v>
      </c>
      <c r="M1011" s="76">
        <f>STOCK[[#This Row],[Precio Final]]*10%</f>
        <v>0</v>
      </c>
      <c r="N1011" s="76">
        <v>0</v>
      </c>
      <c r="O1011" s="76">
        <v>0</v>
      </c>
      <c r="P1011" s="76">
        <v>0</v>
      </c>
      <c r="Q1011" s="91">
        <v>0</v>
      </c>
      <c r="R1011" s="76">
        <v>0</v>
      </c>
      <c r="S1011" s="76">
        <v>0</v>
      </c>
      <c r="T1011" s="76">
        <f>STOCK[[#This Row],[Costo Unitario (USD)]]+STOCK[[#This Row],[Costo Envío (USD)]]+STOCK[[#This Row],[Comisión 10%]]</f>
        <v>0</v>
      </c>
      <c r="U1011" s="76">
        <f>STOCK[[#This Row],[Costo total]]*1.5</f>
        <v>0</v>
      </c>
      <c r="W1011" s="76">
        <f>STOCK[[#This Row],[Precio Final]]-STOCK[[#This Row],[Costo total]]</f>
        <v>0</v>
      </c>
      <c r="X1011" s="76">
        <f>STOCK[[#This Row],[Ganancia Unitaria]]*STOCK[[#This Row],[Salidas]]</f>
        <v>0</v>
      </c>
      <c r="Y1011" s="76" t="s">
        <v>1951</v>
      </c>
      <c r="AA1011" s="76">
        <f>STOCK[[#This Row],[Costo total]]*STOCK[[#This Row],[Entradas]]</f>
        <v>0</v>
      </c>
      <c r="AB1011" s="76">
        <f>STOCK[[#This Row],[Stock Actual]]*STOCK[[#This Row],[Costo total]]</f>
        <v>0</v>
      </c>
    </row>
    <row r="1012" s="77" customFormat="1" ht="50" customHeight="1" spans="1:28">
      <c r="A1012" s="77" t="s">
        <v>2078</v>
      </c>
      <c r="B1012" s="6"/>
      <c r="C1012" s="77" t="s">
        <v>30</v>
      </c>
      <c r="D1012" s="77" t="s">
        <v>151</v>
      </c>
      <c r="E1012" s="77" t="s">
        <v>2079</v>
      </c>
      <c r="F1012" s="77" t="s">
        <v>47</v>
      </c>
      <c r="G1012" s="77" t="s">
        <v>702</v>
      </c>
      <c r="H1012" s="77">
        <f>STOCK[[#This Row],[Precio Final]]</f>
        <v>30</v>
      </c>
      <c r="I1012" s="77">
        <f>STOCK[[#This Row],[Precio Venta Ideal (x1.5)]]</f>
        <v>27</v>
      </c>
      <c r="J1012" s="91">
        <v>0</v>
      </c>
      <c r="K1012" s="92">
        <f>SUMIFS(VENTAS[Cantidad],VENTAS[Código del producto Vendido],STOCK[[#This Row],[Code]])</f>
        <v>0</v>
      </c>
      <c r="L1012" s="92">
        <f>STOCK[[#This Row],[Entradas]]-STOCK[[#This Row],[Salidas]]</f>
        <v>0</v>
      </c>
      <c r="M1012" s="77">
        <f>STOCK[[#This Row],[Precio Final]]*10%</f>
        <v>3</v>
      </c>
      <c r="N1012" s="77">
        <v>0</v>
      </c>
      <c r="O1012" s="77">
        <v>0</v>
      </c>
      <c r="P1012" s="77">
        <v>15</v>
      </c>
      <c r="Q1012" s="92">
        <v>0</v>
      </c>
      <c r="R1012" s="77">
        <v>0</v>
      </c>
      <c r="S1012" s="77">
        <v>0</v>
      </c>
      <c r="T1012" s="76">
        <f>STOCK[[#This Row],[Costo Unitario (USD)]]+STOCK[[#This Row],[Costo Envío (USD)]]+STOCK[[#This Row],[Comisión 10%]]</f>
        <v>18</v>
      </c>
      <c r="U1012" s="77">
        <f>STOCK[[#This Row],[Costo total]]*1.5</f>
        <v>27</v>
      </c>
      <c r="V1012" s="77">
        <v>30</v>
      </c>
      <c r="W1012" s="77">
        <f>STOCK[[#This Row],[Precio Final]]-STOCK[[#This Row],[Costo total]]</f>
        <v>12</v>
      </c>
      <c r="X1012" s="77">
        <f>STOCK[[#This Row],[Ganancia Unitaria]]*STOCK[[#This Row],[Salidas]]</f>
        <v>0</v>
      </c>
      <c r="Y1012" s="77" t="s">
        <v>1951</v>
      </c>
      <c r="AA1012" s="77">
        <f>STOCK[[#This Row],[Costo total]]*STOCK[[#This Row],[Entradas]]</f>
        <v>0</v>
      </c>
      <c r="AB1012" s="77">
        <f>STOCK[[#This Row],[Stock Actual]]*STOCK[[#This Row],[Costo total]]</f>
        <v>0</v>
      </c>
    </row>
    <row r="1013" s="76" customFormat="1" ht="50" customHeight="1" spans="1:28">
      <c r="A1013" s="76" t="s">
        <v>2080</v>
      </c>
      <c r="B1013" s="6"/>
      <c r="C1013" s="76" t="s">
        <v>30</v>
      </c>
      <c r="D1013" s="76" t="s">
        <v>151</v>
      </c>
      <c r="E1013" s="76" t="s">
        <v>2081</v>
      </c>
      <c r="F1013" s="76" t="s">
        <v>38</v>
      </c>
      <c r="G1013" s="76" t="s">
        <v>34</v>
      </c>
      <c r="H1013" s="76">
        <f>STOCK[[#This Row],[Precio Final]]</f>
        <v>30</v>
      </c>
      <c r="I1013" s="76">
        <f>STOCK[[#This Row],[Precio Venta Ideal (x1.5)]]</f>
        <v>27</v>
      </c>
      <c r="J1013" s="91">
        <v>0</v>
      </c>
      <c r="K1013" s="91">
        <f>SUMIFS(VENTAS[Cantidad],VENTAS[Código del producto Vendido],STOCK[[#This Row],[Code]])</f>
        <v>0</v>
      </c>
      <c r="L1013" s="91">
        <f>STOCK[[#This Row],[Entradas]]-STOCK[[#This Row],[Salidas]]</f>
        <v>0</v>
      </c>
      <c r="M1013" s="76">
        <f>STOCK[[#This Row],[Precio Final]]*10%</f>
        <v>3</v>
      </c>
      <c r="N1013" s="76">
        <v>0</v>
      </c>
      <c r="O1013" s="76">
        <v>0</v>
      </c>
      <c r="P1013" s="76">
        <v>15</v>
      </c>
      <c r="Q1013" s="91">
        <v>0</v>
      </c>
      <c r="R1013" s="76">
        <v>0</v>
      </c>
      <c r="S1013" s="76">
        <v>0</v>
      </c>
      <c r="T1013" s="76">
        <f>STOCK[[#This Row],[Costo Unitario (USD)]]+STOCK[[#This Row],[Costo Envío (USD)]]+STOCK[[#This Row],[Comisión 10%]]</f>
        <v>18</v>
      </c>
      <c r="U1013" s="76">
        <f>STOCK[[#This Row],[Costo total]]*1.5</f>
        <v>27</v>
      </c>
      <c r="V1013" s="76">
        <v>30</v>
      </c>
      <c r="W1013" s="76">
        <f>STOCK[[#This Row],[Precio Final]]-STOCK[[#This Row],[Costo total]]</f>
        <v>12</v>
      </c>
      <c r="X1013" s="76">
        <f>STOCK[[#This Row],[Ganancia Unitaria]]*STOCK[[#This Row],[Salidas]]</f>
        <v>0</v>
      </c>
      <c r="Y1013" s="76" t="s">
        <v>1951</v>
      </c>
      <c r="AA1013" s="76">
        <f>STOCK[[#This Row],[Costo total]]*STOCK[[#This Row],[Entradas]]</f>
        <v>0</v>
      </c>
      <c r="AB1013" s="76">
        <f>STOCK[[#This Row],[Stock Actual]]*STOCK[[#This Row],[Costo total]]</f>
        <v>0</v>
      </c>
    </row>
    <row r="1014" s="77" customFormat="1" ht="50" customHeight="1" spans="1:28">
      <c r="A1014" s="77" t="s">
        <v>2082</v>
      </c>
      <c r="B1014" s="6"/>
      <c r="C1014" s="77" t="s">
        <v>30</v>
      </c>
      <c r="D1014" s="77" t="s">
        <v>151</v>
      </c>
      <c r="E1014" s="77" t="s">
        <v>2083</v>
      </c>
      <c r="F1014" s="77" t="s">
        <v>1984</v>
      </c>
      <c r="G1014" s="77" t="s">
        <v>1294</v>
      </c>
      <c r="H1014" s="77">
        <f>STOCK[[#This Row],[Precio Final]]</f>
        <v>15</v>
      </c>
      <c r="I1014" s="77">
        <f>STOCK[[#This Row],[Precio Venta Ideal (x1.5)]]</f>
        <v>17.25</v>
      </c>
      <c r="J1014" s="91">
        <v>0</v>
      </c>
      <c r="K1014" s="92">
        <f>SUMIFS(VENTAS[Cantidad],VENTAS[Código del producto Vendido],STOCK[[#This Row],[Code]])</f>
        <v>0</v>
      </c>
      <c r="L1014" s="92">
        <f>STOCK[[#This Row],[Entradas]]-STOCK[[#This Row],[Salidas]]</f>
        <v>0</v>
      </c>
      <c r="M1014" s="77">
        <f>STOCK[[#This Row],[Precio Final]]*10%</f>
        <v>1.5</v>
      </c>
      <c r="N1014" s="77">
        <v>0</v>
      </c>
      <c r="O1014" s="77">
        <v>0</v>
      </c>
      <c r="P1014" s="77">
        <v>10</v>
      </c>
      <c r="Q1014" s="92">
        <v>0</v>
      </c>
      <c r="R1014" s="77">
        <v>0</v>
      </c>
      <c r="S1014" s="77">
        <v>0</v>
      </c>
      <c r="T1014" s="76">
        <f>STOCK[[#This Row],[Costo Unitario (USD)]]+STOCK[[#This Row],[Costo Envío (USD)]]+STOCK[[#This Row],[Comisión 10%]]</f>
        <v>11.5</v>
      </c>
      <c r="U1014" s="77">
        <f>STOCK[[#This Row],[Costo total]]*1.5</f>
        <v>17.25</v>
      </c>
      <c r="V1014" s="77">
        <v>15</v>
      </c>
      <c r="W1014" s="77">
        <f>STOCK[[#This Row],[Precio Final]]-STOCK[[#This Row],[Costo total]]</f>
        <v>3.5</v>
      </c>
      <c r="X1014" s="77">
        <f>STOCK[[#This Row],[Ganancia Unitaria]]*STOCK[[#This Row],[Salidas]]</f>
        <v>0</v>
      </c>
      <c r="Y1014" s="77" t="s">
        <v>1951</v>
      </c>
      <c r="AA1014" s="77">
        <f>STOCK[[#This Row],[Costo total]]*STOCK[[#This Row],[Entradas]]</f>
        <v>0</v>
      </c>
      <c r="AB1014" s="77">
        <f>STOCK[[#This Row],[Stock Actual]]*STOCK[[#This Row],[Costo total]]</f>
        <v>0</v>
      </c>
    </row>
    <row r="1015" s="76" customFormat="1" ht="50" customHeight="1" spans="1:28">
      <c r="A1015" s="76" t="s">
        <v>2084</v>
      </c>
      <c r="B1015" s="6"/>
      <c r="C1015" s="76" t="s">
        <v>30</v>
      </c>
      <c r="D1015" s="76" t="s">
        <v>514</v>
      </c>
      <c r="E1015" s="76" t="s">
        <v>2085</v>
      </c>
      <c r="F1015" s="76" t="s">
        <v>764</v>
      </c>
      <c r="G1015" s="76" t="s">
        <v>1599</v>
      </c>
      <c r="H1015" s="76">
        <f>STOCK[[#This Row],[Precio Final]]</f>
        <v>40</v>
      </c>
      <c r="I1015" s="76">
        <f>STOCK[[#This Row],[Precio Venta Ideal (x1.5)]]</f>
        <v>39.63</v>
      </c>
      <c r="J1015" s="91">
        <v>1</v>
      </c>
      <c r="K1015" s="91">
        <f>SUMIFS(VENTAS[Cantidad],VENTAS[Código del producto Vendido],STOCK[[#This Row],[Code]])</f>
        <v>1</v>
      </c>
      <c r="L1015" s="91">
        <f>STOCK[[#This Row],[Entradas]]-STOCK[[#This Row],[Salidas]]</f>
        <v>0</v>
      </c>
      <c r="M1015" s="76">
        <f>STOCK[[#This Row],[Precio Final]]*10%</f>
        <v>4</v>
      </c>
      <c r="N1015" s="76">
        <v>0</v>
      </c>
      <c r="O1015" s="76">
        <v>0</v>
      </c>
      <c r="P1015" s="76">
        <v>20.92</v>
      </c>
      <c r="Q1015" s="91">
        <v>0</v>
      </c>
      <c r="R1015" s="76">
        <v>0</v>
      </c>
      <c r="S1015" s="76">
        <v>1.5</v>
      </c>
      <c r="T1015" s="76">
        <f>STOCK[[#This Row],[Costo Unitario (USD)]]+STOCK[[#This Row],[Costo Envío (USD)]]+STOCK[[#This Row],[Comisión 10%]]</f>
        <v>26.42</v>
      </c>
      <c r="U1015" s="76">
        <f>STOCK[[#This Row],[Costo total]]*1.5</f>
        <v>39.63</v>
      </c>
      <c r="V1015" s="76">
        <v>40</v>
      </c>
      <c r="W1015" s="76">
        <f>STOCK[[#This Row],[Precio Final]]-STOCK[[#This Row],[Costo total]]</f>
        <v>13.58</v>
      </c>
      <c r="X1015" s="76">
        <f>STOCK[[#This Row],[Ganancia Unitaria]]*STOCK[[#This Row],[Salidas]]</f>
        <v>13.58</v>
      </c>
      <c r="Y1015" s="76" t="s">
        <v>1600</v>
      </c>
      <c r="AA1015" s="76">
        <f>STOCK[[#This Row],[Costo total]]*STOCK[[#This Row],[Entradas]]</f>
        <v>26.42</v>
      </c>
      <c r="AB1015" s="76">
        <f>STOCK[[#This Row],[Stock Actual]]*STOCK[[#This Row],[Costo total]]</f>
        <v>0</v>
      </c>
    </row>
    <row r="1016" s="77" customFormat="1" ht="50" customHeight="1" spans="1:28">
      <c r="A1016" s="77" t="s">
        <v>2086</v>
      </c>
      <c r="B1016" s="6"/>
      <c r="C1016" s="77" t="s">
        <v>30</v>
      </c>
      <c r="D1016" s="77" t="s">
        <v>1865</v>
      </c>
      <c r="E1016" s="77" t="s">
        <v>1901</v>
      </c>
      <c r="F1016" s="77" t="s">
        <v>40</v>
      </c>
      <c r="G1016" s="77" t="s">
        <v>1874</v>
      </c>
      <c r="H1016" s="77">
        <f>STOCK[[#This Row],[Precio Final]]</f>
        <v>14</v>
      </c>
      <c r="I1016" s="77">
        <f>STOCK[[#This Row],[Precio Venta Ideal (x1.5)]]</f>
        <v>15.9</v>
      </c>
      <c r="J1016" s="92">
        <v>2</v>
      </c>
      <c r="K1016" s="92">
        <f>SUMIFS(VENTAS[Cantidad],VENTAS[Código del producto Vendido],STOCK[[#This Row],[Code]])</f>
        <v>0</v>
      </c>
      <c r="L1016" s="92">
        <f>STOCK[[#This Row],[Entradas]]-STOCK[[#This Row],[Salidas]]</f>
        <v>2</v>
      </c>
      <c r="M1016" s="77">
        <f>STOCK[[#This Row],[Precio Final]]*10%</f>
        <v>1.4</v>
      </c>
      <c r="N1016" s="77">
        <v>0</v>
      </c>
      <c r="O1016" s="77">
        <v>0</v>
      </c>
      <c r="P1016" s="77">
        <v>8.7</v>
      </c>
      <c r="Q1016" s="92">
        <v>0</v>
      </c>
      <c r="R1016" s="77">
        <v>0</v>
      </c>
      <c r="S1016" s="77">
        <v>0.5</v>
      </c>
      <c r="T1016" s="76">
        <f>STOCK[[#This Row],[Costo Unitario (USD)]]+STOCK[[#This Row],[Costo Envío (USD)]]+STOCK[[#This Row],[Comisión 10%]]</f>
        <v>10.6</v>
      </c>
      <c r="U1016" s="77">
        <f>STOCK[[#This Row],[Costo total]]*1.5</f>
        <v>15.9</v>
      </c>
      <c r="V1016" s="77">
        <v>14</v>
      </c>
      <c r="W1016" s="77">
        <f>STOCK[[#This Row],[Precio Final]]-STOCK[[#This Row],[Costo total]]</f>
        <v>3.4</v>
      </c>
      <c r="X1016" s="77">
        <f>STOCK[[#This Row],[Ganancia Unitaria]]*STOCK[[#This Row],[Salidas]]</f>
        <v>0</v>
      </c>
      <c r="Y1016" s="77" t="s">
        <v>1875</v>
      </c>
      <c r="AA1016" s="77">
        <f>STOCK[[#This Row],[Costo total]]*STOCK[[#This Row],[Entradas]]</f>
        <v>21.2</v>
      </c>
      <c r="AB1016" s="77">
        <f>STOCK[[#This Row],[Stock Actual]]*STOCK[[#This Row],[Costo total]]</f>
        <v>21.2</v>
      </c>
    </row>
    <row r="1017" s="76" customFormat="1" ht="50" customHeight="1" spans="1:28">
      <c r="A1017" s="76" t="s">
        <v>2087</v>
      </c>
      <c r="B1017" s="6"/>
      <c r="C1017" s="76" t="s">
        <v>30</v>
      </c>
      <c r="D1017" s="76" t="s">
        <v>2088</v>
      </c>
      <c r="E1017" s="76" t="s">
        <v>2089</v>
      </c>
      <c r="F1017" s="76" t="s">
        <v>2090</v>
      </c>
      <c r="G1017" s="76" t="s">
        <v>34</v>
      </c>
      <c r="H1017" s="76">
        <f>STOCK[[#This Row],[Precio Final]]</f>
        <v>8</v>
      </c>
      <c r="I1017" s="76">
        <f>STOCK[[#This Row],[Precio Venta Ideal (x1.5)]]</f>
        <v>4.2</v>
      </c>
      <c r="J1017" s="91">
        <v>0</v>
      </c>
      <c r="K1017" s="91">
        <f>SUMIFS(VENTAS[Cantidad],VENTAS[Código del producto Vendido],STOCK[[#This Row],[Code]])</f>
        <v>0</v>
      </c>
      <c r="L1017" s="91">
        <f>STOCK[[#This Row],[Entradas]]-STOCK[[#This Row],[Salidas]]</f>
        <v>0</v>
      </c>
      <c r="M1017" s="76">
        <f>STOCK[[#This Row],[Precio Final]]*10%</f>
        <v>0.8</v>
      </c>
      <c r="N1017" s="76">
        <v>0</v>
      </c>
      <c r="O1017" s="76">
        <v>0</v>
      </c>
      <c r="P1017" s="76">
        <v>1</v>
      </c>
      <c r="Q1017" s="91">
        <v>0</v>
      </c>
      <c r="R1017" s="76">
        <v>0</v>
      </c>
      <c r="S1017" s="76">
        <v>1</v>
      </c>
      <c r="T1017" s="76">
        <f>STOCK[[#This Row],[Costo Unitario (USD)]]+STOCK[[#This Row],[Costo Envío (USD)]]+STOCK[[#This Row],[Comisión 10%]]</f>
        <v>2.8</v>
      </c>
      <c r="U1017" s="76">
        <f>STOCK[[#This Row],[Costo total]]*1.5</f>
        <v>4.2</v>
      </c>
      <c r="V1017" s="76">
        <v>8</v>
      </c>
      <c r="W1017" s="76">
        <f>STOCK[[#This Row],[Precio Final]]-STOCK[[#This Row],[Costo total]]</f>
        <v>5.2</v>
      </c>
      <c r="X1017" s="76">
        <f>STOCK[[#This Row],[Ganancia Unitaria]]*STOCK[[#This Row],[Salidas]]</f>
        <v>0</v>
      </c>
      <c r="AA1017" s="76">
        <f>STOCK[[#This Row],[Costo total]]*STOCK[[#This Row],[Entradas]]</f>
        <v>0</v>
      </c>
      <c r="AB1017" s="76">
        <f>STOCK[[#This Row],[Stock Actual]]*STOCK[[#This Row],[Costo total]]</f>
        <v>0</v>
      </c>
    </row>
    <row r="1018" s="77" customFormat="1" ht="50" customHeight="1" spans="1:28">
      <c r="A1018" s="77" t="s">
        <v>2091</v>
      </c>
      <c r="B1018" s="6" t="s">
        <v>2092</v>
      </c>
      <c r="C1018" s="77" t="s">
        <v>30</v>
      </c>
      <c r="D1018" s="77" t="s">
        <v>173</v>
      </c>
      <c r="E1018" s="77" t="s">
        <v>2093</v>
      </c>
      <c r="F1018" s="77" t="s">
        <v>38</v>
      </c>
      <c r="G1018" s="77" t="s">
        <v>34</v>
      </c>
      <c r="H1018" s="77">
        <f>STOCK[[#This Row],[Precio Final]]</f>
        <v>22</v>
      </c>
      <c r="I1018" s="77">
        <f>STOCK[[#This Row],[Precio Venta Ideal (x1.5)]]</f>
        <v>10.8</v>
      </c>
      <c r="J1018" s="92">
        <v>0</v>
      </c>
      <c r="K1018" s="92">
        <f>SUMIFS(VENTAS[Cantidad],VENTAS[Código del producto Vendido],STOCK[[#This Row],[Code]])</f>
        <v>0</v>
      </c>
      <c r="L1018" s="92">
        <f>STOCK[[#This Row],[Entradas]]-STOCK[[#This Row],[Salidas]]</f>
        <v>0</v>
      </c>
      <c r="M1018" s="77">
        <f>STOCK[[#This Row],[Precio Final]]*10%</f>
        <v>2.2</v>
      </c>
      <c r="N1018" s="77">
        <v>0</v>
      </c>
      <c r="O1018" s="77">
        <v>0</v>
      </c>
      <c r="P1018" s="77">
        <v>5</v>
      </c>
      <c r="Q1018" s="92">
        <v>0</v>
      </c>
      <c r="R1018" s="77">
        <v>0</v>
      </c>
      <c r="S1018" s="77">
        <v>0</v>
      </c>
      <c r="T1018" s="76">
        <f>STOCK[[#This Row],[Costo Unitario (USD)]]+STOCK[[#This Row],[Costo Envío (USD)]]+STOCK[[#This Row],[Comisión 10%]]</f>
        <v>7.2</v>
      </c>
      <c r="U1018" s="77">
        <f>STOCK[[#This Row],[Costo total]]*1.5</f>
        <v>10.8</v>
      </c>
      <c r="V1018" s="77">
        <v>22</v>
      </c>
      <c r="W1018" s="77">
        <f>STOCK[[#This Row],[Precio Final]]-STOCK[[#This Row],[Costo total]]</f>
        <v>14.8</v>
      </c>
      <c r="X1018" s="77">
        <f>STOCK[[#This Row],[Ganancia Unitaria]]*STOCK[[#This Row],[Salidas]]</f>
        <v>0</v>
      </c>
      <c r="AA1018" s="77">
        <f>STOCK[[#This Row],[Costo total]]*STOCK[[#This Row],[Entradas]]</f>
        <v>0</v>
      </c>
      <c r="AB1018" s="77">
        <f>STOCK[[#This Row],[Stock Actual]]*STOCK[[#This Row],[Costo total]]</f>
        <v>0</v>
      </c>
    </row>
    <row r="1019" s="76" customFormat="1" ht="50" customHeight="1" spans="1:28">
      <c r="A1019" s="76" t="s">
        <v>2094</v>
      </c>
      <c r="B1019" s="6"/>
      <c r="C1019" s="76" t="s">
        <v>30</v>
      </c>
      <c r="D1019" s="76" t="s">
        <v>173</v>
      </c>
      <c r="E1019" s="76" t="s">
        <v>2095</v>
      </c>
      <c r="F1019" s="76" t="s">
        <v>60</v>
      </c>
      <c r="G1019" s="76" t="s">
        <v>34</v>
      </c>
      <c r="H1019" s="76">
        <f>STOCK[[#This Row],[Precio Final]]</f>
        <v>22</v>
      </c>
      <c r="I1019" s="76">
        <f>STOCK[[#This Row],[Precio Venta Ideal (x1.5)]]</f>
        <v>19.8</v>
      </c>
      <c r="J1019" s="91">
        <v>1</v>
      </c>
      <c r="K1019" s="91">
        <f>SUMIFS(VENTAS[Cantidad],VENTAS[Código del producto Vendido],STOCK[[#This Row],[Code]])</f>
        <v>0</v>
      </c>
      <c r="L1019" s="91">
        <f>STOCK[[#This Row],[Entradas]]-STOCK[[#This Row],[Salidas]]</f>
        <v>1</v>
      </c>
      <c r="M1019" s="76">
        <f>STOCK[[#This Row],[Precio Final]]*10%</f>
        <v>2.2</v>
      </c>
      <c r="N1019" s="76">
        <v>0</v>
      </c>
      <c r="O1019" s="76">
        <v>0</v>
      </c>
      <c r="P1019" s="76">
        <v>10</v>
      </c>
      <c r="Q1019" s="91">
        <v>0</v>
      </c>
      <c r="R1019" s="76">
        <v>0</v>
      </c>
      <c r="S1019" s="76">
        <v>1</v>
      </c>
      <c r="T1019" s="76">
        <f>STOCK[[#This Row],[Costo Unitario (USD)]]+STOCK[[#This Row],[Costo Envío (USD)]]+STOCK[[#This Row],[Comisión 10%]]</f>
        <v>13.2</v>
      </c>
      <c r="U1019" s="76">
        <f>STOCK[[#This Row],[Costo total]]*1.5</f>
        <v>19.8</v>
      </c>
      <c r="V1019" s="76">
        <v>22</v>
      </c>
      <c r="W1019" s="76">
        <f>STOCK[[#This Row],[Precio Final]]-STOCK[[#This Row],[Costo total]]</f>
        <v>8.8</v>
      </c>
      <c r="X1019" s="76">
        <f>STOCK[[#This Row],[Ganancia Unitaria]]*STOCK[[#This Row],[Salidas]]</f>
        <v>0</v>
      </c>
      <c r="AA1019" s="76">
        <f>STOCK[[#This Row],[Costo total]]*STOCK[[#This Row],[Entradas]]</f>
        <v>13.2</v>
      </c>
      <c r="AB1019" s="76">
        <f>STOCK[[#This Row],[Stock Actual]]*STOCK[[#This Row],[Costo total]]</f>
        <v>13.2</v>
      </c>
    </row>
    <row r="1020" s="77" customFormat="1" ht="50" customHeight="1" spans="1:28">
      <c r="A1020" s="77" t="s">
        <v>2096</v>
      </c>
      <c r="B1020" s="6"/>
      <c r="C1020" s="77" t="s">
        <v>30</v>
      </c>
      <c r="D1020" s="77" t="s">
        <v>173</v>
      </c>
      <c r="E1020" s="76" t="s">
        <v>2095</v>
      </c>
      <c r="F1020" s="77" t="s">
        <v>47</v>
      </c>
      <c r="G1020" s="77" t="s">
        <v>34</v>
      </c>
      <c r="H1020" s="77">
        <f>STOCK[[#This Row],[Precio Final]]</f>
        <v>22</v>
      </c>
      <c r="I1020" s="77">
        <f>STOCK[[#This Row],[Precio Venta Ideal (x1.5)]]</f>
        <v>18.3</v>
      </c>
      <c r="J1020" s="92">
        <v>1</v>
      </c>
      <c r="K1020" s="92">
        <f>SUMIFS(VENTAS[Cantidad],VENTAS[Código del producto Vendido],STOCK[[#This Row],[Code]])</f>
        <v>0</v>
      </c>
      <c r="L1020" s="92">
        <f>STOCK[[#This Row],[Entradas]]-STOCK[[#This Row],[Salidas]]</f>
        <v>1</v>
      </c>
      <c r="M1020" s="77">
        <f>STOCK[[#This Row],[Precio Final]]*10%</f>
        <v>2.2</v>
      </c>
      <c r="N1020" s="77">
        <v>0</v>
      </c>
      <c r="O1020" s="77">
        <v>0</v>
      </c>
      <c r="P1020" s="77">
        <v>10</v>
      </c>
      <c r="Q1020" s="92">
        <v>0</v>
      </c>
      <c r="R1020" s="77">
        <v>0</v>
      </c>
      <c r="S1020" s="77">
        <v>0</v>
      </c>
      <c r="T1020" s="76">
        <f>STOCK[[#This Row],[Costo Unitario (USD)]]+STOCK[[#This Row],[Costo Envío (USD)]]+STOCK[[#This Row],[Comisión 10%]]</f>
        <v>12.2</v>
      </c>
      <c r="U1020" s="77">
        <f>STOCK[[#This Row],[Costo total]]*1.5</f>
        <v>18.3</v>
      </c>
      <c r="V1020" s="77">
        <v>22</v>
      </c>
      <c r="W1020" s="77">
        <f>STOCK[[#This Row],[Precio Final]]-STOCK[[#This Row],[Costo total]]</f>
        <v>9.8</v>
      </c>
      <c r="X1020" s="77">
        <f>STOCK[[#This Row],[Ganancia Unitaria]]*STOCK[[#This Row],[Salidas]]</f>
        <v>0</v>
      </c>
      <c r="AA1020" s="77">
        <f>STOCK[[#This Row],[Costo total]]*STOCK[[#This Row],[Entradas]]</f>
        <v>12.2</v>
      </c>
      <c r="AB1020" s="77">
        <f>STOCK[[#This Row],[Stock Actual]]*STOCK[[#This Row],[Costo total]]</f>
        <v>12.2</v>
      </c>
    </row>
    <row r="1021" s="76" customFormat="1" ht="50" customHeight="1" spans="1:28">
      <c r="A1021" s="76" t="s">
        <v>2097</v>
      </c>
      <c r="B1021" s="6"/>
      <c r="C1021" s="76" t="s">
        <v>30</v>
      </c>
      <c r="D1021" s="76" t="s">
        <v>42</v>
      </c>
      <c r="E1021" s="76" t="s">
        <v>1707</v>
      </c>
      <c r="F1021" s="76" t="s">
        <v>1732</v>
      </c>
      <c r="G1021" s="76" t="s">
        <v>34</v>
      </c>
      <c r="H1021" s="76">
        <f>STOCK[[#This Row],[Precio Final]]</f>
        <v>27</v>
      </c>
      <c r="I1021" s="76">
        <f>STOCK[[#This Row],[Precio Venta Ideal (x1.5)]]</f>
        <v>31.2</v>
      </c>
      <c r="J1021" s="91">
        <v>1</v>
      </c>
      <c r="K1021" s="91">
        <f>SUMIFS(VENTAS[Cantidad],VENTAS[Código del producto Vendido],STOCK[[#This Row],[Code]])</f>
        <v>1</v>
      </c>
      <c r="L1021" s="91">
        <f>STOCK[[#This Row],[Entradas]]-STOCK[[#This Row],[Salidas]]</f>
        <v>0</v>
      </c>
      <c r="M1021" s="76">
        <f>STOCK[[#This Row],[Precio Final]]*10%</f>
        <v>2.7</v>
      </c>
      <c r="N1021" s="76">
        <v>0</v>
      </c>
      <c r="O1021" s="76">
        <v>0</v>
      </c>
      <c r="P1021" s="76">
        <v>16.6</v>
      </c>
      <c r="Q1021" s="91">
        <v>0</v>
      </c>
      <c r="R1021" s="76">
        <v>0</v>
      </c>
      <c r="S1021" s="76">
        <v>1.5</v>
      </c>
      <c r="T1021" s="76">
        <f>STOCK[[#This Row],[Costo Unitario (USD)]]+STOCK[[#This Row],[Costo Envío (USD)]]+STOCK[[#This Row],[Comisión 10%]]</f>
        <v>20.8</v>
      </c>
      <c r="U1021" s="76">
        <f>STOCK[[#This Row],[Costo total]]*1.5</f>
        <v>31.2</v>
      </c>
      <c r="V1021" s="76">
        <v>27</v>
      </c>
      <c r="W1021" s="76">
        <f>STOCK[[#This Row],[Precio Final]]-STOCK[[#This Row],[Costo total]]</f>
        <v>6.2</v>
      </c>
      <c r="X1021" s="76">
        <f>STOCK[[#This Row],[Ganancia Unitaria]]*STOCK[[#This Row],[Salidas]]</f>
        <v>6.2</v>
      </c>
      <c r="AA1021" s="76">
        <f>STOCK[[#This Row],[Costo total]]*STOCK[[#This Row],[Entradas]]</f>
        <v>20.8</v>
      </c>
      <c r="AB1021" s="76">
        <f>STOCK[[#This Row],[Stock Actual]]*STOCK[[#This Row],[Costo total]]</f>
        <v>0</v>
      </c>
    </row>
    <row r="1022" s="77" customFormat="1" ht="50" customHeight="1" spans="1:28">
      <c r="A1022" s="77" t="s">
        <v>2098</v>
      </c>
      <c r="B1022" s="6" t="s">
        <v>2092</v>
      </c>
      <c r="C1022" s="77" t="s">
        <v>30</v>
      </c>
      <c r="D1022" s="77" t="s">
        <v>42</v>
      </c>
      <c r="E1022" s="77" t="s">
        <v>2099</v>
      </c>
      <c r="F1022" s="77" t="s">
        <v>40</v>
      </c>
      <c r="H1022" s="77">
        <f>STOCK[[#This Row],[Precio Final]]</f>
        <v>20</v>
      </c>
      <c r="I1022" s="77">
        <f>STOCK[[#This Row],[Precio Venta Ideal (x1.5)]]</f>
        <v>4.5</v>
      </c>
      <c r="J1022" s="92">
        <v>0</v>
      </c>
      <c r="K1022" s="92">
        <f>SUMIFS(VENTAS[Cantidad],VENTAS[Código del producto Vendido],STOCK[[#This Row],[Code]])</f>
        <v>0</v>
      </c>
      <c r="L1022" s="92">
        <f>STOCK[[#This Row],[Entradas]]-STOCK[[#This Row],[Salidas]]</f>
        <v>0</v>
      </c>
      <c r="M1022" s="77">
        <f>STOCK[[#This Row],[Precio Final]]*10%</f>
        <v>2</v>
      </c>
      <c r="N1022" s="77">
        <v>0</v>
      </c>
      <c r="O1022" s="77">
        <v>0</v>
      </c>
      <c r="P1022" s="77">
        <v>1</v>
      </c>
      <c r="Q1022" s="92">
        <v>0</v>
      </c>
      <c r="R1022" s="77">
        <v>0</v>
      </c>
      <c r="S1022" s="77">
        <v>0</v>
      </c>
      <c r="T1022" s="76">
        <f>STOCK[[#This Row],[Costo Unitario (USD)]]+STOCK[[#This Row],[Costo Envío (USD)]]+STOCK[[#This Row],[Comisión 10%]]</f>
        <v>3</v>
      </c>
      <c r="U1022" s="77">
        <f>STOCK[[#This Row],[Costo total]]*1.5</f>
        <v>4.5</v>
      </c>
      <c r="V1022" s="77">
        <v>20</v>
      </c>
      <c r="W1022" s="77">
        <f>STOCK[[#This Row],[Precio Final]]-STOCK[[#This Row],[Costo total]]</f>
        <v>17</v>
      </c>
      <c r="X1022" s="77">
        <f>STOCK[[#This Row],[Ganancia Unitaria]]*STOCK[[#This Row],[Salidas]]</f>
        <v>0</v>
      </c>
      <c r="AA1022" s="77">
        <f>STOCK[[#This Row],[Costo total]]*STOCK[[#This Row],[Entradas]]</f>
        <v>0</v>
      </c>
      <c r="AB1022" s="77">
        <f>STOCK[[#This Row],[Stock Actual]]*STOCK[[#This Row],[Costo total]]</f>
        <v>0</v>
      </c>
    </row>
    <row r="1023" s="76" customFormat="1" ht="50" customHeight="1" spans="1:29">
      <c r="A1023" s="77" t="s">
        <v>2100</v>
      </c>
      <c r="B1023" s="6"/>
      <c r="C1023" s="76" t="s">
        <v>30</v>
      </c>
      <c r="D1023" s="76" t="s">
        <v>215</v>
      </c>
      <c r="E1023" s="76" t="s">
        <v>2101</v>
      </c>
      <c r="F1023" s="76" t="s">
        <v>40</v>
      </c>
      <c r="H1023" s="76">
        <f>STOCK[[#This Row],[Precio Final]]</f>
        <v>15</v>
      </c>
      <c r="I1023" s="76">
        <f>STOCK[[#This Row],[Precio Venta Ideal (x1.5)]]</f>
        <v>5.25</v>
      </c>
      <c r="J1023" s="91">
        <v>1</v>
      </c>
      <c r="K1023" s="91">
        <f>SUMIFS(VENTAS[Cantidad],VENTAS[Código del producto Vendido],STOCK[[#This Row],[Code]])</f>
        <v>0</v>
      </c>
      <c r="L1023" s="91">
        <f>STOCK[[#This Row],[Entradas]]-STOCK[[#This Row],[Salidas]]</f>
        <v>1</v>
      </c>
      <c r="M1023" s="76">
        <f>STOCK[[#This Row],[Precio Final]]*10%</f>
        <v>1.5</v>
      </c>
      <c r="N1023" s="76">
        <v>0</v>
      </c>
      <c r="O1023" s="76">
        <v>0</v>
      </c>
      <c r="P1023" s="76">
        <v>2</v>
      </c>
      <c r="Q1023" s="91">
        <v>0</v>
      </c>
      <c r="R1023" s="76">
        <v>0</v>
      </c>
      <c r="S1023" s="76">
        <v>0</v>
      </c>
      <c r="T1023" s="76">
        <f>STOCK[[#This Row],[Costo Unitario (USD)]]+STOCK[[#This Row],[Costo Envío (USD)]]+STOCK[[#This Row],[Comisión 10%]]</f>
        <v>3.5</v>
      </c>
      <c r="U1023" s="76">
        <f>STOCK[[#This Row],[Costo total]]*1.5</f>
        <v>5.25</v>
      </c>
      <c r="V1023" s="76">
        <v>15</v>
      </c>
      <c r="W1023" s="76">
        <f>STOCK[[#This Row],[Precio Final]]-STOCK[[#This Row],[Costo total]]</f>
        <v>11.5</v>
      </c>
      <c r="X1023" s="76">
        <f>STOCK[[#This Row],[Ganancia Unitaria]]*STOCK[[#This Row],[Salidas]]</f>
        <v>0</v>
      </c>
      <c r="AA1023" s="76">
        <f>STOCK[[#This Row],[Costo total]]*STOCK[[#This Row],[Entradas]]</f>
        <v>3.5</v>
      </c>
      <c r="AB1023" s="76">
        <f>STOCK[[#This Row],[Stock Actual]]*STOCK[[#This Row],[Costo total]]</f>
        <v>3.5</v>
      </c>
      <c r="AC1023" s="76">
        <v>12</v>
      </c>
    </row>
    <row r="1024" s="77" customFormat="1" ht="50" customHeight="1" spans="1:28">
      <c r="A1024" s="77" t="s">
        <v>2102</v>
      </c>
      <c r="B1024" s="6"/>
      <c r="C1024" s="77" t="s">
        <v>30</v>
      </c>
      <c r="D1024" s="77" t="s">
        <v>514</v>
      </c>
      <c r="E1024" s="77" t="s">
        <v>1435</v>
      </c>
      <c r="F1024" s="77" t="s">
        <v>1576</v>
      </c>
      <c r="G1024" s="77" t="s">
        <v>1294</v>
      </c>
      <c r="H1024" s="77">
        <f>STOCK[[#This Row],[Precio Final]]</f>
        <v>30</v>
      </c>
      <c r="I1024" s="77">
        <f>STOCK[[#This Row],[Precio Venta Ideal (x1.5)]]</f>
        <v>30</v>
      </c>
      <c r="J1024" s="92">
        <v>1</v>
      </c>
      <c r="K1024" s="92">
        <f>SUMIFS(VENTAS[Cantidad],VENTAS[Código del producto Vendido],STOCK[[#This Row],[Code]])</f>
        <v>1</v>
      </c>
      <c r="L1024" s="92">
        <f>STOCK[[#This Row],[Entradas]]-STOCK[[#This Row],[Salidas]]</f>
        <v>0</v>
      </c>
      <c r="M1024" s="77">
        <f>STOCK[[#This Row],[Precio Final]]*10%</f>
        <v>3</v>
      </c>
      <c r="N1024" s="77">
        <v>0</v>
      </c>
      <c r="O1024" s="77">
        <v>17</v>
      </c>
      <c r="P1024" s="77">
        <v>7</v>
      </c>
      <c r="Q1024" s="92">
        <v>0</v>
      </c>
      <c r="R1024" s="77">
        <v>0</v>
      </c>
      <c r="S1024" s="77">
        <v>10</v>
      </c>
      <c r="T1024" s="76">
        <f>STOCK[[#This Row],[Costo Unitario (USD)]]+STOCK[[#This Row],[Costo Envío (USD)]]+STOCK[[#This Row],[Comisión 10%]]</f>
        <v>20</v>
      </c>
      <c r="U1024" s="77">
        <f>STOCK[[#This Row],[Costo total]]*1.5</f>
        <v>30</v>
      </c>
      <c r="V1024" s="77">
        <v>30</v>
      </c>
      <c r="W1024" s="77">
        <f>STOCK[[#This Row],[Precio Final]]-STOCK[[#This Row],[Costo total]]</f>
        <v>10</v>
      </c>
      <c r="X1024" s="77">
        <f>STOCK[[#This Row],[Ganancia Unitaria]]*STOCK[[#This Row],[Salidas]]</f>
        <v>10</v>
      </c>
      <c r="Y1024" s="77" t="s">
        <v>1429</v>
      </c>
      <c r="AA1024" s="77">
        <f>STOCK[[#This Row],[Costo total]]*STOCK[[#This Row],[Entradas]]</f>
        <v>20</v>
      </c>
      <c r="AB1024" s="77">
        <f>STOCK[[#This Row],[Stock Actual]]*STOCK[[#This Row],[Costo total]]</f>
        <v>0</v>
      </c>
    </row>
    <row r="1025" s="76" customFormat="1" ht="50" customHeight="1" spans="1:28">
      <c r="A1025" s="76" t="s">
        <v>2103</v>
      </c>
      <c r="B1025" s="6"/>
      <c r="C1025" s="76" t="s">
        <v>30</v>
      </c>
      <c r="D1025" s="76" t="s">
        <v>514</v>
      </c>
      <c r="E1025" s="76" t="s">
        <v>1586</v>
      </c>
      <c r="F1025" s="76" t="s">
        <v>516</v>
      </c>
      <c r="G1025" s="76" t="s">
        <v>1294</v>
      </c>
      <c r="H1025" s="76">
        <f>STOCK[[#This Row],[Precio Final]]</f>
        <v>15</v>
      </c>
      <c r="I1025" s="76">
        <f>STOCK[[#This Row],[Precio Venta Ideal (x1.5)]]</f>
        <v>16.485</v>
      </c>
      <c r="J1025" s="91">
        <v>1</v>
      </c>
      <c r="K1025" s="91">
        <f>SUMIFS(VENTAS[Cantidad],VENTAS[Código del producto Vendido],STOCK[[#This Row],[Code]])</f>
        <v>0</v>
      </c>
      <c r="L1025" s="91">
        <f>STOCK[[#This Row],[Entradas]]-STOCK[[#This Row],[Salidas]]</f>
        <v>1</v>
      </c>
      <c r="M1025" s="76">
        <f>STOCK[[#This Row],[Precio Final]]*10%</f>
        <v>1.5</v>
      </c>
      <c r="N1025" s="76">
        <v>0</v>
      </c>
      <c r="O1025" s="76">
        <v>0</v>
      </c>
      <c r="P1025" s="76">
        <v>6.49</v>
      </c>
      <c r="Q1025" s="91">
        <v>0</v>
      </c>
      <c r="R1025" s="76">
        <v>0</v>
      </c>
      <c r="S1025" s="76">
        <v>3</v>
      </c>
      <c r="T1025" s="76">
        <f>STOCK[[#This Row],[Costo Unitario (USD)]]+STOCK[[#This Row],[Costo Envío (USD)]]+STOCK[[#This Row],[Comisión 10%]]</f>
        <v>10.99</v>
      </c>
      <c r="U1025" s="76">
        <f>STOCK[[#This Row],[Costo total]]*1.5</f>
        <v>16.485</v>
      </c>
      <c r="V1025" s="76">
        <v>15</v>
      </c>
      <c r="W1025" s="76">
        <f>STOCK[[#This Row],[Precio Final]]-STOCK[[#This Row],[Costo total]]</f>
        <v>4.01</v>
      </c>
      <c r="X1025" s="76">
        <f>STOCK[[#This Row],[Ganancia Unitaria]]*STOCK[[#This Row],[Salidas]]</f>
        <v>0</v>
      </c>
      <c r="AA1025" s="76">
        <f>STOCK[[#This Row],[Costo total]]*STOCK[[#This Row],[Entradas]]</f>
        <v>10.99</v>
      </c>
      <c r="AB1025" s="76">
        <f>STOCK[[#This Row],[Stock Actual]]*STOCK[[#This Row],[Costo total]]</f>
        <v>10.99</v>
      </c>
    </row>
    <row r="1026" s="77" customFormat="1" ht="50" customHeight="1" spans="1:28">
      <c r="A1026" s="77" t="s">
        <v>2104</v>
      </c>
      <c r="B1026" s="6"/>
      <c r="C1026" s="77" t="s">
        <v>30</v>
      </c>
      <c r="D1026" s="77" t="s">
        <v>1879</v>
      </c>
      <c r="E1026" s="77" t="s">
        <v>2105</v>
      </c>
      <c r="F1026" s="77" t="s">
        <v>2106</v>
      </c>
      <c r="G1026" s="77" t="s">
        <v>1874</v>
      </c>
      <c r="H1026" s="77">
        <f>STOCK[[#This Row],[Precio Final]]</f>
        <v>18</v>
      </c>
      <c r="I1026" s="77">
        <f>STOCK[[#This Row],[Precio Venta Ideal (x1.5)]]</f>
        <v>14.085</v>
      </c>
      <c r="J1026" s="92">
        <v>3</v>
      </c>
      <c r="K1026" s="92">
        <f>SUMIFS(VENTAS[Cantidad],VENTAS[Código del producto Vendido],STOCK[[#This Row],[Code]])</f>
        <v>2</v>
      </c>
      <c r="L1026" s="92">
        <f>STOCK[[#This Row],[Entradas]]-STOCK[[#This Row],[Salidas]]</f>
        <v>1</v>
      </c>
      <c r="M1026" s="77">
        <f>STOCK[[#This Row],[Precio Final]]*10%</f>
        <v>1.8</v>
      </c>
      <c r="N1026" s="77">
        <v>0</v>
      </c>
      <c r="O1026" s="77">
        <v>0</v>
      </c>
      <c r="P1026" s="77">
        <v>6.99</v>
      </c>
      <c r="Q1026" s="92">
        <v>0</v>
      </c>
      <c r="R1026" s="77">
        <v>0</v>
      </c>
      <c r="S1026" s="77">
        <v>0.6</v>
      </c>
      <c r="T1026" s="76">
        <f>STOCK[[#This Row],[Costo Unitario (USD)]]+STOCK[[#This Row],[Costo Envío (USD)]]+STOCK[[#This Row],[Comisión 10%]]</f>
        <v>9.39</v>
      </c>
      <c r="U1026" s="77">
        <f>STOCK[[#This Row],[Costo total]]*1.5</f>
        <v>14.085</v>
      </c>
      <c r="V1026" s="77">
        <v>18</v>
      </c>
      <c r="W1026" s="77">
        <f>STOCK[[#This Row],[Precio Final]]-STOCK[[#This Row],[Costo total]]</f>
        <v>8.61</v>
      </c>
      <c r="X1026" s="77">
        <f>STOCK[[#This Row],[Ganancia Unitaria]]*STOCK[[#This Row],[Salidas]]</f>
        <v>17.22</v>
      </c>
      <c r="Y1026" s="77" t="s">
        <v>2107</v>
      </c>
      <c r="AA1026" s="77">
        <f>STOCK[[#This Row],[Costo total]]*STOCK[[#This Row],[Entradas]]</f>
        <v>28.17</v>
      </c>
      <c r="AB1026" s="77">
        <f>STOCK[[#This Row],[Stock Actual]]*STOCK[[#This Row],[Costo total]]</f>
        <v>9.39</v>
      </c>
    </row>
    <row r="1027" s="76" customFormat="1" ht="50" customHeight="1" spans="1:28">
      <c r="A1027" s="76" t="s">
        <v>2108</v>
      </c>
      <c r="B1027" s="6"/>
      <c r="C1027" s="76" t="s">
        <v>30</v>
      </c>
      <c r="D1027" s="76" t="s">
        <v>2109</v>
      </c>
      <c r="E1027" s="76" t="s">
        <v>2110</v>
      </c>
      <c r="F1027" s="76" t="s">
        <v>2106</v>
      </c>
      <c r="G1027" s="76" t="s">
        <v>1874</v>
      </c>
      <c r="H1027" s="76">
        <f>STOCK[[#This Row],[Precio Final]]</f>
        <v>12</v>
      </c>
      <c r="I1027" s="76">
        <f>STOCK[[#This Row],[Precio Venta Ideal (x1.5)]]</f>
        <v>10.17</v>
      </c>
      <c r="J1027" s="91">
        <v>2</v>
      </c>
      <c r="K1027" s="91">
        <f>SUMIFS(VENTAS[Cantidad],VENTAS[Código del producto Vendido],STOCK[[#This Row],[Code]])</f>
        <v>2</v>
      </c>
      <c r="L1027" s="91">
        <f>STOCK[[#This Row],[Entradas]]-STOCK[[#This Row],[Salidas]]</f>
        <v>0</v>
      </c>
      <c r="M1027" s="76">
        <f>STOCK[[#This Row],[Precio Final]]*10%</f>
        <v>1.2</v>
      </c>
      <c r="N1027" s="76">
        <v>0</v>
      </c>
      <c r="O1027" s="76">
        <v>0</v>
      </c>
      <c r="P1027" s="76">
        <v>4.98</v>
      </c>
      <c r="Q1027" s="91">
        <v>0</v>
      </c>
      <c r="R1027" s="76">
        <v>0</v>
      </c>
      <c r="S1027" s="76">
        <v>0.6</v>
      </c>
      <c r="T1027" s="76">
        <f>STOCK[[#This Row],[Costo Unitario (USD)]]+STOCK[[#This Row],[Costo Envío (USD)]]+STOCK[[#This Row],[Comisión 10%]]</f>
        <v>6.78</v>
      </c>
      <c r="U1027" s="76">
        <f>STOCK[[#This Row],[Costo total]]*1.5</f>
        <v>10.17</v>
      </c>
      <c r="V1027" s="76">
        <v>12</v>
      </c>
      <c r="W1027" s="76">
        <f>STOCK[[#This Row],[Precio Final]]-STOCK[[#This Row],[Costo total]]</f>
        <v>5.22</v>
      </c>
      <c r="X1027" s="76">
        <f>STOCK[[#This Row],[Ganancia Unitaria]]*STOCK[[#This Row],[Salidas]]</f>
        <v>10.44</v>
      </c>
      <c r="Y1027" s="76" t="s">
        <v>2111</v>
      </c>
      <c r="AA1027" s="76">
        <f>STOCK[[#This Row],[Costo total]]*STOCK[[#This Row],[Entradas]]</f>
        <v>13.56</v>
      </c>
      <c r="AB1027" s="76">
        <f>STOCK[[#This Row],[Stock Actual]]*STOCK[[#This Row],[Costo total]]</f>
        <v>0</v>
      </c>
    </row>
    <row r="1028" s="77" customFormat="1" ht="50" customHeight="1" spans="1:28">
      <c r="A1028" s="77" t="s">
        <v>2112</v>
      </c>
      <c r="B1028" s="6"/>
      <c r="C1028" s="77" t="s">
        <v>30</v>
      </c>
      <c r="D1028" s="77" t="s">
        <v>2109</v>
      </c>
      <c r="E1028" s="77" t="s">
        <v>2113</v>
      </c>
      <c r="F1028" s="77" t="s">
        <v>1532</v>
      </c>
      <c r="G1028" s="77" t="s">
        <v>1874</v>
      </c>
      <c r="H1028" s="77">
        <f>STOCK[[#This Row],[Precio Final]]</f>
        <v>12</v>
      </c>
      <c r="I1028" s="77">
        <f>STOCK[[#This Row],[Precio Venta Ideal (x1.5)]]</f>
        <v>7.455</v>
      </c>
      <c r="J1028" s="92">
        <v>2</v>
      </c>
      <c r="K1028" s="92">
        <f>SUMIFS(VENTAS[Cantidad],VENTAS[Código del producto Vendido],STOCK[[#This Row],[Code]])</f>
        <v>2</v>
      </c>
      <c r="L1028" s="92">
        <f>STOCK[[#This Row],[Entradas]]-STOCK[[#This Row],[Salidas]]</f>
        <v>0</v>
      </c>
      <c r="M1028" s="77">
        <f>STOCK[[#This Row],[Precio Final]]*10%</f>
        <v>1.2</v>
      </c>
      <c r="N1028" s="77">
        <v>0</v>
      </c>
      <c r="O1028" s="77">
        <v>0</v>
      </c>
      <c r="P1028" s="77">
        <v>3.17</v>
      </c>
      <c r="Q1028" s="92">
        <v>0</v>
      </c>
      <c r="R1028" s="77">
        <v>0</v>
      </c>
      <c r="S1028" s="77">
        <v>0.6</v>
      </c>
      <c r="T1028" s="76">
        <f>STOCK[[#This Row],[Costo Unitario (USD)]]+STOCK[[#This Row],[Costo Envío (USD)]]+STOCK[[#This Row],[Comisión 10%]]</f>
        <v>4.97</v>
      </c>
      <c r="U1028" s="77">
        <f>STOCK[[#This Row],[Costo total]]*1.5</f>
        <v>7.455</v>
      </c>
      <c r="V1028" s="77">
        <v>12</v>
      </c>
      <c r="W1028" s="77">
        <f>STOCK[[#This Row],[Precio Final]]-STOCK[[#This Row],[Costo total]]</f>
        <v>7.03</v>
      </c>
      <c r="X1028" s="77">
        <f>STOCK[[#This Row],[Ganancia Unitaria]]*STOCK[[#This Row],[Salidas]]</f>
        <v>14.06</v>
      </c>
      <c r="Y1028" s="77" t="s">
        <v>2114</v>
      </c>
      <c r="AA1028" s="77">
        <f>STOCK[[#This Row],[Costo total]]*STOCK[[#This Row],[Entradas]]</f>
        <v>9.94</v>
      </c>
      <c r="AB1028" s="77">
        <f>STOCK[[#This Row],[Stock Actual]]*STOCK[[#This Row],[Costo total]]</f>
        <v>0</v>
      </c>
    </row>
    <row r="1029" s="76" customFormat="1" ht="50" customHeight="1" spans="1:28">
      <c r="A1029" s="76" t="s">
        <v>2115</v>
      </c>
      <c r="B1029" s="6"/>
      <c r="C1029" s="76" t="s">
        <v>30</v>
      </c>
      <c r="D1029" s="76" t="s">
        <v>2116</v>
      </c>
      <c r="E1029" s="76" t="s">
        <v>2117</v>
      </c>
      <c r="F1029" s="76" t="s">
        <v>60</v>
      </c>
      <c r="G1029" s="76" t="s">
        <v>1874</v>
      </c>
      <c r="H1029" s="76">
        <f>STOCK[[#This Row],[Precio Final]]</f>
        <v>25</v>
      </c>
      <c r="I1029" s="76">
        <f>STOCK[[#This Row],[Precio Venta Ideal (x1.5)]]</f>
        <v>16.995</v>
      </c>
      <c r="J1029" s="91">
        <v>1</v>
      </c>
      <c r="K1029" s="91">
        <f>SUMIFS(VENTAS[Cantidad],VENTAS[Código del producto Vendido],STOCK[[#This Row],[Code]])</f>
        <v>1</v>
      </c>
      <c r="L1029" s="91">
        <f>STOCK[[#This Row],[Entradas]]-STOCK[[#This Row],[Salidas]]</f>
        <v>0</v>
      </c>
      <c r="M1029" s="76">
        <f>STOCK[[#This Row],[Precio Final]]*10%</f>
        <v>2.5</v>
      </c>
      <c r="N1029" s="76">
        <v>0</v>
      </c>
      <c r="O1029" s="76">
        <v>0</v>
      </c>
      <c r="P1029" s="76">
        <v>8.23</v>
      </c>
      <c r="Q1029" s="91">
        <v>0</v>
      </c>
      <c r="R1029" s="76">
        <v>0</v>
      </c>
      <c r="S1029" s="76">
        <v>0.6</v>
      </c>
      <c r="T1029" s="76">
        <f>STOCK[[#This Row],[Costo Unitario (USD)]]+STOCK[[#This Row],[Costo Envío (USD)]]+STOCK[[#This Row],[Comisión 10%]]</f>
        <v>11.33</v>
      </c>
      <c r="U1029" s="76">
        <f>STOCK[[#This Row],[Costo total]]*1.5</f>
        <v>16.995</v>
      </c>
      <c r="V1029" s="76">
        <v>25</v>
      </c>
      <c r="W1029" s="76">
        <f>STOCK[[#This Row],[Precio Final]]-STOCK[[#This Row],[Costo total]]</f>
        <v>13.67</v>
      </c>
      <c r="X1029" s="76">
        <f>STOCK[[#This Row],[Ganancia Unitaria]]*STOCK[[#This Row],[Salidas]]</f>
        <v>13.67</v>
      </c>
      <c r="Y1029" s="76" t="s">
        <v>2118</v>
      </c>
      <c r="AA1029" s="76">
        <f>STOCK[[#This Row],[Costo total]]*STOCK[[#This Row],[Entradas]]</f>
        <v>11.33</v>
      </c>
      <c r="AB1029" s="76">
        <f>STOCK[[#This Row],[Stock Actual]]*STOCK[[#This Row],[Costo total]]</f>
        <v>0</v>
      </c>
    </row>
    <row r="1030" s="77" customFormat="1" ht="50" customHeight="1" spans="1:28">
      <c r="A1030" s="77" t="s">
        <v>2119</v>
      </c>
      <c r="B1030" s="6"/>
      <c r="C1030" s="77" t="s">
        <v>30</v>
      </c>
      <c r="D1030" s="77" t="s">
        <v>2116</v>
      </c>
      <c r="E1030" s="77" t="s">
        <v>2117</v>
      </c>
      <c r="F1030" s="77" t="s">
        <v>47</v>
      </c>
      <c r="G1030" s="77" t="s">
        <v>1874</v>
      </c>
      <c r="H1030" s="77">
        <f>STOCK[[#This Row],[Precio Final]]</f>
        <v>25</v>
      </c>
      <c r="I1030" s="77">
        <f>STOCK[[#This Row],[Precio Venta Ideal (x1.5)]]</f>
        <v>16.995</v>
      </c>
      <c r="J1030" s="92">
        <v>1</v>
      </c>
      <c r="K1030" s="92">
        <f>SUMIFS(VENTAS[Cantidad],VENTAS[Código del producto Vendido],STOCK[[#This Row],[Code]])</f>
        <v>1</v>
      </c>
      <c r="L1030" s="92">
        <f>STOCK[[#This Row],[Entradas]]-STOCK[[#This Row],[Salidas]]</f>
        <v>0</v>
      </c>
      <c r="M1030" s="77">
        <f>STOCK[[#This Row],[Precio Final]]*10%</f>
        <v>2.5</v>
      </c>
      <c r="N1030" s="77">
        <v>0</v>
      </c>
      <c r="O1030" s="77">
        <v>0</v>
      </c>
      <c r="P1030" s="77">
        <v>8.23</v>
      </c>
      <c r="Q1030" s="92">
        <v>0</v>
      </c>
      <c r="R1030" s="77">
        <v>0</v>
      </c>
      <c r="S1030" s="77">
        <v>0.6</v>
      </c>
      <c r="T1030" s="76">
        <f>STOCK[[#This Row],[Costo Unitario (USD)]]+STOCK[[#This Row],[Costo Envío (USD)]]+STOCK[[#This Row],[Comisión 10%]]</f>
        <v>11.33</v>
      </c>
      <c r="U1030" s="77">
        <f>STOCK[[#This Row],[Costo total]]*1.5</f>
        <v>16.995</v>
      </c>
      <c r="V1030" s="77">
        <v>25</v>
      </c>
      <c r="W1030" s="77">
        <f>STOCK[[#This Row],[Precio Final]]-STOCK[[#This Row],[Costo total]]</f>
        <v>13.67</v>
      </c>
      <c r="X1030" s="77">
        <f>STOCK[[#This Row],[Ganancia Unitaria]]*STOCK[[#This Row],[Salidas]]</f>
        <v>13.67</v>
      </c>
      <c r="Y1030" s="77" t="s">
        <v>2120</v>
      </c>
      <c r="AA1030" s="77">
        <f>STOCK[[#This Row],[Costo total]]*STOCK[[#This Row],[Entradas]]</f>
        <v>11.33</v>
      </c>
      <c r="AB1030" s="77">
        <f>STOCK[[#This Row],[Stock Actual]]*STOCK[[#This Row],[Costo total]]</f>
        <v>0</v>
      </c>
    </row>
    <row r="1031" s="76" customFormat="1" ht="50" customHeight="1" spans="1:28">
      <c r="A1031" s="76" t="s">
        <v>2121</v>
      </c>
      <c r="B1031" s="6"/>
      <c r="C1031" s="76" t="s">
        <v>30</v>
      </c>
      <c r="D1031" s="77" t="s">
        <v>36</v>
      </c>
      <c r="E1031" s="76" t="s">
        <v>2122</v>
      </c>
      <c r="F1031" s="76" t="s">
        <v>44</v>
      </c>
      <c r="G1031" s="76" t="s">
        <v>1874</v>
      </c>
      <c r="H1031" s="76">
        <f>STOCK[[#This Row],[Precio Final]]</f>
        <v>25</v>
      </c>
      <c r="I1031" s="76">
        <f>STOCK[[#This Row],[Precio Venta Ideal (x1.5)]]</f>
        <v>20.565</v>
      </c>
      <c r="J1031" s="91">
        <v>1</v>
      </c>
      <c r="K1031" s="91">
        <f>SUMIFS(VENTAS[Cantidad],VENTAS[Código del producto Vendido],STOCK[[#This Row],[Code]])</f>
        <v>1</v>
      </c>
      <c r="L1031" s="91">
        <f>STOCK[[#This Row],[Entradas]]-STOCK[[#This Row],[Salidas]]</f>
        <v>0</v>
      </c>
      <c r="M1031" s="76">
        <f>STOCK[[#This Row],[Precio Final]]*10%</f>
        <v>2.5</v>
      </c>
      <c r="N1031" s="76">
        <v>0</v>
      </c>
      <c r="O1031" s="76">
        <v>0</v>
      </c>
      <c r="P1031" s="76">
        <v>10.61</v>
      </c>
      <c r="Q1031" s="91">
        <v>0</v>
      </c>
      <c r="R1031" s="76">
        <v>0</v>
      </c>
      <c r="S1031" s="76">
        <v>0.6</v>
      </c>
      <c r="T1031" s="76">
        <f>STOCK[[#This Row],[Costo Unitario (USD)]]+STOCK[[#This Row],[Costo Envío (USD)]]+STOCK[[#This Row],[Comisión 10%]]</f>
        <v>13.71</v>
      </c>
      <c r="U1031" s="76">
        <f>STOCK[[#This Row],[Costo total]]*1.5</f>
        <v>20.565</v>
      </c>
      <c r="V1031" s="76">
        <v>25</v>
      </c>
      <c r="W1031" s="76">
        <f>STOCK[[#This Row],[Precio Final]]-STOCK[[#This Row],[Costo total]]</f>
        <v>11.29</v>
      </c>
      <c r="X1031" s="76">
        <f>STOCK[[#This Row],[Ganancia Unitaria]]*STOCK[[#This Row],[Salidas]]</f>
        <v>11.29</v>
      </c>
      <c r="Y1031" s="76" t="s">
        <v>2123</v>
      </c>
      <c r="AA1031" s="76">
        <f>STOCK[[#This Row],[Costo total]]*STOCK[[#This Row],[Entradas]]</f>
        <v>13.71</v>
      </c>
      <c r="AB1031" s="76">
        <f>STOCK[[#This Row],[Stock Actual]]*STOCK[[#This Row],[Costo total]]</f>
        <v>0</v>
      </c>
    </row>
    <row r="1032" s="77" customFormat="1" ht="50" customHeight="1" spans="1:28">
      <c r="A1032" s="77" t="s">
        <v>2124</v>
      </c>
      <c r="B1032" s="6"/>
      <c r="C1032" s="77" t="s">
        <v>30</v>
      </c>
      <c r="D1032" s="77" t="s">
        <v>2125</v>
      </c>
      <c r="E1032" s="77" t="s">
        <v>2122</v>
      </c>
      <c r="F1032" s="77" t="s">
        <v>60</v>
      </c>
      <c r="G1032" s="77" t="s">
        <v>1874</v>
      </c>
      <c r="H1032" s="77">
        <f>STOCK[[#This Row],[Precio Final]]</f>
        <v>25</v>
      </c>
      <c r="I1032" s="77">
        <f>STOCK[[#This Row],[Precio Venta Ideal (x1.5)]]</f>
        <v>20.565</v>
      </c>
      <c r="J1032" s="92">
        <v>1</v>
      </c>
      <c r="K1032" s="92">
        <f>SUMIFS(VENTAS[Cantidad],VENTAS[Código del producto Vendido],STOCK[[#This Row],[Code]])</f>
        <v>1</v>
      </c>
      <c r="L1032" s="92">
        <f>STOCK[[#This Row],[Entradas]]-STOCK[[#This Row],[Salidas]]</f>
        <v>0</v>
      </c>
      <c r="M1032" s="77">
        <f>STOCK[[#This Row],[Precio Final]]*10%</f>
        <v>2.5</v>
      </c>
      <c r="N1032" s="77">
        <v>0</v>
      </c>
      <c r="O1032" s="77">
        <v>0</v>
      </c>
      <c r="P1032" s="77">
        <v>10.61</v>
      </c>
      <c r="Q1032" s="92">
        <v>0</v>
      </c>
      <c r="R1032" s="77">
        <v>0</v>
      </c>
      <c r="S1032" s="77">
        <v>0.6</v>
      </c>
      <c r="T1032" s="76">
        <f>STOCK[[#This Row],[Costo Unitario (USD)]]+STOCK[[#This Row],[Costo Envío (USD)]]+STOCK[[#This Row],[Comisión 10%]]</f>
        <v>13.71</v>
      </c>
      <c r="U1032" s="77">
        <f>STOCK[[#This Row],[Costo total]]*1.5</f>
        <v>20.565</v>
      </c>
      <c r="V1032" s="77">
        <v>25</v>
      </c>
      <c r="W1032" s="77">
        <f>STOCK[[#This Row],[Precio Final]]-STOCK[[#This Row],[Costo total]]</f>
        <v>11.29</v>
      </c>
      <c r="X1032" s="77">
        <f>STOCK[[#This Row],[Ganancia Unitaria]]*STOCK[[#This Row],[Salidas]]</f>
        <v>11.29</v>
      </c>
      <c r="Y1032" s="77" t="s">
        <v>2126</v>
      </c>
      <c r="AA1032" s="77">
        <f>STOCK[[#This Row],[Costo total]]*STOCK[[#This Row],[Entradas]]</f>
        <v>13.71</v>
      </c>
      <c r="AB1032" s="77">
        <f>STOCK[[#This Row],[Stock Actual]]*STOCK[[#This Row],[Costo total]]</f>
        <v>0</v>
      </c>
    </row>
    <row r="1033" s="76" customFormat="1" ht="50" customHeight="1" spans="1:28">
      <c r="A1033" s="76" t="s">
        <v>2127</v>
      </c>
      <c r="B1033" s="6"/>
      <c r="C1033" s="76" t="s">
        <v>30</v>
      </c>
      <c r="D1033" s="76" t="s">
        <v>1749</v>
      </c>
      <c r="E1033" s="76" t="s">
        <v>2128</v>
      </c>
      <c r="F1033" s="76" t="s">
        <v>44</v>
      </c>
      <c r="G1033" s="76" t="s">
        <v>1874</v>
      </c>
      <c r="H1033" s="76">
        <f>STOCK[[#This Row],[Precio Final]]</f>
        <v>22</v>
      </c>
      <c r="I1033" s="76">
        <f>STOCK[[#This Row],[Precio Venta Ideal (x1.5)]]</f>
        <v>19.56</v>
      </c>
      <c r="J1033" s="91">
        <v>1</v>
      </c>
      <c r="K1033" s="91">
        <f>SUMIFS(VENTAS[Cantidad],VENTAS[Código del producto Vendido],STOCK[[#This Row],[Code]])</f>
        <v>1</v>
      </c>
      <c r="L1033" s="91">
        <f>STOCK[[#This Row],[Entradas]]-STOCK[[#This Row],[Salidas]]</f>
        <v>0</v>
      </c>
      <c r="M1033" s="76">
        <f>STOCK[[#This Row],[Precio Final]]*10%</f>
        <v>2.2</v>
      </c>
      <c r="N1033" s="76">
        <v>0</v>
      </c>
      <c r="O1033" s="76">
        <v>0</v>
      </c>
      <c r="P1033" s="76">
        <v>10.24</v>
      </c>
      <c r="Q1033" s="91">
        <v>0</v>
      </c>
      <c r="R1033" s="76">
        <v>0</v>
      </c>
      <c r="S1033" s="76">
        <v>0.6</v>
      </c>
      <c r="T1033" s="76">
        <f>STOCK[[#This Row],[Costo Unitario (USD)]]+STOCK[[#This Row],[Costo Envío (USD)]]+STOCK[[#This Row],[Comisión 10%]]</f>
        <v>13.04</v>
      </c>
      <c r="U1033" s="76">
        <f>STOCK[[#This Row],[Costo total]]*1.5</f>
        <v>19.56</v>
      </c>
      <c r="V1033" s="76">
        <v>22</v>
      </c>
      <c r="W1033" s="76">
        <f>STOCK[[#This Row],[Precio Final]]-STOCK[[#This Row],[Costo total]]</f>
        <v>8.96</v>
      </c>
      <c r="X1033" s="76">
        <f>STOCK[[#This Row],[Ganancia Unitaria]]*STOCK[[#This Row],[Salidas]]</f>
        <v>8.96</v>
      </c>
      <c r="Y1033" s="76" t="s">
        <v>2129</v>
      </c>
      <c r="AA1033" s="76">
        <f>STOCK[[#This Row],[Costo total]]*STOCK[[#This Row],[Entradas]]</f>
        <v>13.04</v>
      </c>
      <c r="AB1033" s="76">
        <f>STOCK[[#This Row],[Stock Actual]]*STOCK[[#This Row],[Costo total]]</f>
        <v>0</v>
      </c>
    </row>
    <row r="1034" s="77" customFormat="1" ht="50" customHeight="1" spans="1:28">
      <c r="A1034" s="77" t="s">
        <v>2130</v>
      </c>
      <c r="B1034" s="6"/>
      <c r="C1034" s="77" t="s">
        <v>30</v>
      </c>
      <c r="D1034" s="77" t="s">
        <v>2131</v>
      </c>
      <c r="E1034" s="77" t="s">
        <v>2132</v>
      </c>
      <c r="F1034" s="77" t="s">
        <v>44</v>
      </c>
      <c r="G1034" s="77" t="s">
        <v>1874</v>
      </c>
      <c r="H1034" s="77">
        <f>STOCK[[#This Row],[Precio Final]]</f>
        <v>25</v>
      </c>
      <c r="I1034" s="77">
        <f>STOCK[[#This Row],[Precio Venta Ideal (x1.5)]]</f>
        <v>21.435</v>
      </c>
      <c r="J1034" s="92">
        <v>1</v>
      </c>
      <c r="K1034" s="92">
        <f>SUMIFS(VENTAS[Cantidad],VENTAS[Código del producto Vendido],STOCK[[#This Row],[Code]])</f>
        <v>1</v>
      </c>
      <c r="L1034" s="92">
        <f>STOCK[[#This Row],[Entradas]]-STOCK[[#This Row],[Salidas]]</f>
        <v>0</v>
      </c>
      <c r="M1034" s="77">
        <f>STOCK[[#This Row],[Precio Final]]*10%</f>
        <v>2.5</v>
      </c>
      <c r="N1034" s="77">
        <v>0</v>
      </c>
      <c r="O1034" s="77">
        <v>0</v>
      </c>
      <c r="P1034" s="77">
        <v>11.19</v>
      </c>
      <c r="Q1034" s="92">
        <v>0</v>
      </c>
      <c r="R1034" s="77">
        <v>0</v>
      </c>
      <c r="S1034" s="77">
        <v>0.6</v>
      </c>
      <c r="T1034" s="76">
        <f>STOCK[[#This Row],[Costo Unitario (USD)]]+STOCK[[#This Row],[Costo Envío (USD)]]+STOCK[[#This Row],[Comisión 10%]]</f>
        <v>14.29</v>
      </c>
      <c r="U1034" s="77">
        <f>STOCK[[#This Row],[Costo total]]*1.5</f>
        <v>21.435</v>
      </c>
      <c r="V1034" s="77">
        <v>25</v>
      </c>
      <c r="W1034" s="77">
        <f>STOCK[[#This Row],[Precio Final]]-STOCK[[#This Row],[Costo total]]</f>
        <v>10.71</v>
      </c>
      <c r="X1034" s="77">
        <f>STOCK[[#This Row],[Ganancia Unitaria]]*STOCK[[#This Row],[Salidas]]</f>
        <v>10.71</v>
      </c>
      <c r="Y1034" s="77" t="s">
        <v>2133</v>
      </c>
      <c r="AA1034" s="77">
        <f>STOCK[[#This Row],[Costo total]]*STOCK[[#This Row],[Entradas]]</f>
        <v>14.29</v>
      </c>
      <c r="AB1034" s="77">
        <f>STOCK[[#This Row],[Stock Actual]]*STOCK[[#This Row],[Costo total]]</f>
        <v>0</v>
      </c>
    </row>
    <row r="1035" s="76" customFormat="1" ht="50" customHeight="1" spans="1:28">
      <c r="A1035" s="76" t="s">
        <v>2134</v>
      </c>
      <c r="B1035" s="6"/>
      <c r="C1035" s="76" t="s">
        <v>30</v>
      </c>
      <c r="D1035" s="76" t="s">
        <v>2135</v>
      </c>
      <c r="E1035" s="76" t="s">
        <v>2136</v>
      </c>
      <c r="F1035" s="76" t="s">
        <v>2137</v>
      </c>
      <c r="G1035" s="76" t="s">
        <v>1874</v>
      </c>
      <c r="H1035" s="76">
        <f>STOCK[[#This Row],[Precio Final]]</f>
        <v>30</v>
      </c>
      <c r="I1035" s="76">
        <f>STOCK[[#This Row],[Precio Venta Ideal (x1.5)]]</f>
        <v>15.075</v>
      </c>
      <c r="J1035" s="91">
        <v>2</v>
      </c>
      <c r="K1035" s="91">
        <f>SUMIFS(VENTAS[Cantidad],VENTAS[Código del producto Vendido],STOCK[[#This Row],[Code]])</f>
        <v>1</v>
      </c>
      <c r="L1035" s="91">
        <f>STOCK[[#This Row],[Entradas]]-STOCK[[#This Row],[Salidas]]</f>
        <v>1</v>
      </c>
      <c r="M1035" s="76">
        <f>STOCK[[#This Row],[Precio Final]]*10%</f>
        <v>3</v>
      </c>
      <c r="N1035" s="76">
        <v>0</v>
      </c>
      <c r="O1035" s="76">
        <v>0</v>
      </c>
      <c r="P1035" s="76">
        <v>6.45</v>
      </c>
      <c r="Q1035" s="91">
        <v>0</v>
      </c>
      <c r="R1035" s="76">
        <v>0</v>
      </c>
      <c r="S1035" s="76">
        <v>0.6</v>
      </c>
      <c r="T1035" s="76">
        <f>STOCK[[#This Row],[Costo Unitario (USD)]]+STOCK[[#This Row],[Costo Envío (USD)]]+STOCK[[#This Row],[Comisión 10%]]</f>
        <v>10.05</v>
      </c>
      <c r="U1035" s="76">
        <f>STOCK[[#This Row],[Costo total]]*1.5</f>
        <v>15.075</v>
      </c>
      <c r="V1035" s="76">
        <v>30</v>
      </c>
      <c r="W1035" s="76">
        <f>STOCK[[#This Row],[Precio Final]]-STOCK[[#This Row],[Costo total]]</f>
        <v>19.95</v>
      </c>
      <c r="X1035" s="76">
        <f>STOCK[[#This Row],[Ganancia Unitaria]]*STOCK[[#This Row],[Salidas]]</f>
        <v>19.95</v>
      </c>
      <c r="Y1035" s="76" t="s">
        <v>2138</v>
      </c>
      <c r="AA1035" s="76">
        <f>STOCK[[#This Row],[Costo total]]*STOCK[[#This Row],[Entradas]]</f>
        <v>20.1</v>
      </c>
      <c r="AB1035" s="76">
        <f>STOCK[[#This Row],[Stock Actual]]*STOCK[[#This Row],[Costo total]]</f>
        <v>10.05</v>
      </c>
    </row>
    <row r="1036" s="77" customFormat="1" ht="50" customHeight="1" spans="1:28">
      <c r="A1036" s="77" t="s">
        <v>2139</v>
      </c>
      <c r="B1036" s="6"/>
      <c r="C1036" s="77" t="s">
        <v>30</v>
      </c>
      <c r="D1036" s="77" t="s">
        <v>1210</v>
      </c>
      <c r="E1036" s="77" t="s">
        <v>2136</v>
      </c>
      <c r="F1036" s="77" t="s">
        <v>2140</v>
      </c>
      <c r="G1036" s="77" t="s">
        <v>1874</v>
      </c>
      <c r="H1036" s="77">
        <f>STOCK[[#This Row],[Precio Final]]</f>
        <v>30</v>
      </c>
      <c r="I1036" s="77">
        <f>STOCK[[#This Row],[Precio Venta Ideal (x1.5)]]</f>
        <v>15.075</v>
      </c>
      <c r="J1036" s="92">
        <v>2</v>
      </c>
      <c r="K1036" s="92">
        <f>SUMIFS(VENTAS[Cantidad],VENTAS[Código del producto Vendido],STOCK[[#This Row],[Code]])</f>
        <v>2</v>
      </c>
      <c r="L1036" s="92">
        <f>STOCK[[#This Row],[Entradas]]-STOCK[[#This Row],[Salidas]]</f>
        <v>0</v>
      </c>
      <c r="M1036" s="77">
        <f>STOCK[[#This Row],[Precio Final]]*10%</f>
        <v>3</v>
      </c>
      <c r="N1036" s="77">
        <v>0</v>
      </c>
      <c r="O1036" s="77">
        <v>0</v>
      </c>
      <c r="P1036" s="77">
        <v>6.45</v>
      </c>
      <c r="Q1036" s="92">
        <v>0</v>
      </c>
      <c r="R1036" s="77">
        <v>0</v>
      </c>
      <c r="S1036" s="77">
        <v>0.6</v>
      </c>
      <c r="T1036" s="76">
        <f>STOCK[[#This Row],[Costo Unitario (USD)]]+STOCK[[#This Row],[Costo Envío (USD)]]+STOCK[[#This Row],[Comisión 10%]]</f>
        <v>10.05</v>
      </c>
      <c r="U1036" s="77">
        <f>STOCK[[#This Row],[Costo total]]*1.5</f>
        <v>15.075</v>
      </c>
      <c r="V1036" s="77">
        <v>30</v>
      </c>
      <c r="W1036" s="77">
        <f>STOCK[[#This Row],[Precio Final]]-STOCK[[#This Row],[Costo total]]</f>
        <v>19.95</v>
      </c>
      <c r="X1036" s="77">
        <f>STOCK[[#This Row],[Ganancia Unitaria]]*STOCK[[#This Row],[Salidas]]</f>
        <v>39.9</v>
      </c>
      <c r="Y1036" s="77" t="s">
        <v>2141</v>
      </c>
      <c r="AA1036" s="77">
        <f>STOCK[[#This Row],[Costo total]]*STOCK[[#This Row],[Entradas]]</f>
        <v>20.1</v>
      </c>
      <c r="AB1036" s="77">
        <f>STOCK[[#This Row],[Stock Actual]]*STOCK[[#This Row],[Costo total]]</f>
        <v>0</v>
      </c>
    </row>
    <row r="1037" s="76" customFormat="1" ht="50" customHeight="1" spans="1:28">
      <c r="A1037" s="76" t="s">
        <v>2142</v>
      </c>
      <c r="B1037" s="6"/>
      <c r="C1037" s="76" t="s">
        <v>30</v>
      </c>
      <c r="D1037" s="76" t="s">
        <v>1210</v>
      </c>
      <c r="E1037" s="76" t="s">
        <v>2136</v>
      </c>
      <c r="F1037" s="76" t="s">
        <v>2143</v>
      </c>
      <c r="G1037" s="76" t="s">
        <v>1874</v>
      </c>
      <c r="H1037" s="76">
        <f>STOCK[[#This Row],[Precio Final]]</f>
        <v>30</v>
      </c>
      <c r="I1037" s="76">
        <f>STOCK[[#This Row],[Precio Venta Ideal (x1.5)]]</f>
        <v>15.075</v>
      </c>
      <c r="J1037" s="91">
        <v>2</v>
      </c>
      <c r="K1037" s="91">
        <f>SUMIFS(VENTAS[Cantidad],VENTAS[Código del producto Vendido],STOCK[[#This Row],[Code]])</f>
        <v>2</v>
      </c>
      <c r="L1037" s="91">
        <f>STOCK[[#This Row],[Entradas]]-STOCK[[#This Row],[Salidas]]</f>
        <v>0</v>
      </c>
      <c r="M1037" s="76">
        <f>STOCK[[#This Row],[Precio Final]]*10%</f>
        <v>3</v>
      </c>
      <c r="N1037" s="76">
        <v>0</v>
      </c>
      <c r="O1037" s="76">
        <v>0</v>
      </c>
      <c r="P1037" s="76">
        <v>6.45</v>
      </c>
      <c r="Q1037" s="91">
        <v>0</v>
      </c>
      <c r="R1037" s="76">
        <v>0</v>
      </c>
      <c r="S1037" s="76">
        <v>0.6</v>
      </c>
      <c r="T1037" s="76">
        <f>STOCK[[#This Row],[Costo Unitario (USD)]]+STOCK[[#This Row],[Costo Envío (USD)]]+STOCK[[#This Row],[Comisión 10%]]</f>
        <v>10.05</v>
      </c>
      <c r="U1037" s="76">
        <f>STOCK[[#This Row],[Costo total]]*1.5</f>
        <v>15.075</v>
      </c>
      <c r="V1037" s="76">
        <v>30</v>
      </c>
      <c r="W1037" s="76">
        <f>STOCK[[#This Row],[Precio Final]]-STOCK[[#This Row],[Costo total]]</f>
        <v>19.95</v>
      </c>
      <c r="X1037" s="76">
        <f>STOCK[[#This Row],[Ganancia Unitaria]]*STOCK[[#This Row],[Salidas]]</f>
        <v>39.9</v>
      </c>
      <c r="Y1037" s="76" t="s">
        <v>2144</v>
      </c>
      <c r="AA1037" s="76">
        <f>STOCK[[#This Row],[Costo total]]*STOCK[[#This Row],[Entradas]]</f>
        <v>20.1</v>
      </c>
      <c r="AB1037" s="76">
        <f>STOCK[[#This Row],[Stock Actual]]*STOCK[[#This Row],[Costo total]]</f>
        <v>0</v>
      </c>
    </row>
    <row r="1038" s="77" customFormat="1" ht="50" customHeight="1" spans="1:28">
      <c r="A1038" s="77" t="s">
        <v>2145</v>
      </c>
      <c r="B1038" s="6"/>
      <c r="C1038" s="77" t="s">
        <v>30</v>
      </c>
      <c r="D1038" s="77" t="s">
        <v>36</v>
      </c>
      <c r="E1038" s="77" t="s">
        <v>2146</v>
      </c>
      <c r="F1038" s="77" t="s">
        <v>44</v>
      </c>
      <c r="G1038" s="77" t="s">
        <v>1874</v>
      </c>
      <c r="H1038" s="77">
        <f>STOCK[[#This Row],[Precio Final]]</f>
        <v>25</v>
      </c>
      <c r="I1038" s="77">
        <f>STOCK[[#This Row],[Precio Venta Ideal (x1.5)]]</f>
        <v>18.255</v>
      </c>
      <c r="J1038" s="92">
        <v>1</v>
      </c>
      <c r="K1038" s="92">
        <f>SUMIFS(VENTAS[Cantidad],VENTAS[Código del producto Vendido],STOCK[[#This Row],[Code]])</f>
        <v>1</v>
      </c>
      <c r="L1038" s="92">
        <f>STOCK[[#This Row],[Entradas]]-STOCK[[#This Row],[Salidas]]</f>
        <v>0</v>
      </c>
      <c r="M1038" s="77">
        <f>STOCK[[#This Row],[Precio Final]]*10%</f>
        <v>2.5</v>
      </c>
      <c r="N1038" s="77">
        <v>0</v>
      </c>
      <c r="O1038" s="77">
        <v>0</v>
      </c>
      <c r="P1038" s="77">
        <v>9.07</v>
      </c>
      <c r="Q1038" s="92">
        <v>0</v>
      </c>
      <c r="R1038" s="77">
        <v>0</v>
      </c>
      <c r="S1038" s="77">
        <v>0.6</v>
      </c>
      <c r="T1038" s="76">
        <f>STOCK[[#This Row],[Costo Unitario (USD)]]+STOCK[[#This Row],[Costo Envío (USD)]]+STOCK[[#This Row],[Comisión 10%]]</f>
        <v>12.17</v>
      </c>
      <c r="U1038" s="77">
        <f>STOCK[[#This Row],[Costo total]]*1.5</f>
        <v>18.255</v>
      </c>
      <c r="V1038" s="77">
        <v>25</v>
      </c>
      <c r="W1038" s="77">
        <f>STOCK[[#This Row],[Precio Final]]-STOCK[[#This Row],[Costo total]]</f>
        <v>12.83</v>
      </c>
      <c r="X1038" s="77">
        <f>STOCK[[#This Row],[Ganancia Unitaria]]*STOCK[[#This Row],[Salidas]]</f>
        <v>12.83</v>
      </c>
      <c r="Y1038" s="77" t="s">
        <v>2147</v>
      </c>
      <c r="AA1038" s="77">
        <f>STOCK[[#This Row],[Costo total]]*STOCK[[#This Row],[Entradas]]</f>
        <v>12.17</v>
      </c>
      <c r="AB1038" s="77">
        <f>STOCK[[#This Row],[Stock Actual]]*STOCK[[#This Row],[Costo total]]</f>
        <v>0</v>
      </c>
    </row>
    <row r="1039" s="76" customFormat="1" ht="50" customHeight="1" spans="1:28">
      <c r="A1039" s="76" t="s">
        <v>2148</v>
      </c>
      <c r="B1039" s="6"/>
      <c r="C1039" s="76" t="s">
        <v>30</v>
      </c>
      <c r="D1039" s="77" t="s">
        <v>36</v>
      </c>
      <c r="E1039" s="76" t="s">
        <v>2146</v>
      </c>
      <c r="F1039" s="76" t="s">
        <v>47</v>
      </c>
      <c r="G1039" s="76" t="s">
        <v>1874</v>
      </c>
      <c r="H1039" s="76">
        <f>STOCK[[#This Row],[Precio Final]]</f>
        <v>25</v>
      </c>
      <c r="I1039" s="76">
        <f>STOCK[[#This Row],[Precio Venta Ideal (x1.5)]]</f>
        <v>18.255</v>
      </c>
      <c r="J1039" s="91">
        <v>1</v>
      </c>
      <c r="K1039" s="91">
        <f>SUMIFS(VENTAS[Cantidad],VENTAS[Código del producto Vendido],STOCK[[#This Row],[Code]])</f>
        <v>1</v>
      </c>
      <c r="L1039" s="91">
        <f>STOCK[[#This Row],[Entradas]]-STOCK[[#This Row],[Salidas]]</f>
        <v>0</v>
      </c>
      <c r="M1039" s="76">
        <f>STOCK[[#This Row],[Precio Final]]*10%</f>
        <v>2.5</v>
      </c>
      <c r="N1039" s="76">
        <v>0</v>
      </c>
      <c r="O1039" s="76">
        <v>0</v>
      </c>
      <c r="P1039" s="76">
        <v>9.07</v>
      </c>
      <c r="Q1039" s="91">
        <v>0</v>
      </c>
      <c r="R1039" s="76">
        <v>0</v>
      </c>
      <c r="S1039" s="76">
        <v>0.6</v>
      </c>
      <c r="T1039" s="76">
        <f>STOCK[[#This Row],[Costo Unitario (USD)]]+STOCK[[#This Row],[Costo Envío (USD)]]+STOCK[[#This Row],[Comisión 10%]]</f>
        <v>12.17</v>
      </c>
      <c r="U1039" s="76">
        <f>STOCK[[#This Row],[Costo total]]*1.5</f>
        <v>18.255</v>
      </c>
      <c r="V1039" s="76">
        <v>25</v>
      </c>
      <c r="W1039" s="76">
        <f>STOCK[[#This Row],[Precio Final]]-STOCK[[#This Row],[Costo total]]</f>
        <v>12.83</v>
      </c>
      <c r="X1039" s="76">
        <f>STOCK[[#This Row],[Ganancia Unitaria]]*STOCK[[#This Row],[Salidas]]</f>
        <v>12.83</v>
      </c>
      <c r="Y1039" s="76" t="s">
        <v>2149</v>
      </c>
      <c r="AA1039" s="76">
        <f>STOCK[[#This Row],[Costo total]]*STOCK[[#This Row],[Entradas]]</f>
        <v>12.17</v>
      </c>
      <c r="AB1039" s="76">
        <f>STOCK[[#This Row],[Stock Actual]]*STOCK[[#This Row],[Costo total]]</f>
        <v>0</v>
      </c>
    </row>
    <row r="1040" s="77" customFormat="1" ht="50" customHeight="1" spans="1:28">
      <c r="A1040" s="77" t="s">
        <v>2150</v>
      </c>
      <c r="B1040" s="6"/>
      <c r="C1040" s="77" t="s">
        <v>30</v>
      </c>
      <c r="D1040" s="77" t="s">
        <v>36</v>
      </c>
      <c r="E1040" s="77" t="s">
        <v>2146</v>
      </c>
      <c r="F1040" s="77" t="s">
        <v>60</v>
      </c>
      <c r="G1040" s="77" t="s">
        <v>1874</v>
      </c>
      <c r="H1040" s="77">
        <f>STOCK[[#This Row],[Precio Final]]</f>
        <v>25</v>
      </c>
      <c r="I1040" s="77">
        <f>STOCK[[#This Row],[Precio Venta Ideal (x1.5)]]</f>
        <v>18.255</v>
      </c>
      <c r="J1040" s="92">
        <v>1</v>
      </c>
      <c r="K1040" s="92">
        <f>SUMIFS(VENTAS[Cantidad],VENTAS[Código del producto Vendido],STOCK[[#This Row],[Code]])</f>
        <v>1</v>
      </c>
      <c r="L1040" s="92">
        <f>STOCK[[#This Row],[Entradas]]-STOCK[[#This Row],[Salidas]]</f>
        <v>0</v>
      </c>
      <c r="M1040" s="77">
        <f>STOCK[[#This Row],[Precio Final]]*10%</f>
        <v>2.5</v>
      </c>
      <c r="N1040" s="77">
        <v>0</v>
      </c>
      <c r="O1040" s="77">
        <v>0</v>
      </c>
      <c r="P1040" s="77">
        <v>9.07</v>
      </c>
      <c r="Q1040" s="92">
        <v>0</v>
      </c>
      <c r="R1040" s="77">
        <v>0</v>
      </c>
      <c r="S1040" s="77">
        <v>0.6</v>
      </c>
      <c r="T1040" s="76">
        <f>STOCK[[#This Row],[Costo Unitario (USD)]]+STOCK[[#This Row],[Costo Envío (USD)]]+STOCK[[#This Row],[Comisión 10%]]</f>
        <v>12.17</v>
      </c>
      <c r="U1040" s="77">
        <f>STOCK[[#This Row],[Costo total]]*1.5</f>
        <v>18.255</v>
      </c>
      <c r="V1040" s="77">
        <v>25</v>
      </c>
      <c r="W1040" s="77">
        <f>STOCK[[#This Row],[Precio Final]]-STOCK[[#This Row],[Costo total]]</f>
        <v>12.83</v>
      </c>
      <c r="X1040" s="77">
        <f>STOCK[[#This Row],[Ganancia Unitaria]]*STOCK[[#This Row],[Salidas]]</f>
        <v>12.83</v>
      </c>
      <c r="Y1040" s="77" t="s">
        <v>2151</v>
      </c>
      <c r="AA1040" s="77">
        <f>STOCK[[#This Row],[Costo total]]*STOCK[[#This Row],[Entradas]]</f>
        <v>12.17</v>
      </c>
      <c r="AB1040" s="77">
        <f>STOCK[[#This Row],[Stock Actual]]*STOCK[[#This Row],[Costo total]]</f>
        <v>0</v>
      </c>
    </row>
    <row r="1041" s="76" customFormat="1" ht="50" customHeight="1" spans="1:28">
      <c r="A1041" s="76" t="s">
        <v>2152</v>
      </c>
      <c r="B1041" s="6"/>
      <c r="C1041" s="76" t="s">
        <v>30</v>
      </c>
      <c r="D1041" s="76" t="s">
        <v>2125</v>
      </c>
      <c r="E1041" s="76" t="s">
        <v>2153</v>
      </c>
      <c r="F1041" s="76" t="s">
        <v>60</v>
      </c>
      <c r="G1041" s="76" t="s">
        <v>1874</v>
      </c>
      <c r="H1041" s="76">
        <f>STOCK[[#This Row],[Precio Final]]</f>
        <v>25</v>
      </c>
      <c r="I1041" s="76">
        <f>STOCK[[#This Row],[Precio Venta Ideal (x1.5)]]</f>
        <v>15.705</v>
      </c>
      <c r="J1041" s="91">
        <v>1</v>
      </c>
      <c r="K1041" s="91">
        <f>SUMIFS(VENTAS[Cantidad],VENTAS[Código del producto Vendido],STOCK[[#This Row],[Code]])</f>
        <v>0</v>
      </c>
      <c r="L1041" s="91">
        <f>STOCK[[#This Row],[Entradas]]-STOCK[[#This Row],[Salidas]]</f>
        <v>1</v>
      </c>
      <c r="M1041" s="76">
        <f>STOCK[[#This Row],[Precio Final]]*10%</f>
        <v>2.5</v>
      </c>
      <c r="N1041" s="76">
        <v>0</v>
      </c>
      <c r="O1041" s="76">
        <v>0</v>
      </c>
      <c r="P1041" s="76">
        <v>7.37</v>
      </c>
      <c r="Q1041" s="91">
        <v>0</v>
      </c>
      <c r="R1041" s="76">
        <v>0</v>
      </c>
      <c r="S1041" s="76">
        <v>0.6</v>
      </c>
      <c r="T1041" s="76">
        <f>STOCK[[#This Row],[Costo Unitario (USD)]]+STOCK[[#This Row],[Costo Envío (USD)]]+STOCK[[#This Row],[Comisión 10%]]</f>
        <v>10.47</v>
      </c>
      <c r="U1041" s="76">
        <f>STOCK[[#This Row],[Costo total]]*1.5</f>
        <v>15.705</v>
      </c>
      <c r="V1041" s="76">
        <v>25</v>
      </c>
      <c r="W1041" s="76">
        <f>STOCK[[#This Row],[Precio Final]]-STOCK[[#This Row],[Costo total]]</f>
        <v>14.53</v>
      </c>
      <c r="X1041" s="76">
        <f>STOCK[[#This Row],[Ganancia Unitaria]]*STOCK[[#This Row],[Salidas]]</f>
        <v>0</v>
      </c>
      <c r="Y1041" s="76" t="s">
        <v>2154</v>
      </c>
      <c r="AA1041" s="76">
        <f>STOCK[[#This Row],[Costo total]]*STOCK[[#This Row],[Entradas]]</f>
        <v>10.47</v>
      </c>
      <c r="AB1041" s="76">
        <f>STOCK[[#This Row],[Stock Actual]]*STOCK[[#This Row],[Costo total]]</f>
        <v>10.47</v>
      </c>
    </row>
    <row r="1042" s="77" customFormat="1" ht="50" customHeight="1" spans="1:28">
      <c r="A1042" s="77" t="s">
        <v>2155</v>
      </c>
      <c r="B1042" s="6"/>
      <c r="C1042" s="77" t="s">
        <v>30</v>
      </c>
      <c r="D1042" s="77" t="s">
        <v>36</v>
      </c>
      <c r="E1042" s="77" t="s">
        <v>2156</v>
      </c>
      <c r="F1042" s="77" t="s">
        <v>44</v>
      </c>
      <c r="G1042" s="77" t="s">
        <v>1874</v>
      </c>
      <c r="H1042" s="77">
        <f>STOCK[[#This Row],[Precio Final]]</f>
        <v>25</v>
      </c>
      <c r="I1042" s="77">
        <f>STOCK[[#This Row],[Precio Venta Ideal (x1.5)]]</f>
        <v>19.395</v>
      </c>
      <c r="J1042" s="92">
        <v>1</v>
      </c>
      <c r="K1042" s="92">
        <f>SUMIFS(VENTAS[Cantidad],VENTAS[Código del producto Vendido],STOCK[[#This Row],[Code]])</f>
        <v>1</v>
      </c>
      <c r="L1042" s="92">
        <f>STOCK[[#This Row],[Entradas]]-STOCK[[#This Row],[Salidas]]</f>
        <v>0</v>
      </c>
      <c r="M1042" s="77">
        <f>STOCK[[#This Row],[Precio Final]]*10%</f>
        <v>2.5</v>
      </c>
      <c r="N1042" s="77">
        <v>0</v>
      </c>
      <c r="O1042" s="77">
        <v>0</v>
      </c>
      <c r="P1042" s="77">
        <v>9.83</v>
      </c>
      <c r="Q1042" s="92">
        <v>0</v>
      </c>
      <c r="R1042" s="77">
        <v>0</v>
      </c>
      <c r="S1042" s="77">
        <v>0.6</v>
      </c>
      <c r="T1042" s="76">
        <f>STOCK[[#This Row],[Costo Unitario (USD)]]+STOCK[[#This Row],[Costo Envío (USD)]]+STOCK[[#This Row],[Comisión 10%]]</f>
        <v>12.93</v>
      </c>
      <c r="U1042" s="77">
        <f>STOCK[[#This Row],[Costo total]]*1.5</f>
        <v>19.395</v>
      </c>
      <c r="V1042" s="77">
        <v>25</v>
      </c>
      <c r="W1042" s="77">
        <f>STOCK[[#This Row],[Precio Final]]-STOCK[[#This Row],[Costo total]]</f>
        <v>12.07</v>
      </c>
      <c r="X1042" s="77">
        <f>STOCK[[#This Row],[Ganancia Unitaria]]*STOCK[[#This Row],[Salidas]]</f>
        <v>12.07</v>
      </c>
      <c r="Y1042" s="77" t="s">
        <v>2157</v>
      </c>
      <c r="AA1042" s="77">
        <f>STOCK[[#This Row],[Costo total]]*STOCK[[#This Row],[Entradas]]</f>
        <v>12.93</v>
      </c>
      <c r="AB1042" s="77">
        <f>STOCK[[#This Row],[Stock Actual]]*STOCK[[#This Row],[Costo total]]</f>
        <v>0</v>
      </c>
    </row>
    <row r="1043" s="76" customFormat="1" ht="50" customHeight="1" spans="1:28">
      <c r="A1043" s="76" t="s">
        <v>2158</v>
      </c>
      <c r="B1043" s="6"/>
      <c r="C1043" s="76" t="s">
        <v>30</v>
      </c>
      <c r="D1043" s="77" t="s">
        <v>36</v>
      </c>
      <c r="E1043" s="76" t="s">
        <v>2156</v>
      </c>
      <c r="F1043" s="76" t="s">
        <v>47</v>
      </c>
      <c r="G1043" s="76" t="s">
        <v>1874</v>
      </c>
      <c r="H1043" s="76">
        <f>STOCK[[#This Row],[Precio Final]]</f>
        <v>25</v>
      </c>
      <c r="I1043" s="76">
        <f>STOCK[[#This Row],[Precio Venta Ideal (x1.5)]]</f>
        <v>19.395</v>
      </c>
      <c r="J1043" s="91">
        <v>1</v>
      </c>
      <c r="K1043" s="91">
        <f>SUMIFS(VENTAS[Cantidad],VENTAS[Código del producto Vendido],STOCK[[#This Row],[Code]])</f>
        <v>1</v>
      </c>
      <c r="L1043" s="91">
        <f>STOCK[[#This Row],[Entradas]]-STOCK[[#This Row],[Salidas]]</f>
        <v>0</v>
      </c>
      <c r="M1043" s="76">
        <f>STOCK[[#This Row],[Precio Final]]*10%</f>
        <v>2.5</v>
      </c>
      <c r="N1043" s="76">
        <v>0</v>
      </c>
      <c r="O1043" s="76">
        <v>0</v>
      </c>
      <c r="P1043" s="76">
        <v>9.83</v>
      </c>
      <c r="Q1043" s="91">
        <v>0</v>
      </c>
      <c r="R1043" s="76">
        <v>0</v>
      </c>
      <c r="S1043" s="76">
        <v>0.6</v>
      </c>
      <c r="T1043" s="76">
        <f>STOCK[[#This Row],[Costo Unitario (USD)]]+STOCK[[#This Row],[Costo Envío (USD)]]+STOCK[[#This Row],[Comisión 10%]]</f>
        <v>12.93</v>
      </c>
      <c r="U1043" s="76">
        <f>STOCK[[#This Row],[Costo total]]*1.5</f>
        <v>19.395</v>
      </c>
      <c r="V1043" s="76">
        <v>25</v>
      </c>
      <c r="W1043" s="76">
        <f>STOCK[[#This Row],[Precio Final]]-STOCK[[#This Row],[Costo total]]</f>
        <v>12.07</v>
      </c>
      <c r="X1043" s="76">
        <f>STOCK[[#This Row],[Ganancia Unitaria]]*STOCK[[#This Row],[Salidas]]</f>
        <v>12.07</v>
      </c>
      <c r="Y1043" s="76" t="s">
        <v>2159</v>
      </c>
      <c r="AA1043" s="76">
        <f>STOCK[[#This Row],[Costo total]]*STOCK[[#This Row],[Entradas]]</f>
        <v>12.93</v>
      </c>
      <c r="AB1043" s="76">
        <f>STOCK[[#This Row],[Stock Actual]]*STOCK[[#This Row],[Costo total]]</f>
        <v>0</v>
      </c>
    </row>
    <row r="1044" s="77" customFormat="1" ht="50" customHeight="1" spans="1:28">
      <c r="A1044" s="77" t="s">
        <v>2160</v>
      </c>
      <c r="B1044" s="6"/>
      <c r="C1044" s="77" t="s">
        <v>30</v>
      </c>
      <c r="D1044" s="77" t="s">
        <v>2125</v>
      </c>
      <c r="E1044" s="77" t="s">
        <v>2161</v>
      </c>
      <c r="F1044" s="77" t="s">
        <v>44</v>
      </c>
      <c r="G1044" s="77" t="s">
        <v>1874</v>
      </c>
      <c r="H1044" s="77">
        <f>STOCK[[#This Row],[Precio Final]]</f>
        <v>20</v>
      </c>
      <c r="I1044" s="77">
        <f>STOCK[[#This Row],[Precio Venta Ideal (x1.5)]]</f>
        <v>15.36</v>
      </c>
      <c r="J1044" s="92">
        <v>2</v>
      </c>
      <c r="K1044" s="92">
        <f>SUMIFS(VENTAS[Cantidad],VENTAS[Código del producto Vendido],STOCK[[#This Row],[Code]])</f>
        <v>2</v>
      </c>
      <c r="L1044" s="92">
        <f>STOCK[[#This Row],[Entradas]]-STOCK[[#This Row],[Salidas]]</f>
        <v>0</v>
      </c>
      <c r="M1044" s="77">
        <f>STOCK[[#This Row],[Precio Final]]*10%</f>
        <v>2</v>
      </c>
      <c r="N1044" s="77">
        <v>0</v>
      </c>
      <c r="O1044" s="77">
        <v>0</v>
      </c>
      <c r="P1044" s="77">
        <v>7.64</v>
      </c>
      <c r="Q1044" s="92">
        <v>0</v>
      </c>
      <c r="R1044" s="77">
        <v>0</v>
      </c>
      <c r="S1044" s="77">
        <v>0.6</v>
      </c>
      <c r="T1044" s="76">
        <f>STOCK[[#This Row],[Costo Unitario (USD)]]+STOCK[[#This Row],[Costo Envío (USD)]]+STOCK[[#This Row],[Comisión 10%]]</f>
        <v>10.24</v>
      </c>
      <c r="U1044" s="77">
        <f>STOCK[[#This Row],[Costo total]]*1.5</f>
        <v>15.36</v>
      </c>
      <c r="V1044" s="77">
        <v>20</v>
      </c>
      <c r="W1044" s="77">
        <f>STOCK[[#This Row],[Precio Final]]-STOCK[[#This Row],[Costo total]]</f>
        <v>9.76</v>
      </c>
      <c r="X1044" s="77">
        <f>STOCK[[#This Row],[Ganancia Unitaria]]*STOCK[[#This Row],[Salidas]]</f>
        <v>19.52</v>
      </c>
      <c r="Y1044" s="77" t="s">
        <v>2162</v>
      </c>
      <c r="AA1044" s="77">
        <f>STOCK[[#This Row],[Costo total]]*STOCK[[#This Row],[Entradas]]</f>
        <v>20.48</v>
      </c>
      <c r="AB1044" s="77">
        <f>STOCK[[#This Row],[Stock Actual]]*STOCK[[#This Row],[Costo total]]</f>
        <v>0</v>
      </c>
    </row>
    <row r="1045" s="76" customFormat="1" ht="50" customHeight="1" spans="1:28">
      <c r="A1045" s="76" t="s">
        <v>2163</v>
      </c>
      <c r="B1045" s="6"/>
      <c r="C1045" s="76" t="s">
        <v>30</v>
      </c>
      <c r="D1045" s="76" t="s">
        <v>2125</v>
      </c>
      <c r="E1045" s="76" t="s">
        <v>2161</v>
      </c>
      <c r="F1045" s="76" t="s">
        <v>47</v>
      </c>
      <c r="G1045" s="76" t="s">
        <v>1874</v>
      </c>
      <c r="H1045" s="76">
        <f>STOCK[[#This Row],[Precio Final]]</f>
        <v>20</v>
      </c>
      <c r="I1045" s="76">
        <f>STOCK[[#This Row],[Precio Venta Ideal (x1.5)]]</f>
        <v>15.36</v>
      </c>
      <c r="J1045" s="91">
        <v>2</v>
      </c>
      <c r="K1045" s="91">
        <f>SUMIFS(VENTAS[Cantidad],VENTAS[Código del producto Vendido],STOCK[[#This Row],[Code]])</f>
        <v>2</v>
      </c>
      <c r="L1045" s="91">
        <f>STOCK[[#This Row],[Entradas]]-STOCK[[#This Row],[Salidas]]</f>
        <v>0</v>
      </c>
      <c r="M1045" s="76">
        <f>STOCK[[#This Row],[Precio Final]]*10%</f>
        <v>2</v>
      </c>
      <c r="N1045" s="76">
        <v>0</v>
      </c>
      <c r="O1045" s="76">
        <v>0</v>
      </c>
      <c r="P1045" s="76">
        <v>7.64</v>
      </c>
      <c r="Q1045" s="91">
        <v>0</v>
      </c>
      <c r="R1045" s="76">
        <v>0</v>
      </c>
      <c r="S1045" s="76">
        <v>0.6</v>
      </c>
      <c r="T1045" s="76">
        <f>STOCK[[#This Row],[Costo Unitario (USD)]]+STOCK[[#This Row],[Costo Envío (USD)]]+STOCK[[#This Row],[Comisión 10%]]</f>
        <v>10.24</v>
      </c>
      <c r="U1045" s="76">
        <f>STOCK[[#This Row],[Costo total]]*1.5</f>
        <v>15.36</v>
      </c>
      <c r="V1045" s="76">
        <v>20</v>
      </c>
      <c r="W1045" s="76">
        <f>STOCK[[#This Row],[Precio Final]]-STOCK[[#This Row],[Costo total]]</f>
        <v>9.76</v>
      </c>
      <c r="X1045" s="76">
        <f>STOCK[[#This Row],[Ganancia Unitaria]]*STOCK[[#This Row],[Salidas]]</f>
        <v>19.52</v>
      </c>
      <c r="Y1045" s="76" t="s">
        <v>2164</v>
      </c>
      <c r="AA1045" s="76">
        <f>STOCK[[#This Row],[Costo total]]*STOCK[[#This Row],[Entradas]]</f>
        <v>20.48</v>
      </c>
      <c r="AB1045" s="76">
        <f>STOCK[[#This Row],[Stock Actual]]*STOCK[[#This Row],[Costo total]]</f>
        <v>0</v>
      </c>
    </row>
    <row r="1046" s="77" customFormat="1" ht="50" customHeight="1" spans="1:28">
      <c r="A1046" s="77" t="s">
        <v>2165</v>
      </c>
      <c r="B1046" s="6"/>
      <c r="C1046" s="77" t="s">
        <v>30</v>
      </c>
      <c r="D1046" s="77" t="s">
        <v>2125</v>
      </c>
      <c r="E1046" s="77" t="s">
        <v>2161</v>
      </c>
      <c r="F1046" s="77" t="s">
        <v>60</v>
      </c>
      <c r="G1046" s="77" t="s">
        <v>1874</v>
      </c>
      <c r="H1046" s="77">
        <f>STOCK[[#This Row],[Precio Final]]</f>
        <v>20</v>
      </c>
      <c r="I1046" s="77">
        <f>STOCK[[#This Row],[Precio Venta Ideal (x1.5)]]</f>
        <v>15.36</v>
      </c>
      <c r="J1046" s="92">
        <v>2</v>
      </c>
      <c r="K1046" s="92">
        <f>SUMIFS(VENTAS[Cantidad],VENTAS[Código del producto Vendido],STOCK[[#This Row],[Code]])</f>
        <v>2</v>
      </c>
      <c r="L1046" s="92">
        <f>STOCK[[#This Row],[Entradas]]-STOCK[[#This Row],[Salidas]]</f>
        <v>0</v>
      </c>
      <c r="M1046" s="77">
        <f>STOCK[[#This Row],[Precio Final]]*10%</f>
        <v>2</v>
      </c>
      <c r="N1046" s="77">
        <v>0</v>
      </c>
      <c r="O1046" s="77">
        <v>0</v>
      </c>
      <c r="P1046" s="77">
        <v>7.64</v>
      </c>
      <c r="Q1046" s="92">
        <v>0</v>
      </c>
      <c r="R1046" s="77">
        <v>0</v>
      </c>
      <c r="S1046" s="77">
        <v>0.6</v>
      </c>
      <c r="T1046" s="76">
        <f>STOCK[[#This Row],[Costo Unitario (USD)]]+STOCK[[#This Row],[Costo Envío (USD)]]+STOCK[[#This Row],[Comisión 10%]]</f>
        <v>10.24</v>
      </c>
      <c r="U1046" s="77">
        <f>STOCK[[#This Row],[Costo total]]*1.5</f>
        <v>15.36</v>
      </c>
      <c r="V1046" s="77">
        <v>20</v>
      </c>
      <c r="W1046" s="77">
        <f>STOCK[[#This Row],[Precio Final]]-STOCK[[#This Row],[Costo total]]</f>
        <v>9.76</v>
      </c>
      <c r="X1046" s="77">
        <f>STOCK[[#This Row],[Ganancia Unitaria]]*STOCK[[#This Row],[Salidas]]</f>
        <v>19.52</v>
      </c>
      <c r="Y1046" s="77" t="s">
        <v>2166</v>
      </c>
      <c r="AA1046" s="77">
        <f>STOCK[[#This Row],[Costo total]]*STOCK[[#This Row],[Entradas]]</f>
        <v>20.48</v>
      </c>
      <c r="AB1046" s="77">
        <f>STOCK[[#This Row],[Stock Actual]]*STOCK[[#This Row],[Costo total]]</f>
        <v>0</v>
      </c>
    </row>
    <row r="1047" s="76" customFormat="1" ht="50" customHeight="1" spans="1:28">
      <c r="A1047" s="76" t="s">
        <v>2167</v>
      </c>
      <c r="B1047" s="6"/>
      <c r="C1047" s="76" t="s">
        <v>30</v>
      </c>
      <c r="D1047" s="76" t="s">
        <v>2125</v>
      </c>
      <c r="E1047" s="76" t="s">
        <v>2168</v>
      </c>
      <c r="F1047" s="76" t="s">
        <v>44</v>
      </c>
      <c r="G1047" s="76" t="s">
        <v>1874</v>
      </c>
      <c r="H1047" s="76">
        <f>STOCK[[#This Row],[Precio Final]]</f>
        <v>18</v>
      </c>
      <c r="I1047" s="76">
        <f>STOCK[[#This Row],[Precio Venta Ideal (x1.5)]]</f>
        <v>11.865</v>
      </c>
      <c r="J1047" s="91">
        <v>2</v>
      </c>
      <c r="K1047" s="91">
        <f>SUMIFS(VENTAS[Cantidad],VENTAS[Código del producto Vendido],STOCK[[#This Row],[Code]])</f>
        <v>1</v>
      </c>
      <c r="L1047" s="91">
        <f>STOCK[[#This Row],[Entradas]]-STOCK[[#This Row],[Salidas]]</f>
        <v>1</v>
      </c>
      <c r="M1047" s="76">
        <f>STOCK[[#This Row],[Precio Final]]*10%</f>
        <v>1.8</v>
      </c>
      <c r="N1047" s="76">
        <v>0</v>
      </c>
      <c r="O1047" s="76">
        <v>0</v>
      </c>
      <c r="P1047" s="76">
        <v>5.51</v>
      </c>
      <c r="Q1047" s="91">
        <v>0</v>
      </c>
      <c r="R1047" s="76">
        <v>0</v>
      </c>
      <c r="S1047" s="76">
        <v>0.6</v>
      </c>
      <c r="T1047" s="76">
        <f>STOCK[[#This Row],[Costo Unitario (USD)]]+STOCK[[#This Row],[Costo Envío (USD)]]+STOCK[[#This Row],[Comisión 10%]]</f>
        <v>7.91</v>
      </c>
      <c r="U1047" s="76">
        <f>STOCK[[#This Row],[Costo total]]*1.5</f>
        <v>11.865</v>
      </c>
      <c r="V1047" s="76">
        <v>18</v>
      </c>
      <c r="W1047" s="76">
        <f>STOCK[[#This Row],[Precio Final]]-STOCK[[#This Row],[Costo total]]</f>
        <v>10.09</v>
      </c>
      <c r="X1047" s="76">
        <f>STOCK[[#This Row],[Ganancia Unitaria]]*STOCK[[#This Row],[Salidas]]</f>
        <v>10.09</v>
      </c>
      <c r="Y1047" s="76" t="s">
        <v>2169</v>
      </c>
      <c r="AA1047" s="76">
        <f>STOCK[[#This Row],[Costo total]]*STOCK[[#This Row],[Entradas]]</f>
        <v>15.82</v>
      </c>
      <c r="AB1047" s="76">
        <f>STOCK[[#This Row],[Stock Actual]]*STOCK[[#This Row],[Costo total]]</f>
        <v>7.91</v>
      </c>
    </row>
    <row r="1048" s="77" customFormat="1" ht="50" customHeight="1" spans="1:28">
      <c r="A1048" s="77" t="s">
        <v>2170</v>
      </c>
      <c r="B1048" s="6"/>
      <c r="C1048" s="77" t="s">
        <v>30</v>
      </c>
      <c r="D1048" s="77" t="s">
        <v>2125</v>
      </c>
      <c r="E1048" s="77" t="s">
        <v>2168</v>
      </c>
      <c r="F1048" s="77" t="s">
        <v>47</v>
      </c>
      <c r="G1048" s="77" t="s">
        <v>1874</v>
      </c>
      <c r="H1048" s="77">
        <f>STOCK[[#This Row],[Precio Final]]</f>
        <v>18</v>
      </c>
      <c r="I1048" s="77">
        <f>STOCK[[#This Row],[Precio Venta Ideal (x1.5)]]</f>
        <v>11.865</v>
      </c>
      <c r="J1048" s="92">
        <v>2</v>
      </c>
      <c r="K1048" s="92">
        <f>SUMIFS(VENTAS[Cantidad],VENTAS[Código del producto Vendido],STOCK[[#This Row],[Code]])</f>
        <v>2</v>
      </c>
      <c r="L1048" s="92">
        <f>STOCK[[#This Row],[Entradas]]-STOCK[[#This Row],[Salidas]]</f>
        <v>0</v>
      </c>
      <c r="M1048" s="77">
        <f>STOCK[[#This Row],[Precio Final]]*10%</f>
        <v>1.8</v>
      </c>
      <c r="N1048" s="77">
        <v>0</v>
      </c>
      <c r="O1048" s="77">
        <v>0</v>
      </c>
      <c r="P1048" s="77">
        <v>5.51</v>
      </c>
      <c r="Q1048" s="92">
        <v>0</v>
      </c>
      <c r="R1048" s="77">
        <v>0</v>
      </c>
      <c r="S1048" s="77">
        <v>0.6</v>
      </c>
      <c r="T1048" s="76">
        <f>STOCK[[#This Row],[Costo Unitario (USD)]]+STOCK[[#This Row],[Costo Envío (USD)]]+STOCK[[#This Row],[Comisión 10%]]</f>
        <v>7.91</v>
      </c>
      <c r="U1048" s="77">
        <f>STOCK[[#This Row],[Costo total]]*1.5</f>
        <v>11.865</v>
      </c>
      <c r="V1048" s="77">
        <v>18</v>
      </c>
      <c r="W1048" s="77">
        <f>STOCK[[#This Row],[Precio Final]]-STOCK[[#This Row],[Costo total]]</f>
        <v>10.09</v>
      </c>
      <c r="X1048" s="77">
        <f>STOCK[[#This Row],[Ganancia Unitaria]]*STOCK[[#This Row],[Salidas]]</f>
        <v>20.18</v>
      </c>
      <c r="Y1048" s="77" t="s">
        <v>2171</v>
      </c>
      <c r="AA1048" s="77">
        <f>STOCK[[#This Row],[Costo total]]*STOCK[[#This Row],[Entradas]]</f>
        <v>15.82</v>
      </c>
      <c r="AB1048" s="77">
        <f>STOCK[[#This Row],[Stock Actual]]*STOCK[[#This Row],[Costo total]]</f>
        <v>0</v>
      </c>
    </row>
    <row r="1049" s="76" customFormat="1" ht="50" customHeight="1" spans="1:28">
      <c r="A1049" s="76" t="s">
        <v>2172</v>
      </c>
      <c r="B1049" s="6"/>
      <c r="C1049" s="76" t="s">
        <v>30</v>
      </c>
      <c r="D1049" s="76" t="s">
        <v>2125</v>
      </c>
      <c r="E1049" s="76" t="s">
        <v>2168</v>
      </c>
      <c r="F1049" s="76" t="s">
        <v>60</v>
      </c>
      <c r="G1049" s="76" t="s">
        <v>1874</v>
      </c>
      <c r="H1049" s="76">
        <f>STOCK[[#This Row],[Precio Final]]</f>
        <v>18</v>
      </c>
      <c r="I1049" s="76">
        <f>STOCK[[#This Row],[Precio Venta Ideal (x1.5)]]</f>
        <v>11.865</v>
      </c>
      <c r="J1049" s="91">
        <v>2</v>
      </c>
      <c r="K1049" s="91">
        <f>SUMIFS(VENTAS[Cantidad],VENTAS[Código del producto Vendido],STOCK[[#This Row],[Code]])</f>
        <v>2</v>
      </c>
      <c r="L1049" s="91">
        <f>STOCK[[#This Row],[Entradas]]-STOCK[[#This Row],[Salidas]]</f>
        <v>0</v>
      </c>
      <c r="M1049" s="76">
        <f>STOCK[[#This Row],[Precio Final]]*10%</f>
        <v>1.8</v>
      </c>
      <c r="N1049" s="76">
        <v>0</v>
      </c>
      <c r="O1049" s="76">
        <v>0</v>
      </c>
      <c r="P1049" s="76">
        <v>5.51</v>
      </c>
      <c r="Q1049" s="91">
        <v>0</v>
      </c>
      <c r="R1049" s="76">
        <v>0</v>
      </c>
      <c r="S1049" s="76">
        <v>0.6</v>
      </c>
      <c r="T1049" s="76">
        <f>STOCK[[#This Row],[Costo Unitario (USD)]]+STOCK[[#This Row],[Costo Envío (USD)]]+STOCK[[#This Row],[Comisión 10%]]</f>
        <v>7.91</v>
      </c>
      <c r="U1049" s="76">
        <f>STOCK[[#This Row],[Costo total]]*1.5</f>
        <v>11.865</v>
      </c>
      <c r="V1049" s="76">
        <v>18</v>
      </c>
      <c r="W1049" s="76">
        <f>STOCK[[#This Row],[Precio Final]]-STOCK[[#This Row],[Costo total]]</f>
        <v>10.09</v>
      </c>
      <c r="X1049" s="76">
        <f>STOCK[[#This Row],[Ganancia Unitaria]]*STOCK[[#This Row],[Salidas]]</f>
        <v>20.18</v>
      </c>
      <c r="Y1049" s="76" t="s">
        <v>2173</v>
      </c>
      <c r="AA1049" s="76">
        <f>STOCK[[#This Row],[Costo total]]*STOCK[[#This Row],[Entradas]]</f>
        <v>15.82</v>
      </c>
      <c r="AB1049" s="76">
        <f>STOCK[[#This Row],[Stock Actual]]*STOCK[[#This Row],[Costo total]]</f>
        <v>0</v>
      </c>
    </row>
    <row r="1050" s="77" customFormat="1" ht="50" customHeight="1" spans="1:28">
      <c r="A1050" s="77" t="s">
        <v>2174</v>
      </c>
      <c r="B1050" s="6"/>
      <c r="C1050" s="77" t="s">
        <v>30</v>
      </c>
      <c r="D1050" s="77" t="s">
        <v>2125</v>
      </c>
      <c r="E1050" s="77" t="s">
        <v>2175</v>
      </c>
      <c r="F1050" s="77" t="s">
        <v>44</v>
      </c>
      <c r="G1050" s="77" t="s">
        <v>1874</v>
      </c>
      <c r="H1050" s="77">
        <f>STOCK[[#This Row],[Precio Final]]</f>
        <v>18</v>
      </c>
      <c r="I1050" s="77">
        <f>STOCK[[#This Row],[Precio Venta Ideal (x1.5)]]</f>
        <v>9.345</v>
      </c>
      <c r="J1050" s="92">
        <v>1</v>
      </c>
      <c r="K1050" s="92">
        <f>SUMIFS(VENTAS[Cantidad],VENTAS[Código del producto Vendido],STOCK[[#This Row],[Code]])</f>
        <v>1</v>
      </c>
      <c r="L1050" s="92">
        <f>STOCK[[#This Row],[Entradas]]-STOCK[[#This Row],[Salidas]]</f>
        <v>0</v>
      </c>
      <c r="M1050" s="77">
        <f>STOCK[[#This Row],[Precio Final]]*10%</f>
        <v>1.8</v>
      </c>
      <c r="N1050" s="77">
        <v>0</v>
      </c>
      <c r="O1050" s="77">
        <v>0</v>
      </c>
      <c r="P1050" s="77">
        <v>3.83</v>
      </c>
      <c r="Q1050" s="92">
        <v>0</v>
      </c>
      <c r="R1050" s="77">
        <v>0</v>
      </c>
      <c r="S1050" s="77">
        <v>0.6</v>
      </c>
      <c r="T1050" s="76">
        <f>STOCK[[#This Row],[Costo Unitario (USD)]]+STOCK[[#This Row],[Costo Envío (USD)]]+STOCK[[#This Row],[Comisión 10%]]</f>
        <v>6.23</v>
      </c>
      <c r="U1050" s="77">
        <f>STOCK[[#This Row],[Costo total]]*1.5</f>
        <v>9.345</v>
      </c>
      <c r="V1050" s="77">
        <v>18</v>
      </c>
      <c r="W1050" s="77">
        <f>STOCK[[#This Row],[Precio Final]]-STOCK[[#This Row],[Costo total]]</f>
        <v>11.77</v>
      </c>
      <c r="X1050" s="77">
        <f>STOCK[[#This Row],[Ganancia Unitaria]]*STOCK[[#This Row],[Salidas]]</f>
        <v>11.77</v>
      </c>
      <c r="Y1050" s="77" t="s">
        <v>2176</v>
      </c>
      <c r="AA1050" s="77">
        <f>STOCK[[#This Row],[Costo total]]*STOCK[[#This Row],[Entradas]]</f>
        <v>6.23</v>
      </c>
      <c r="AB1050" s="77">
        <f>STOCK[[#This Row],[Stock Actual]]*STOCK[[#This Row],[Costo total]]</f>
        <v>0</v>
      </c>
    </row>
    <row r="1051" s="76" customFormat="1" ht="50" customHeight="1" spans="1:28">
      <c r="A1051" s="76" t="s">
        <v>2177</v>
      </c>
      <c r="B1051" s="6"/>
      <c r="C1051" s="76" t="s">
        <v>30</v>
      </c>
      <c r="D1051" s="77" t="s">
        <v>36</v>
      </c>
      <c r="E1051" s="76" t="s">
        <v>2178</v>
      </c>
      <c r="F1051" s="76" t="s">
        <v>44</v>
      </c>
      <c r="G1051" s="76" t="s">
        <v>1874</v>
      </c>
      <c r="H1051" s="76">
        <f>STOCK[[#This Row],[Precio Final]]</f>
        <v>20</v>
      </c>
      <c r="I1051" s="76">
        <f>STOCK[[#This Row],[Precio Venta Ideal (x1.5)]]</f>
        <v>12.93</v>
      </c>
      <c r="J1051" s="91">
        <v>1</v>
      </c>
      <c r="K1051" s="91">
        <f>SUMIFS(VENTAS[Cantidad],VENTAS[Código del producto Vendido],STOCK[[#This Row],[Code]])</f>
        <v>1</v>
      </c>
      <c r="L1051" s="91">
        <f>STOCK[[#This Row],[Entradas]]-STOCK[[#This Row],[Salidas]]</f>
        <v>0</v>
      </c>
      <c r="M1051" s="76">
        <f>STOCK[[#This Row],[Precio Final]]*10%</f>
        <v>2</v>
      </c>
      <c r="N1051" s="76">
        <v>0</v>
      </c>
      <c r="O1051" s="76">
        <v>0</v>
      </c>
      <c r="P1051" s="76">
        <v>6.02</v>
      </c>
      <c r="Q1051" s="91">
        <v>0</v>
      </c>
      <c r="R1051" s="76">
        <v>0</v>
      </c>
      <c r="S1051" s="76">
        <v>0.6</v>
      </c>
      <c r="T1051" s="76">
        <f>STOCK[[#This Row],[Costo Unitario (USD)]]+STOCK[[#This Row],[Costo Envío (USD)]]+STOCK[[#This Row],[Comisión 10%]]</f>
        <v>8.62</v>
      </c>
      <c r="U1051" s="76">
        <f>STOCK[[#This Row],[Costo total]]*1.5</f>
        <v>12.93</v>
      </c>
      <c r="V1051" s="76">
        <v>20</v>
      </c>
      <c r="W1051" s="76">
        <f>STOCK[[#This Row],[Precio Final]]-STOCK[[#This Row],[Costo total]]</f>
        <v>11.38</v>
      </c>
      <c r="X1051" s="76">
        <f>STOCK[[#This Row],[Ganancia Unitaria]]*STOCK[[#This Row],[Salidas]]</f>
        <v>11.38</v>
      </c>
      <c r="Y1051" s="76" t="s">
        <v>2179</v>
      </c>
      <c r="AA1051" s="76">
        <f>STOCK[[#This Row],[Costo total]]*STOCK[[#This Row],[Entradas]]</f>
        <v>8.62</v>
      </c>
      <c r="AB1051" s="76">
        <f>STOCK[[#This Row],[Stock Actual]]*STOCK[[#This Row],[Costo total]]</f>
        <v>0</v>
      </c>
    </row>
    <row r="1052" s="77" customFormat="1" ht="50" customHeight="1" spans="1:28">
      <c r="A1052" s="77" t="s">
        <v>2180</v>
      </c>
      <c r="B1052" s="6"/>
      <c r="C1052" s="77" t="s">
        <v>30</v>
      </c>
      <c r="D1052" s="77" t="s">
        <v>36</v>
      </c>
      <c r="E1052" s="77" t="s">
        <v>2178</v>
      </c>
      <c r="F1052" s="77" t="s">
        <v>47</v>
      </c>
      <c r="G1052" s="77" t="s">
        <v>1874</v>
      </c>
      <c r="H1052" s="77">
        <f>STOCK[[#This Row],[Precio Final]]</f>
        <v>20</v>
      </c>
      <c r="I1052" s="77">
        <f>STOCK[[#This Row],[Precio Venta Ideal (x1.5)]]</f>
        <v>12.93</v>
      </c>
      <c r="J1052" s="92">
        <v>2</v>
      </c>
      <c r="K1052" s="92">
        <f>SUMIFS(VENTAS[Cantidad],VENTAS[Código del producto Vendido],STOCK[[#This Row],[Code]])</f>
        <v>2</v>
      </c>
      <c r="L1052" s="92">
        <f>STOCK[[#This Row],[Entradas]]-STOCK[[#This Row],[Salidas]]</f>
        <v>0</v>
      </c>
      <c r="M1052" s="77">
        <f>STOCK[[#This Row],[Precio Final]]*10%</f>
        <v>2</v>
      </c>
      <c r="N1052" s="77">
        <v>0</v>
      </c>
      <c r="O1052" s="77">
        <v>0</v>
      </c>
      <c r="P1052" s="77">
        <v>6.02</v>
      </c>
      <c r="Q1052" s="92">
        <v>0</v>
      </c>
      <c r="R1052" s="77">
        <v>0</v>
      </c>
      <c r="S1052" s="77">
        <v>0.6</v>
      </c>
      <c r="T1052" s="76">
        <f>STOCK[[#This Row],[Costo Unitario (USD)]]+STOCK[[#This Row],[Costo Envío (USD)]]+STOCK[[#This Row],[Comisión 10%]]</f>
        <v>8.62</v>
      </c>
      <c r="U1052" s="77">
        <f>STOCK[[#This Row],[Costo total]]*1.5</f>
        <v>12.93</v>
      </c>
      <c r="V1052" s="77">
        <v>20</v>
      </c>
      <c r="W1052" s="77">
        <f>STOCK[[#This Row],[Precio Final]]-STOCK[[#This Row],[Costo total]]</f>
        <v>11.38</v>
      </c>
      <c r="X1052" s="77">
        <f>STOCK[[#This Row],[Ganancia Unitaria]]*STOCK[[#This Row],[Salidas]]</f>
        <v>22.76</v>
      </c>
      <c r="Y1052" s="77" t="s">
        <v>2181</v>
      </c>
      <c r="AA1052" s="77">
        <f>STOCK[[#This Row],[Costo total]]*STOCK[[#This Row],[Entradas]]</f>
        <v>17.24</v>
      </c>
      <c r="AB1052" s="77">
        <f>STOCK[[#This Row],[Stock Actual]]*STOCK[[#This Row],[Costo total]]</f>
        <v>0</v>
      </c>
    </row>
    <row r="1053" s="76" customFormat="1" ht="50" customHeight="1" spans="1:28">
      <c r="A1053" s="76" t="s">
        <v>2182</v>
      </c>
      <c r="B1053" s="6"/>
      <c r="C1053" s="76" t="s">
        <v>30</v>
      </c>
      <c r="D1053" s="77" t="s">
        <v>36</v>
      </c>
      <c r="E1053" s="76" t="s">
        <v>2178</v>
      </c>
      <c r="F1053" s="76" t="s">
        <v>60</v>
      </c>
      <c r="G1053" s="76" t="s">
        <v>1874</v>
      </c>
      <c r="H1053" s="76">
        <f>STOCK[[#This Row],[Precio Final]]</f>
        <v>20</v>
      </c>
      <c r="I1053" s="76">
        <f>STOCK[[#This Row],[Precio Venta Ideal (x1.5)]]</f>
        <v>12.93</v>
      </c>
      <c r="J1053" s="91">
        <v>2</v>
      </c>
      <c r="K1053" s="91">
        <f>SUMIFS(VENTAS[Cantidad],VENTAS[Código del producto Vendido],STOCK[[#This Row],[Code]])</f>
        <v>2</v>
      </c>
      <c r="L1053" s="91">
        <f>STOCK[[#This Row],[Entradas]]-STOCK[[#This Row],[Salidas]]</f>
        <v>0</v>
      </c>
      <c r="M1053" s="76">
        <f>STOCK[[#This Row],[Precio Final]]*10%</f>
        <v>2</v>
      </c>
      <c r="N1053" s="76">
        <v>0</v>
      </c>
      <c r="O1053" s="76">
        <v>0</v>
      </c>
      <c r="P1053" s="76">
        <v>6.02</v>
      </c>
      <c r="Q1053" s="91">
        <v>0</v>
      </c>
      <c r="R1053" s="76">
        <v>0</v>
      </c>
      <c r="S1053" s="76">
        <v>0.6</v>
      </c>
      <c r="T1053" s="76">
        <f>STOCK[[#This Row],[Costo Unitario (USD)]]+STOCK[[#This Row],[Costo Envío (USD)]]+STOCK[[#This Row],[Comisión 10%]]</f>
        <v>8.62</v>
      </c>
      <c r="U1053" s="76">
        <f>STOCK[[#This Row],[Costo total]]*1.5</f>
        <v>12.93</v>
      </c>
      <c r="V1053" s="76">
        <v>20</v>
      </c>
      <c r="W1053" s="76">
        <f>STOCK[[#This Row],[Precio Final]]-STOCK[[#This Row],[Costo total]]</f>
        <v>11.38</v>
      </c>
      <c r="X1053" s="76">
        <f>STOCK[[#This Row],[Ganancia Unitaria]]*STOCK[[#This Row],[Salidas]]</f>
        <v>22.76</v>
      </c>
      <c r="Y1053" s="76" t="s">
        <v>2183</v>
      </c>
      <c r="AA1053" s="76">
        <f>STOCK[[#This Row],[Costo total]]*STOCK[[#This Row],[Entradas]]</f>
        <v>17.24</v>
      </c>
      <c r="AB1053" s="76">
        <f>STOCK[[#This Row],[Stock Actual]]*STOCK[[#This Row],[Costo total]]</f>
        <v>0</v>
      </c>
    </row>
    <row r="1054" s="77" customFormat="1" ht="50" customHeight="1" spans="1:28">
      <c r="A1054" s="77" t="s">
        <v>2184</v>
      </c>
      <c r="B1054" s="6"/>
      <c r="C1054" s="77" t="s">
        <v>30</v>
      </c>
      <c r="D1054" s="77" t="s">
        <v>36</v>
      </c>
      <c r="E1054" s="77" t="s">
        <v>2178</v>
      </c>
      <c r="F1054" s="77" t="s">
        <v>38</v>
      </c>
      <c r="G1054" s="77" t="s">
        <v>1874</v>
      </c>
      <c r="H1054" s="77">
        <f>STOCK[[#This Row],[Precio Final]]</f>
        <v>20</v>
      </c>
      <c r="I1054" s="77">
        <f>STOCK[[#This Row],[Precio Venta Ideal (x1.5)]]</f>
        <v>12.93</v>
      </c>
      <c r="J1054" s="92">
        <v>2</v>
      </c>
      <c r="K1054" s="92">
        <f>SUMIFS(VENTAS[Cantidad],VENTAS[Código del producto Vendido],STOCK[[#This Row],[Code]])</f>
        <v>2</v>
      </c>
      <c r="L1054" s="92">
        <f>STOCK[[#This Row],[Entradas]]-STOCK[[#This Row],[Salidas]]</f>
        <v>0</v>
      </c>
      <c r="M1054" s="77">
        <f>STOCK[[#This Row],[Precio Final]]*10%</f>
        <v>2</v>
      </c>
      <c r="N1054" s="77">
        <v>0</v>
      </c>
      <c r="O1054" s="77">
        <v>0</v>
      </c>
      <c r="P1054" s="77">
        <v>6.02</v>
      </c>
      <c r="Q1054" s="92">
        <v>0</v>
      </c>
      <c r="R1054" s="77">
        <v>0</v>
      </c>
      <c r="S1054" s="77">
        <v>0.6</v>
      </c>
      <c r="T1054" s="76">
        <f>STOCK[[#This Row],[Costo Unitario (USD)]]+STOCK[[#This Row],[Costo Envío (USD)]]+STOCK[[#This Row],[Comisión 10%]]</f>
        <v>8.62</v>
      </c>
      <c r="U1054" s="77">
        <f>STOCK[[#This Row],[Costo total]]*1.5</f>
        <v>12.93</v>
      </c>
      <c r="V1054" s="77">
        <v>20</v>
      </c>
      <c r="W1054" s="77">
        <f>STOCK[[#This Row],[Precio Final]]-STOCK[[#This Row],[Costo total]]</f>
        <v>11.38</v>
      </c>
      <c r="X1054" s="77">
        <f>STOCK[[#This Row],[Ganancia Unitaria]]*STOCK[[#This Row],[Salidas]]</f>
        <v>22.76</v>
      </c>
      <c r="Y1054" s="77" t="s">
        <v>2185</v>
      </c>
      <c r="AA1054" s="77">
        <f>STOCK[[#This Row],[Costo total]]*STOCK[[#This Row],[Entradas]]</f>
        <v>17.24</v>
      </c>
      <c r="AB1054" s="77">
        <f>STOCK[[#This Row],[Stock Actual]]*STOCK[[#This Row],[Costo total]]</f>
        <v>0</v>
      </c>
    </row>
    <row r="1055" s="76" customFormat="1" ht="50" customHeight="1" spans="1:28">
      <c r="A1055" s="76" t="s">
        <v>2186</v>
      </c>
      <c r="B1055" s="6"/>
      <c r="C1055" s="76" t="s">
        <v>30</v>
      </c>
      <c r="D1055" s="76" t="s">
        <v>2131</v>
      </c>
      <c r="E1055" s="76" t="s">
        <v>2187</v>
      </c>
      <c r="F1055" s="76" t="s">
        <v>44</v>
      </c>
      <c r="G1055" s="76" t="s">
        <v>1874</v>
      </c>
      <c r="H1055" s="76">
        <f>STOCK[[#This Row],[Precio Final]]</f>
        <v>25</v>
      </c>
      <c r="I1055" s="76">
        <f>STOCK[[#This Row],[Precio Venta Ideal (x1.5)]]</f>
        <v>22.47</v>
      </c>
      <c r="J1055" s="91">
        <v>2</v>
      </c>
      <c r="K1055" s="91">
        <f>SUMIFS(VENTAS[Cantidad],VENTAS[Código del producto Vendido],STOCK[[#This Row],[Code]])</f>
        <v>1</v>
      </c>
      <c r="L1055" s="91">
        <f>STOCK[[#This Row],[Entradas]]-STOCK[[#This Row],[Salidas]]</f>
        <v>1</v>
      </c>
      <c r="M1055" s="76">
        <f>STOCK[[#This Row],[Precio Final]]*10%</f>
        <v>2.5</v>
      </c>
      <c r="N1055" s="76">
        <v>0</v>
      </c>
      <c r="O1055" s="76">
        <v>0</v>
      </c>
      <c r="P1055" s="76">
        <v>11.88</v>
      </c>
      <c r="Q1055" s="91">
        <v>0</v>
      </c>
      <c r="R1055" s="76">
        <v>0</v>
      </c>
      <c r="S1055" s="76">
        <v>0.6</v>
      </c>
      <c r="T1055" s="76">
        <f>STOCK[[#This Row],[Costo Unitario (USD)]]+STOCK[[#This Row],[Costo Envío (USD)]]+STOCK[[#This Row],[Comisión 10%]]</f>
        <v>14.98</v>
      </c>
      <c r="U1055" s="76">
        <f>STOCK[[#This Row],[Costo total]]*1.5</f>
        <v>22.47</v>
      </c>
      <c r="V1055" s="76">
        <v>25</v>
      </c>
      <c r="W1055" s="76">
        <f>STOCK[[#This Row],[Precio Final]]-STOCK[[#This Row],[Costo total]]</f>
        <v>10.02</v>
      </c>
      <c r="X1055" s="76">
        <f>STOCK[[#This Row],[Ganancia Unitaria]]*STOCK[[#This Row],[Salidas]]</f>
        <v>10.02</v>
      </c>
      <c r="Y1055" s="76" t="s">
        <v>2188</v>
      </c>
      <c r="AA1055" s="76">
        <f>STOCK[[#This Row],[Costo total]]*STOCK[[#This Row],[Entradas]]</f>
        <v>29.96</v>
      </c>
      <c r="AB1055" s="76">
        <f>STOCK[[#This Row],[Stock Actual]]*STOCK[[#This Row],[Costo total]]</f>
        <v>14.98</v>
      </c>
    </row>
    <row r="1056" s="77" customFormat="1" ht="50" customHeight="1" spans="1:28">
      <c r="A1056" s="77" t="s">
        <v>2189</v>
      </c>
      <c r="B1056" s="6"/>
      <c r="C1056" s="77" t="s">
        <v>30</v>
      </c>
      <c r="D1056" s="77" t="s">
        <v>2131</v>
      </c>
      <c r="E1056" s="77" t="s">
        <v>2187</v>
      </c>
      <c r="F1056" s="77" t="s">
        <v>47</v>
      </c>
      <c r="G1056" s="77" t="s">
        <v>1874</v>
      </c>
      <c r="H1056" s="77">
        <f>STOCK[[#This Row],[Precio Final]]</f>
        <v>25</v>
      </c>
      <c r="I1056" s="77">
        <f>STOCK[[#This Row],[Precio Venta Ideal (x1.5)]]</f>
        <v>22.47</v>
      </c>
      <c r="J1056" s="92">
        <v>2</v>
      </c>
      <c r="K1056" s="92">
        <f>SUMIFS(VENTAS[Cantidad],VENTAS[Código del producto Vendido],STOCK[[#This Row],[Code]])</f>
        <v>1</v>
      </c>
      <c r="L1056" s="92">
        <f>STOCK[[#This Row],[Entradas]]-STOCK[[#This Row],[Salidas]]</f>
        <v>1</v>
      </c>
      <c r="M1056" s="77">
        <f>STOCK[[#This Row],[Precio Final]]*10%</f>
        <v>2.5</v>
      </c>
      <c r="N1056" s="77">
        <v>0</v>
      </c>
      <c r="O1056" s="77">
        <v>0</v>
      </c>
      <c r="P1056" s="77">
        <v>11.88</v>
      </c>
      <c r="Q1056" s="92">
        <v>0</v>
      </c>
      <c r="R1056" s="77">
        <v>0</v>
      </c>
      <c r="S1056" s="77">
        <v>0.6</v>
      </c>
      <c r="T1056" s="76">
        <f>STOCK[[#This Row],[Costo Unitario (USD)]]+STOCK[[#This Row],[Costo Envío (USD)]]+STOCK[[#This Row],[Comisión 10%]]</f>
        <v>14.98</v>
      </c>
      <c r="U1056" s="77">
        <f>STOCK[[#This Row],[Costo total]]*1.5</f>
        <v>22.47</v>
      </c>
      <c r="V1056" s="77">
        <v>25</v>
      </c>
      <c r="W1056" s="77">
        <f>STOCK[[#This Row],[Precio Final]]-STOCK[[#This Row],[Costo total]]</f>
        <v>10.02</v>
      </c>
      <c r="X1056" s="77">
        <f>STOCK[[#This Row],[Ganancia Unitaria]]*STOCK[[#This Row],[Salidas]]</f>
        <v>10.02</v>
      </c>
      <c r="Y1056" s="77" t="s">
        <v>2190</v>
      </c>
      <c r="AA1056" s="77">
        <f>STOCK[[#This Row],[Costo total]]*STOCK[[#This Row],[Entradas]]</f>
        <v>29.96</v>
      </c>
      <c r="AB1056" s="77">
        <f>STOCK[[#This Row],[Stock Actual]]*STOCK[[#This Row],[Costo total]]</f>
        <v>14.98</v>
      </c>
    </row>
    <row r="1057" s="76" customFormat="1" ht="50" customHeight="1" spans="1:28">
      <c r="A1057" s="76" t="s">
        <v>2191</v>
      </c>
      <c r="B1057" s="6"/>
      <c r="C1057" s="76" t="s">
        <v>30</v>
      </c>
      <c r="D1057" s="77" t="s">
        <v>36</v>
      </c>
      <c r="E1057" s="76" t="s">
        <v>2122</v>
      </c>
      <c r="F1057" s="76" t="s">
        <v>47</v>
      </c>
      <c r="G1057" s="76" t="s">
        <v>1874</v>
      </c>
      <c r="H1057" s="76">
        <f>STOCK[[#This Row],[Precio Final]]</f>
        <v>25</v>
      </c>
      <c r="I1057" s="76">
        <f>STOCK[[#This Row],[Precio Venta Ideal (x1.5)]]</f>
        <v>20.565</v>
      </c>
      <c r="J1057" s="91">
        <v>1</v>
      </c>
      <c r="K1057" s="91">
        <f>SUMIFS(VENTAS[Cantidad],VENTAS[Código del producto Vendido],STOCK[[#This Row],[Code]])</f>
        <v>1</v>
      </c>
      <c r="L1057" s="91">
        <f>STOCK[[#This Row],[Entradas]]-STOCK[[#This Row],[Salidas]]</f>
        <v>0</v>
      </c>
      <c r="M1057" s="76">
        <f>STOCK[[#This Row],[Precio Final]]*10%</f>
        <v>2.5</v>
      </c>
      <c r="N1057" s="76">
        <v>0</v>
      </c>
      <c r="O1057" s="76">
        <v>0</v>
      </c>
      <c r="P1057" s="76">
        <v>10.61</v>
      </c>
      <c r="Q1057" s="91">
        <v>0</v>
      </c>
      <c r="R1057" s="76">
        <v>0</v>
      </c>
      <c r="S1057" s="76">
        <v>0.6</v>
      </c>
      <c r="T1057" s="76">
        <f>STOCK[[#This Row],[Costo Unitario (USD)]]+STOCK[[#This Row],[Costo Envío (USD)]]+STOCK[[#This Row],[Comisión 10%]]</f>
        <v>13.71</v>
      </c>
      <c r="U1057" s="76">
        <f>STOCK[[#This Row],[Costo total]]*1.5</f>
        <v>20.565</v>
      </c>
      <c r="V1057" s="76">
        <v>25</v>
      </c>
      <c r="W1057" s="76">
        <f>STOCK[[#This Row],[Precio Final]]-STOCK[[#This Row],[Costo total]]</f>
        <v>11.29</v>
      </c>
      <c r="X1057" s="76">
        <f>STOCK[[#This Row],[Ganancia Unitaria]]*STOCK[[#This Row],[Salidas]]</f>
        <v>11.29</v>
      </c>
      <c r="Y1057" s="76" t="s">
        <v>2192</v>
      </c>
      <c r="AA1057" s="76">
        <f>STOCK[[#This Row],[Costo total]]*STOCK[[#This Row],[Entradas]]</f>
        <v>13.71</v>
      </c>
      <c r="AB1057" s="76">
        <f>STOCK[[#This Row],[Stock Actual]]*STOCK[[#This Row],[Costo total]]</f>
        <v>0</v>
      </c>
    </row>
    <row r="1058" s="77" customFormat="1" ht="50" customHeight="1" spans="1:28">
      <c r="A1058" s="77" t="s">
        <v>2193</v>
      </c>
      <c r="B1058" s="6"/>
      <c r="C1058" s="77" t="s">
        <v>30</v>
      </c>
      <c r="D1058" s="77" t="s">
        <v>36</v>
      </c>
      <c r="E1058" s="77" t="s">
        <v>2194</v>
      </c>
      <c r="F1058" s="77" t="s">
        <v>44</v>
      </c>
      <c r="G1058" s="77" t="s">
        <v>1874</v>
      </c>
      <c r="H1058" s="77">
        <f>STOCK[[#This Row],[Precio Final]]</f>
        <v>20</v>
      </c>
      <c r="I1058" s="77">
        <f>STOCK[[#This Row],[Precio Venta Ideal (x1.5)]]</f>
        <v>15.57</v>
      </c>
      <c r="J1058" s="92">
        <v>1</v>
      </c>
      <c r="K1058" s="92">
        <f>SUMIFS(VENTAS[Cantidad],VENTAS[Código del producto Vendido],STOCK[[#This Row],[Code]])</f>
        <v>0</v>
      </c>
      <c r="L1058" s="92">
        <f>STOCK[[#This Row],[Entradas]]-STOCK[[#This Row],[Salidas]]</f>
        <v>1</v>
      </c>
      <c r="M1058" s="77">
        <f>STOCK[[#This Row],[Precio Final]]*10%</f>
        <v>2</v>
      </c>
      <c r="N1058" s="77">
        <v>0</v>
      </c>
      <c r="O1058" s="77">
        <v>0</v>
      </c>
      <c r="P1058" s="77">
        <v>7.78</v>
      </c>
      <c r="Q1058" s="92">
        <v>0</v>
      </c>
      <c r="R1058" s="77">
        <v>0</v>
      </c>
      <c r="S1058" s="77">
        <v>0.6</v>
      </c>
      <c r="T1058" s="76">
        <f>STOCK[[#This Row],[Costo Unitario (USD)]]+STOCK[[#This Row],[Costo Envío (USD)]]+STOCK[[#This Row],[Comisión 10%]]</f>
        <v>10.38</v>
      </c>
      <c r="U1058" s="77">
        <f>STOCK[[#This Row],[Costo total]]*1.5</f>
        <v>15.57</v>
      </c>
      <c r="V1058" s="77">
        <v>20</v>
      </c>
      <c r="W1058" s="77">
        <f>STOCK[[#This Row],[Precio Final]]-STOCK[[#This Row],[Costo total]]</f>
        <v>9.62</v>
      </c>
      <c r="X1058" s="77">
        <f>STOCK[[#This Row],[Ganancia Unitaria]]*STOCK[[#This Row],[Salidas]]</f>
        <v>0</v>
      </c>
      <c r="Y1058" s="77" t="s">
        <v>2195</v>
      </c>
      <c r="AA1058" s="77">
        <f>STOCK[[#This Row],[Costo total]]*STOCK[[#This Row],[Entradas]]</f>
        <v>10.38</v>
      </c>
      <c r="AB1058" s="77">
        <f>STOCK[[#This Row],[Stock Actual]]*STOCK[[#This Row],[Costo total]]</f>
        <v>10.38</v>
      </c>
    </row>
    <row r="1059" s="76" customFormat="1" ht="50" customHeight="1" spans="1:28">
      <c r="A1059" s="76" t="s">
        <v>2196</v>
      </c>
      <c r="B1059" s="6"/>
      <c r="C1059" s="76" t="s">
        <v>30</v>
      </c>
      <c r="D1059" s="77" t="s">
        <v>36</v>
      </c>
      <c r="E1059" s="76" t="s">
        <v>2194</v>
      </c>
      <c r="F1059" s="76" t="s">
        <v>47</v>
      </c>
      <c r="G1059" s="76" t="s">
        <v>1874</v>
      </c>
      <c r="H1059" s="76">
        <f>STOCK[[#This Row],[Precio Final]]</f>
        <v>20</v>
      </c>
      <c r="I1059" s="76">
        <f>STOCK[[#This Row],[Precio Venta Ideal (x1.5)]]</f>
        <v>15.57</v>
      </c>
      <c r="J1059" s="91">
        <v>1</v>
      </c>
      <c r="K1059" s="91">
        <f>SUMIFS(VENTAS[Cantidad],VENTAS[Código del producto Vendido],STOCK[[#This Row],[Code]])</f>
        <v>0</v>
      </c>
      <c r="L1059" s="91">
        <f>STOCK[[#This Row],[Entradas]]-STOCK[[#This Row],[Salidas]]</f>
        <v>1</v>
      </c>
      <c r="M1059" s="76">
        <f>STOCK[[#This Row],[Precio Final]]*10%</f>
        <v>2</v>
      </c>
      <c r="N1059" s="76">
        <v>0</v>
      </c>
      <c r="O1059" s="76">
        <v>0</v>
      </c>
      <c r="P1059" s="76">
        <v>7.78</v>
      </c>
      <c r="Q1059" s="91">
        <v>0</v>
      </c>
      <c r="R1059" s="76">
        <v>0</v>
      </c>
      <c r="S1059" s="76">
        <v>0.6</v>
      </c>
      <c r="T1059" s="76">
        <f>STOCK[[#This Row],[Costo Unitario (USD)]]+STOCK[[#This Row],[Costo Envío (USD)]]+STOCK[[#This Row],[Comisión 10%]]</f>
        <v>10.38</v>
      </c>
      <c r="U1059" s="76">
        <f>STOCK[[#This Row],[Costo total]]*1.5</f>
        <v>15.57</v>
      </c>
      <c r="V1059" s="76">
        <v>20</v>
      </c>
      <c r="W1059" s="76">
        <f>STOCK[[#This Row],[Precio Final]]-STOCK[[#This Row],[Costo total]]</f>
        <v>9.62</v>
      </c>
      <c r="X1059" s="76">
        <f>STOCK[[#This Row],[Ganancia Unitaria]]*STOCK[[#This Row],[Salidas]]</f>
        <v>0</v>
      </c>
      <c r="Y1059" s="76" t="s">
        <v>2197</v>
      </c>
      <c r="AA1059" s="76">
        <f>STOCK[[#This Row],[Costo total]]*STOCK[[#This Row],[Entradas]]</f>
        <v>10.38</v>
      </c>
      <c r="AB1059" s="76">
        <f>STOCK[[#This Row],[Stock Actual]]*STOCK[[#This Row],[Costo total]]</f>
        <v>10.38</v>
      </c>
    </row>
    <row r="1060" s="77" customFormat="1" ht="50" customHeight="1" spans="1:28">
      <c r="A1060" s="77" t="s">
        <v>2198</v>
      </c>
      <c r="B1060" s="6"/>
      <c r="C1060" s="77" t="s">
        <v>30</v>
      </c>
      <c r="D1060" s="77" t="s">
        <v>36</v>
      </c>
      <c r="E1060" s="77" t="s">
        <v>2194</v>
      </c>
      <c r="F1060" s="77" t="s">
        <v>60</v>
      </c>
      <c r="G1060" s="77" t="s">
        <v>1874</v>
      </c>
      <c r="H1060" s="77">
        <f>STOCK[[#This Row],[Precio Final]]</f>
        <v>20</v>
      </c>
      <c r="I1060" s="77">
        <f>STOCK[[#This Row],[Precio Venta Ideal (x1.5)]]</f>
        <v>15.57</v>
      </c>
      <c r="J1060" s="92">
        <v>1</v>
      </c>
      <c r="K1060" s="92">
        <f>SUMIFS(VENTAS[Cantidad],VENTAS[Código del producto Vendido],STOCK[[#This Row],[Code]])</f>
        <v>1</v>
      </c>
      <c r="L1060" s="92">
        <f>STOCK[[#This Row],[Entradas]]-STOCK[[#This Row],[Salidas]]</f>
        <v>0</v>
      </c>
      <c r="M1060" s="77">
        <f>STOCK[[#This Row],[Precio Final]]*10%</f>
        <v>2</v>
      </c>
      <c r="N1060" s="77">
        <v>0</v>
      </c>
      <c r="O1060" s="77">
        <v>0</v>
      </c>
      <c r="P1060" s="77">
        <v>7.78</v>
      </c>
      <c r="Q1060" s="92">
        <v>0</v>
      </c>
      <c r="R1060" s="77">
        <v>0</v>
      </c>
      <c r="S1060" s="77">
        <v>0.6</v>
      </c>
      <c r="T1060" s="76">
        <f>STOCK[[#This Row],[Costo Unitario (USD)]]+STOCK[[#This Row],[Costo Envío (USD)]]+STOCK[[#This Row],[Comisión 10%]]</f>
        <v>10.38</v>
      </c>
      <c r="U1060" s="77">
        <f>STOCK[[#This Row],[Costo total]]*1.5</f>
        <v>15.57</v>
      </c>
      <c r="V1060" s="77">
        <v>20</v>
      </c>
      <c r="W1060" s="77">
        <f>STOCK[[#This Row],[Precio Final]]-STOCK[[#This Row],[Costo total]]</f>
        <v>9.62</v>
      </c>
      <c r="X1060" s="77">
        <f>STOCK[[#This Row],[Ganancia Unitaria]]*STOCK[[#This Row],[Salidas]]</f>
        <v>9.62</v>
      </c>
      <c r="Y1060" s="77" t="s">
        <v>2199</v>
      </c>
      <c r="AA1060" s="77">
        <f>STOCK[[#This Row],[Costo total]]*STOCK[[#This Row],[Entradas]]</f>
        <v>10.38</v>
      </c>
      <c r="AB1060" s="77">
        <f>STOCK[[#This Row],[Stock Actual]]*STOCK[[#This Row],[Costo total]]</f>
        <v>0</v>
      </c>
    </row>
    <row r="1061" s="76" customFormat="1" ht="50" customHeight="1" spans="1:28">
      <c r="A1061" s="76" t="s">
        <v>2200</v>
      </c>
      <c r="B1061" s="6"/>
      <c r="C1061" s="76" t="s">
        <v>30</v>
      </c>
      <c r="D1061" s="76" t="s">
        <v>42</v>
      </c>
      <c r="E1061" s="76" t="s">
        <v>2201</v>
      </c>
      <c r="F1061" s="76" t="s">
        <v>60</v>
      </c>
      <c r="G1061" s="76" t="s">
        <v>1874</v>
      </c>
      <c r="H1061" s="76">
        <f>STOCK[[#This Row],[Precio Final]]</f>
        <v>30</v>
      </c>
      <c r="I1061" s="76">
        <f>STOCK[[#This Row],[Precio Venta Ideal (x1.5)]]</f>
        <v>26.985</v>
      </c>
      <c r="J1061" s="91">
        <v>1</v>
      </c>
      <c r="K1061" s="91">
        <f>SUMIFS(VENTAS[Cantidad],VENTAS[Código del producto Vendido],STOCK[[#This Row],[Code]])</f>
        <v>1</v>
      </c>
      <c r="L1061" s="91">
        <f>STOCK[[#This Row],[Entradas]]-STOCK[[#This Row],[Salidas]]</f>
        <v>0</v>
      </c>
      <c r="M1061" s="76">
        <f>STOCK[[#This Row],[Precio Final]]*10%</f>
        <v>3</v>
      </c>
      <c r="N1061" s="76">
        <v>0</v>
      </c>
      <c r="O1061" s="76">
        <v>0</v>
      </c>
      <c r="P1061" s="76">
        <v>14.39</v>
      </c>
      <c r="Q1061" s="91">
        <v>0</v>
      </c>
      <c r="R1061" s="76">
        <v>0</v>
      </c>
      <c r="S1061" s="76">
        <v>0.6</v>
      </c>
      <c r="T1061" s="76">
        <f>STOCK[[#This Row],[Costo Unitario (USD)]]+STOCK[[#This Row],[Costo Envío (USD)]]+STOCK[[#This Row],[Comisión 10%]]</f>
        <v>17.99</v>
      </c>
      <c r="U1061" s="76">
        <f>STOCK[[#This Row],[Costo total]]*1.5</f>
        <v>26.985</v>
      </c>
      <c r="V1061" s="76">
        <v>30</v>
      </c>
      <c r="W1061" s="76">
        <f>STOCK[[#This Row],[Precio Final]]-STOCK[[#This Row],[Costo total]]</f>
        <v>12.01</v>
      </c>
      <c r="X1061" s="76">
        <f>STOCK[[#This Row],[Ganancia Unitaria]]*STOCK[[#This Row],[Salidas]]</f>
        <v>12.01</v>
      </c>
      <c r="Y1061" s="76" t="s">
        <v>2202</v>
      </c>
      <c r="AA1061" s="76">
        <f>STOCK[[#This Row],[Costo total]]*STOCK[[#This Row],[Entradas]]</f>
        <v>17.99</v>
      </c>
      <c r="AB1061" s="76">
        <f>STOCK[[#This Row],[Stock Actual]]*STOCK[[#This Row],[Costo total]]</f>
        <v>0</v>
      </c>
    </row>
    <row r="1062" s="77" customFormat="1" ht="50" customHeight="1" spans="1:28">
      <c r="A1062" s="77" t="s">
        <v>2203</v>
      </c>
      <c r="B1062" s="6"/>
      <c r="C1062" s="77" t="s">
        <v>30</v>
      </c>
      <c r="D1062" s="77" t="s">
        <v>2116</v>
      </c>
      <c r="E1062" s="77" t="s">
        <v>2204</v>
      </c>
      <c r="F1062" s="77" t="s">
        <v>47</v>
      </c>
      <c r="G1062" s="77" t="s">
        <v>1874</v>
      </c>
      <c r="H1062" s="77">
        <f>STOCK[[#This Row],[Precio Final]]</f>
        <v>25</v>
      </c>
      <c r="I1062" s="77">
        <f>STOCK[[#This Row],[Precio Venta Ideal (x1.5)]]</f>
        <v>25.635</v>
      </c>
      <c r="J1062" s="92">
        <v>1</v>
      </c>
      <c r="K1062" s="92">
        <f>SUMIFS(VENTAS[Cantidad],VENTAS[Código del producto Vendido],STOCK[[#This Row],[Code]])</f>
        <v>1</v>
      </c>
      <c r="L1062" s="92">
        <f>STOCK[[#This Row],[Entradas]]-STOCK[[#This Row],[Salidas]]</f>
        <v>0</v>
      </c>
      <c r="M1062" s="77">
        <f>STOCK[[#This Row],[Precio Final]]*10%</f>
        <v>2.5</v>
      </c>
      <c r="N1062" s="77">
        <v>0</v>
      </c>
      <c r="O1062" s="77">
        <v>0</v>
      </c>
      <c r="P1062" s="77">
        <v>13.99</v>
      </c>
      <c r="Q1062" s="92">
        <v>0</v>
      </c>
      <c r="R1062" s="77">
        <v>0</v>
      </c>
      <c r="S1062" s="77">
        <v>0.6</v>
      </c>
      <c r="T1062" s="76">
        <f>STOCK[[#This Row],[Costo Unitario (USD)]]+STOCK[[#This Row],[Costo Envío (USD)]]+STOCK[[#This Row],[Comisión 10%]]</f>
        <v>17.09</v>
      </c>
      <c r="U1062" s="77">
        <f>STOCK[[#This Row],[Costo total]]*1.5</f>
        <v>25.635</v>
      </c>
      <c r="V1062" s="77">
        <v>25</v>
      </c>
      <c r="W1062" s="77">
        <f>STOCK[[#This Row],[Precio Final]]-STOCK[[#This Row],[Costo total]]</f>
        <v>7.91</v>
      </c>
      <c r="X1062" s="77">
        <f>STOCK[[#This Row],[Ganancia Unitaria]]*STOCK[[#This Row],[Salidas]]</f>
        <v>7.91</v>
      </c>
      <c r="Y1062" s="77" t="s">
        <v>2205</v>
      </c>
      <c r="AA1062" s="77">
        <f>STOCK[[#This Row],[Costo total]]*STOCK[[#This Row],[Entradas]]</f>
        <v>17.09</v>
      </c>
      <c r="AB1062" s="77">
        <f>STOCK[[#This Row],[Stock Actual]]*STOCK[[#This Row],[Costo total]]</f>
        <v>0</v>
      </c>
    </row>
    <row r="1063" s="76" customFormat="1" ht="50" customHeight="1" spans="1:28">
      <c r="A1063" s="76" t="s">
        <v>2206</v>
      </c>
      <c r="B1063" s="6"/>
      <c r="C1063" s="76" t="s">
        <v>30</v>
      </c>
      <c r="D1063" s="76" t="s">
        <v>2109</v>
      </c>
      <c r="E1063" s="76" t="s">
        <v>2207</v>
      </c>
      <c r="F1063" s="76" t="s">
        <v>1532</v>
      </c>
      <c r="G1063" s="76" t="s">
        <v>1874</v>
      </c>
      <c r="H1063" s="76">
        <f>STOCK[[#This Row],[Precio Final]]</f>
        <v>12</v>
      </c>
      <c r="I1063" s="76">
        <f>STOCK[[#This Row],[Precio Venta Ideal (x1.5)]]</f>
        <v>10.56</v>
      </c>
      <c r="J1063" s="91">
        <v>4</v>
      </c>
      <c r="K1063" s="91">
        <f>SUMIFS(VENTAS[Cantidad],VENTAS[Código del producto Vendido],STOCK[[#This Row],[Code]])</f>
        <v>2</v>
      </c>
      <c r="L1063" s="91">
        <f>STOCK[[#This Row],[Entradas]]-STOCK[[#This Row],[Salidas]]</f>
        <v>2</v>
      </c>
      <c r="M1063" s="76">
        <f>STOCK[[#This Row],[Precio Final]]*10%</f>
        <v>1.2</v>
      </c>
      <c r="N1063" s="76">
        <v>0</v>
      </c>
      <c r="O1063" s="76">
        <v>0</v>
      </c>
      <c r="P1063" s="76">
        <v>5.24</v>
      </c>
      <c r="Q1063" s="91">
        <v>0</v>
      </c>
      <c r="R1063" s="76">
        <v>0</v>
      </c>
      <c r="S1063" s="76">
        <v>0.6</v>
      </c>
      <c r="T1063" s="76">
        <f>STOCK[[#This Row],[Costo Unitario (USD)]]+STOCK[[#This Row],[Costo Envío (USD)]]+STOCK[[#This Row],[Comisión 10%]]</f>
        <v>7.04</v>
      </c>
      <c r="U1063" s="76">
        <f>STOCK[[#This Row],[Costo total]]*1.5</f>
        <v>10.56</v>
      </c>
      <c r="V1063" s="76">
        <v>12</v>
      </c>
      <c r="W1063" s="76">
        <f>STOCK[[#This Row],[Precio Final]]-STOCK[[#This Row],[Costo total]]</f>
        <v>4.96</v>
      </c>
      <c r="X1063" s="76">
        <f>STOCK[[#This Row],[Ganancia Unitaria]]*STOCK[[#This Row],[Salidas]]</f>
        <v>9.92</v>
      </c>
      <c r="Y1063" s="76" t="s">
        <v>2208</v>
      </c>
      <c r="AA1063" s="76">
        <f>STOCK[[#This Row],[Costo total]]*STOCK[[#This Row],[Entradas]]</f>
        <v>28.16</v>
      </c>
      <c r="AB1063" s="76">
        <f>STOCK[[#This Row],[Stock Actual]]*STOCK[[#This Row],[Costo total]]</f>
        <v>14.08</v>
      </c>
    </row>
    <row r="1064" s="77" customFormat="1" ht="50" customHeight="1" spans="1:28">
      <c r="A1064" s="77" t="s">
        <v>2209</v>
      </c>
      <c r="B1064" s="6"/>
      <c r="C1064" s="77" t="s">
        <v>30</v>
      </c>
      <c r="D1064" s="77" t="s">
        <v>2116</v>
      </c>
      <c r="E1064" s="77" t="s">
        <v>2210</v>
      </c>
      <c r="F1064" s="77" t="s">
        <v>60</v>
      </c>
      <c r="G1064" s="77" t="s">
        <v>1874</v>
      </c>
      <c r="H1064" s="77">
        <f>STOCK[[#This Row],[Precio Final]]</f>
        <v>35</v>
      </c>
      <c r="I1064" s="77">
        <f>STOCK[[#This Row],[Precio Venta Ideal (x1.5)]]</f>
        <v>28.335</v>
      </c>
      <c r="J1064" s="92">
        <v>2</v>
      </c>
      <c r="K1064" s="92">
        <f>SUMIFS(VENTAS[Cantidad],VENTAS[Código del producto Vendido],STOCK[[#This Row],[Code]])</f>
        <v>2</v>
      </c>
      <c r="L1064" s="92">
        <f>STOCK[[#This Row],[Entradas]]-STOCK[[#This Row],[Salidas]]</f>
        <v>0</v>
      </c>
      <c r="M1064" s="77">
        <f>STOCK[[#This Row],[Precio Final]]*10%</f>
        <v>3.5</v>
      </c>
      <c r="N1064" s="77">
        <v>0</v>
      </c>
      <c r="O1064" s="77">
        <v>0</v>
      </c>
      <c r="P1064" s="77">
        <v>14.79</v>
      </c>
      <c r="Q1064" s="92">
        <v>0</v>
      </c>
      <c r="R1064" s="77">
        <v>0</v>
      </c>
      <c r="S1064" s="77">
        <v>0.6</v>
      </c>
      <c r="T1064" s="76">
        <f>STOCK[[#This Row],[Costo Unitario (USD)]]+STOCK[[#This Row],[Costo Envío (USD)]]+STOCK[[#This Row],[Comisión 10%]]</f>
        <v>18.89</v>
      </c>
      <c r="U1064" s="77">
        <f>STOCK[[#This Row],[Costo total]]*1.5</f>
        <v>28.335</v>
      </c>
      <c r="V1064" s="77">
        <v>35</v>
      </c>
      <c r="W1064" s="77">
        <f>STOCK[[#This Row],[Precio Final]]-STOCK[[#This Row],[Costo total]]</f>
        <v>16.11</v>
      </c>
      <c r="X1064" s="77">
        <f>STOCK[[#This Row],[Ganancia Unitaria]]*STOCK[[#This Row],[Salidas]]</f>
        <v>32.22</v>
      </c>
      <c r="Y1064" s="77" t="s">
        <v>2211</v>
      </c>
      <c r="AA1064" s="77">
        <f>STOCK[[#This Row],[Costo total]]*STOCK[[#This Row],[Entradas]]</f>
        <v>37.78</v>
      </c>
      <c r="AB1064" s="77">
        <f>STOCK[[#This Row],[Stock Actual]]*STOCK[[#This Row],[Costo total]]</f>
        <v>0</v>
      </c>
    </row>
    <row r="1065" s="76" customFormat="1" ht="50" customHeight="1" spans="1:28">
      <c r="A1065" s="76" t="s">
        <v>2212</v>
      </c>
      <c r="B1065" s="6"/>
      <c r="C1065" s="76" t="s">
        <v>30</v>
      </c>
      <c r="D1065" s="76" t="s">
        <v>1879</v>
      </c>
      <c r="E1065" s="76" t="s">
        <v>2213</v>
      </c>
      <c r="F1065" s="76" t="s">
        <v>2214</v>
      </c>
      <c r="G1065" s="76" t="s">
        <v>1874</v>
      </c>
      <c r="H1065" s="76">
        <f>STOCK[[#This Row],[Precio Final]]</f>
        <v>18</v>
      </c>
      <c r="I1065" s="76">
        <f>STOCK[[#This Row],[Precio Venta Ideal (x1.5)]]</f>
        <v>13.365</v>
      </c>
      <c r="J1065" s="91">
        <v>5</v>
      </c>
      <c r="K1065" s="91">
        <f>SUMIFS(VENTAS[Cantidad],VENTAS[Código del producto Vendido],STOCK[[#This Row],[Code]])</f>
        <v>5</v>
      </c>
      <c r="L1065" s="91">
        <f>STOCK[[#This Row],[Entradas]]-STOCK[[#This Row],[Salidas]]</f>
        <v>0</v>
      </c>
      <c r="M1065" s="76">
        <f>STOCK[[#This Row],[Precio Final]]*10%</f>
        <v>1.8</v>
      </c>
      <c r="N1065" s="76">
        <v>0</v>
      </c>
      <c r="O1065" s="76">
        <v>0</v>
      </c>
      <c r="P1065" s="76">
        <v>6.51</v>
      </c>
      <c r="Q1065" s="91">
        <v>0</v>
      </c>
      <c r="R1065" s="76">
        <v>0</v>
      </c>
      <c r="S1065" s="76">
        <v>0.6</v>
      </c>
      <c r="T1065" s="76">
        <f>STOCK[[#This Row],[Costo Unitario (USD)]]+STOCK[[#This Row],[Costo Envío (USD)]]+STOCK[[#This Row],[Comisión 10%]]</f>
        <v>8.91</v>
      </c>
      <c r="U1065" s="76">
        <f>STOCK[[#This Row],[Costo total]]*1.5</f>
        <v>13.365</v>
      </c>
      <c r="V1065" s="76">
        <v>18</v>
      </c>
      <c r="W1065" s="76">
        <f>STOCK[[#This Row],[Precio Final]]-STOCK[[#This Row],[Costo total]]</f>
        <v>9.09</v>
      </c>
      <c r="X1065" s="76">
        <f>STOCK[[#This Row],[Ganancia Unitaria]]*STOCK[[#This Row],[Salidas]]</f>
        <v>45.45</v>
      </c>
      <c r="Y1065" s="76" t="s">
        <v>2215</v>
      </c>
      <c r="AA1065" s="76">
        <f>STOCK[[#This Row],[Costo total]]*STOCK[[#This Row],[Entradas]]</f>
        <v>44.55</v>
      </c>
      <c r="AB1065" s="76">
        <f>STOCK[[#This Row],[Stock Actual]]*STOCK[[#This Row],[Costo total]]</f>
        <v>0</v>
      </c>
    </row>
    <row r="1066" s="77" customFormat="1" ht="50" customHeight="1" spans="1:28">
      <c r="A1066" s="77" t="s">
        <v>2216</v>
      </c>
      <c r="B1066" s="6"/>
      <c r="C1066" s="77" t="s">
        <v>30</v>
      </c>
      <c r="D1066" s="77" t="s">
        <v>2116</v>
      </c>
      <c r="E1066" s="77" t="s">
        <v>2217</v>
      </c>
      <c r="F1066" s="77" t="s">
        <v>44</v>
      </c>
      <c r="G1066" s="77" t="s">
        <v>1874</v>
      </c>
      <c r="H1066" s="77">
        <f>STOCK[[#This Row],[Precio Final]]</f>
        <v>30</v>
      </c>
      <c r="I1066" s="77">
        <f>STOCK[[#This Row],[Precio Venta Ideal (x1.5)]]</f>
        <v>28.635</v>
      </c>
      <c r="J1066" s="92">
        <v>1</v>
      </c>
      <c r="K1066" s="92">
        <f>SUMIFS(VENTAS[Cantidad],VENTAS[Código del producto Vendido],STOCK[[#This Row],[Code]])</f>
        <v>1</v>
      </c>
      <c r="L1066" s="92">
        <f>STOCK[[#This Row],[Entradas]]-STOCK[[#This Row],[Salidas]]</f>
        <v>0</v>
      </c>
      <c r="M1066" s="77">
        <f>STOCK[[#This Row],[Precio Final]]*10%</f>
        <v>3</v>
      </c>
      <c r="N1066" s="77">
        <v>0</v>
      </c>
      <c r="O1066" s="77">
        <v>0</v>
      </c>
      <c r="P1066" s="77">
        <v>15.49</v>
      </c>
      <c r="Q1066" s="92">
        <v>0</v>
      </c>
      <c r="R1066" s="77">
        <v>0</v>
      </c>
      <c r="S1066" s="77">
        <v>0.6</v>
      </c>
      <c r="T1066" s="76">
        <f>STOCK[[#This Row],[Costo Unitario (USD)]]+STOCK[[#This Row],[Costo Envío (USD)]]+STOCK[[#This Row],[Comisión 10%]]</f>
        <v>19.09</v>
      </c>
      <c r="U1066" s="77">
        <f>STOCK[[#This Row],[Costo total]]*1.5</f>
        <v>28.635</v>
      </c>
      <c r="V1066" s="77">
        <v>30</v>
      </c>
      <c r="W1066" s="77">
        <f>STOCK[[#This Row],[Precio Final]]-STOCK[[#This Row],[Costo total]]</f>
        <v>10.91</v>
      </c>
      <c r="X1066" s="77">
        <f>STOCK[[#This Row],[Ganancia Unitaria]]*STOCK[[#This Row],[Salidas]]</f>
        <v>10.91</v>
      </c>
      <c r="Y1066" s="77" t="s">
        <v>2218</v>
      </c>
      <c r="AA1066" s="77">
        <f>STOCK[[#This Row],[Costo total]]*STOCK[[#This Row],[Entradas]]</f>
        <v>19.09</v>
      </c>
      <c r="AB1066" s="77">
        <f>STOCK[[#This Row],[Stock Actual]]*STOCK[[#This Row],[Costo total]]</f>
        <v>0</v>
      </c>
    </row>
    <row r="1067" s="76" customFormat="1" ht="50" customHeight="1" spans="1:28">
      <c r="A1067" s="76" t="s">
        <v>2219</v>
      </c>
      <c r="B1067" s="6"/>
      <c r="C1067" s="76" t="s">
        <v>30</v>
      </c>
      <c r="D1067" s="77" t="s">
        <v>36</v>
      </c>
      <c r="E1067" s="76" t="s">
        <v>2220</v>
      </c>
      <c r="F1067" s="76" t="s">
        <v>44</v>
      </c>
      <c r="G1067" s="76" t="s">
        <v>1874</v>
      </c>
      <c r="H1067" s="76">
        <f>STOCK[[#This Row],[Precio Final]]</f>
        <v>25</v>
      </c>
      <c r="I1067" s="76">
        <f>STOCK[[#This Row],[Precio Venta Ideal (x1.5)]]</f>
        <v>21.225</v>
      </c>
      <c r="J1067" s="91">
        <v>2</v>
      </c>
      <c r="K1067" s="91">
        <f>SUMIFS(VENTAS[Cantidad],VENTAS[Código del producto Vendido],STOCK[[#This Row],[Code]])</f>
        <v>2</v>
      </c>
      <c r="L1067" s="91">
        <f>STOCK[[#This Row],[Entradas]]-STOCK[[#This Row],[Salidas]]</f>
        <v>0</v>
      </c>
      <c r="M1067" s="76">
        <f>STOCK[[#This Row],[Precio Final]]*10%</f>
        <v>2.5</v>
      </c>
      <c r="N1067" s="76">
        <v>0</v>
      </c>
      <c r="O1067" s="76">
        <v>0</v>
      </c>
      <c r="P1067" s="76">
        <v>11.05</v>
      </c>
      <c r="Q1067" s="91">
        <v>0</v>
      </c>
      <c r="R1067" s="76">
        <v>0</v>
      </c>
      <c r="S1067" s="76">
        <v>0.6</v>
      </c>
      <c r="T1067" s="76">
        <f>STOCK[[#This Row],[Costo Unitario (USD)]]+STOCK[[#This Row],[Costo Envío (USD)]]+STOCK[[#This Row],[Comisión 10%]]</f>
        <v>14.15</v>
      </c>
      <c r="U1067" s="76">
        <f>STOCK[[#This Row],[Costo total]]*1.5</f>
        <v>21.225</v>
      </c>
      <c r="V1067" s="76">
        <v>25</v>
      </c>
      <c r="W1067" s="76">
        <f>STOCK[[#This Row],[Precio Final]]-STOCK[[#This Row],[Costo total]]</f>
        <v>10.85</v>
      </c>
      <c r="X1067" s="76">
        <f>STOCK[[#This Row],[Ganancia Unitaria]]*STOCK[[#This Row],[Salidas]]</f>
        <v>21.7</v>
      </c>
      <c r="Y1067" s="76" t="s">
        <v>2221</v>
      </c>
      <c r="AA1067" s="76">
        <f>STOCK[[#This Row],[Costo total]]*STOCK[[#This Row],[Entradas]]</f>
        <v>28.3</v>
      </c>
      <c r="AB1067" s="76">
        <f>STOCK[[#This Row],[Stock Actual]]*STOCK[[#This Row],[Costo total]]</f>
        <v>0</v>
      </c>
    </row>
    <row r="1068" s="77" customFormat="1" ht="50" customHeight="1" spans="1:28">
      <c r="A1068" s="77" t="s">
        <v>2222</v>
      </c>
      <c r="B1068" s="6"/>
      <c r="C1068" s="77" t="s">
        <v>30</v>
      </c>
      <c r="D1068" s="77" t="s">
        <v>2116</v>
      </c>
      <c r="E1068" s="77" t="s">
        <v>2223</v>
      </c>
      <c r="F1068" s="77" t="s">
        <v>60</v>
      </c>
      <c r="G1068" s="77" t="s">
        <v>1874</v>
      </c>
      <c r="H1068" s="77">
        <f>STOCK[[#This Row],[Precio Final]]</f>
        <v>20</v>
      </c>
      <c r="I1068" s="77">
        <f>STOCK[[#This Row],[Precio Venta Ideal (x1.5)]]</f>
        <v>15.885</v>
      </c>
      <c r="J1068" s="92">
        <v>1</v>
      </c>
      <c r="K1068" s="92">
        <f>SUMIFS(VENTAS[Cantidad],VENTAS[Código del producto Vendido],STOCK[[#This Row],[Code]])</f>
        <v>1</v>
      </c>
      <c r="L1068" s="92">
        <f>STOCK[[#This Row],[Entradas]]-STOCK[[#This Row],[Salidas]]</f>
        <v>0</v>
      </c>
      <c r="M1068" s="77">
        <f>STOCK[[#This Row],[Precio Final]]*10%</f>
        <v>2</v>
      </c>
      <c r="N1068" s="77">
        <v>0</v>
      </c>
      <c r="O1068" s="77">
        <v>0</v>
      </c>
      <c r="P1068" s="77">
        <v>7.99</v>
      </c>
      <c r="Q1068" s="92">
        <v>0</v>
      </c>
      <c r="R1068" s="77">
        <v>0</v>
      </c>
      <c r="S1068" s="77">
        <v>0.6</v>
      </c>
      <c r="T1068" s="76">
        <f>STOCK[[#This Row],[Costo Unitario (USD)]]+STOCK[[#This Row],[Costo Envío (USD)]]+STOCK[[#This Row],[Comisión 10%]]</f>
        <v>10.59</v>
      </c>
      <c r="U1068" s="77">
        <f>STOCK[[#This Row],[Costo total]]*1.5</f>
        <v>15.885</v>
      </c>
      <c r="V1068" s="77">
        <v>20</v>
      </c>
      <c r="W1068" s="77">
        <f>STOCK[[#This Row],[Precio Final]]-STOCK[[#This Row],[Costo total]]</f>
        <v>9.41</v>
      </c>
      <c r="X1068" s="77">
        <f>STOCK[[#This Row],[Ganancia Unitaria]]*STOCK[[#This Row],[Salidas]]</f>
        <v>9.41</v>
      </c>
      <c r="Y1068" s="77" t="s">
        <v>2224</v>
      </c>
      <c r="AA1068" s="77">
        <f>STOCK[[#This Row],[Costo total]]*STOCK[[#This Row],[Entradas]]</f>
        <v>10.59</v>
      </c>
      <c r="AB1068" s="77">
        <f>STOCK[[#This Row],[Stock Actual]]*STOCK[[#This Row],[Costo total]]</f>
        <v>0</v>
      </c>
    </row>
    <row r="1069" s="76" customFormat="1" ht="50" customHeight="1" spans="1:28">
      <c r="A1069" s="76" t="s">
        <v>2225</v>
      </c>
      <c r="B1069" s="6"/>
      <c r="C1069" s="76" t="s">
        <v>30</v>
      </c>
      <c r="D1069" s="76" t="s">
        <v>1806</v>
      </c>
      <c r="E1069" s="76" t="s">
        <v>2226</v>
      </c>
      <c r="F1069" s="76" t="s">
        <v>524</v>
      </c>
      <c r="G1069" s="76" t="s">
        <v>1874</v>
      </c>
      <c r="H1069" s="76">
        <f>STOCK[[#This Row],[Precio Final]]</f>
        <v>10</v>
      </c>
      <c r="I1069" s="76">
        <f>STOCK[[#This Row],[Precio Venta Ideal (x1.5)]]</f>
        <v>6.42</v>
      </c>
      <c r="J1069" s="91">
        <v>5</v>
      </c>
      <c r="K1069" s="91">
        <f>SUMIFS(VENTAS[Cantidad],VENTAS[Código del producto Vendido],STOCK[[#This Row],[Code]])</f>
        <v>5</v>
      </c>
      <c r="L1069" s="91">
        <f>STOCK[[#This Row],[Entradas]]-STOCK[[#This Row],[Salidas]]</f>
        <v>0</v>
      </c>
      <c r="M1069" s="76">
        <f>STOCK[[#This Row],[Precio Final]]*10%</f>
        <v>1</v>
      </c>
      <c r="N1069" s="76">
        <v>0</v>
      </c>
      <c r="O1069" s="76">
        <v>0</v>
      </c>
      <c r="P1069" s="76">
        <v>2.68</v>
      </c>
      <c r="Q1069" s="91">
        <v>0</v>
      </c>
      <c r="R1069" s="76">
        <v>0</v>
      </c>
      <c r="S1069" s="76">
        <v>0.6</v>
      </c>
      <c r="T1069" s="76">
        <f>STOCK[[#This Row],[Costo Unitario (USD)]]+STOCK[[#This Row],[Costo Envío (USD)]]+STOCK[[#This Row],[Comisión 10%]]</f>
        <v>4.28</v>
      </c>
      <c r="U1069" s="76">
        <f>STOCK[[#This Row],[Costo total]]*1.5</f>
        <v>6.42</v>
      </c>
      <c r="V1069" s="76">
        <v>10</v>
      </c>
      <c r="W1069" s="76">
        <f>STOCK[[#This Row],[Precio Final]]-STOCK[[#This Row],[Costo total]]</f>
        <v>5.72</v>
      </c>
      <c r="X1069" s="76">
        <f>STOCK[[#This Row],[Ganancia Unitaria]]*STOCK[[#This Row],[Salidas]]</f>
        <v>28.6</v>
      </c>
      <c r="Y1069" s="76" t="s">
        <v>2227</v>
      </c>
      <c r="AA1069" s="76">
        <f>STOCK[[#This Row],[Costo total]]*STOCK[[#This Row],[Entradas]]</f>
        <v>21.4</v>
      </c>
      <c r="AB1069" s="76">
        <f>STOCK[[#This Row],[Stock Actual]]*STOCK[[#This Row],[Costo total]]</f>
        <v>0</v>
      </c>
    </row>
    <row r="1070" s="77" customFormat="1" ht="50" customHeight="1" spans="1:28">
      <c r="A1070" s="77" t="s">
        <v>2228</v>
      </c>
      <c r="B1070" s="6"/>
      <c r="C1070" s="77" t="s">
        <v>30</v>
      </c>
      <c r="D1070" s="77" t="s">
        <v>2116</v>
      </c>
      <c r="E1070" s="77" t="s">
        <v>2229</v>
      </c>
      <c r="F1070" s="77" t="s">
        <v>44</v>
      </c>
      <c r="G1070" s="77" t="s">
        <v>1874</v>
      </c>
      <c r="H1070" s="77">
        <f>STOCK[[#This Row],[Precio Final]]</f>
        <v>25</v>
      </c>
      <c r="I1070" s="77">
        <f>STOCK[[#This Row],[Precio Venta Ideal (x1.5)]]</f>
        <v>22.035</v>
      </c>
      <c r="J1070" s="92">
        <v>1</v>
      </c>
      <c r="K1070" s="92">
        <f>SUMIFS(VENTAS[Cantidad],VENTAS[Código del producto Vendido],STOCK[[#This Row],[Code]])</f>
        <v>1</v>
      </c>
      <c r="L1070" s="92">
        <f>STOCK[[#This Row],[Entradas]]-STOCK[[#This Row],[Salidas]]</f>
        <v>0</v>
      </c>
      <c r="M1070" s="77">
        <f>STOCK[[#This Row],[Precio Final]]*10%</f>
        <v>2.5</v>
      </c>
      <c r="N1070" s="77">
        <v>0</v>
      </c>
      <c r="O1070" s="77">
        <v>0</v>
      </c>
      <c r="P1070" s="77">
        <v>11.59</v>
      </c>
      <c r="Q1070" s="92">
        <v>0</v>
      </c>
      <c r="R1070" s="77">
        <v>0</v>
      </c>
      <c r="S1070" s="77">
        <v>0.6</v>
      </c>
      <c r="T1070" s="76">
        <f>STOCK[[#This Row],[Costo Unitario (USD)]]+STOCK[[#This Row],[Costo Envío (USD)]]+STOCK[[#This Row],[Comisión 10%]]</f>
        <v>14.69</v>
      </c>
      <c r="U1070" s="77">
        <f>STOCK[[#This Row],[Costo total]]*1.5</f>
        <v>22.035</v>
      </c>
      <c r="V1070" s="77">
        <v>25</v>
      </c>
      <c r="W1070" s="77">
        <f>STOCK[[#This Row],[Precio Final]]-STOCK[[#This Row],[Costo total]]</f>
        <v>10.31</v>
      </c>
      <c r="X1070" s="77">
        <f>STOCK[[#This Row],[Ganancia Unitaria]]*STOCK[[#This Row],[Salidas]]</f>
        <v>10.31</v>
      </c>
      <c r="Y1070" s="77" t="s">
        <v>2230</v>
      </c>
      <c r="AA1070" s="77">
        <f>STOCK[[#This Row],[Costo total]]*STOCK[[#This Row],[Entradas]]</f>
        <v>14.69</v>
      </c>
      <c r="AB1070" s="77">
        <f>STOCK[[#This Row],[Stock Actual]]*STOCK[[#This Row],[Costo total]]</f>
        <v>0</v>
      </c>
    </row>
    <row r="1071" s="76" customFormat="1" ht="50" customHeight="1" spans="1:28">
      <c r="A1071" s="76" t="s">
        <v>2231</v>
      </c>
      <c r="B1071" s="6"/>
      <c r="C1071" s="76" t="s">
        <v>30</v>
      </c>
      <c r="D1071" s="76" t="s">
        <v>2116</v>
      </c>
      <c r="E1071" s="76" t="s">
        <v>2232</v>
      </c>
      <c r="F1071" s="76" t="s">
        <v>47</v>
      </c>
      <c r="G1071" s="76" t="s">
        <v>1874</v>
      </c>
      <c r="H1071" s="76">
        <f>STOCK[[#This Row],[Precio Final]]</f>
        <v>25</v>
      </c>
      <c r="I1071" s="76">
        <f>STOCK[[#This Row],[Precio Venta Ideal (x1.5)]]</f>
        <v>22.035</v>
      </c>
      <c r="J1071" s="91">
        <v>3</v>
      </c>
      <c r="K1071" s="91">
        <f>SUMIFS(VENTAS[Cantidad],VENTAS[Código del producto Vendido],STOCK[[#This Row],[Code]])</f>
        <v>3</v>
      </c>
      <c r="L1071" s="91">
        <f>STOCK[[#This Row],[Entradas]]-STOCK[[#This Row],[Salidas]]</f>
        <v>0</v>
      </c>
      <c r="M1071" s="76">
        <f>STOCK[[#This Row],[Precio Final]]*10%</f>
        <v>2.5</v>
      </c>
      <c r="N1071" s="76">
        <v>0</v>
      </c>
      <c r="O1071" s="76">
        <v>0</v>
      </c>
      <c r="P1071" s="76">
        <v>11.59</v>
      </c>
      <c r="Q1071" s="91">
        <v>0</v>
      </c>
      <c r="R1071" s="76">
        <v>0</v>
      </c>
      <c r="S1071" s="76">
        <v>0.6</v>
      </c>
      <c r="T1071" s="76">
        <f>STOCK[[#This Row],[Costo Unitario (USD)]]+STOCK[[#This Row],[Costo Envío (USD)]]+STOCK[[#This Row],[Comisión 10%]]</f>
        <v>14.69</v>
      </c>
      <c r="U1071" s="76">
        <f>STOCK[[#This Row],[Costo total]]*1.5</f>
        <v>22.035</v>
      </c>
      <c r="V1071" s="76">
        <v>25</v>
      </c>
      <c r="W1071" s="76">
        <f>STOCK[[#This Row],[Precio Final]]-STOCK[[#This Row],[Costo total]]</f>
        <v>10.31</v>
      </c>
      <c r="X1071" s="76">
        <f>STOCK[[#This Row],[Ganancia Unitaria]]*STOCK[[#This Row],[Salidas]]</f>
        <v>30.93</v>
      </c>
      <c r="Y1071" s="76" t="s">
        <v>2233</v>
      </c>
      <c r="AA1071" s="76">
        <f>STOCK[[#This Row],[Costo total]]*STOCK[[#This Row],[Entradas]]</f>
        <v>44.07</v>
      </c>
      <c r="AB1071" s="76">
        <f>STOCK[[#This Row],[Stock Actual]]*STOCK[[#This Row],[Costo total]]</f>
        <v>0</v>
      </c>
    </row>
    <row r="1072" s="77" customFormat="1" ht="50" customHeight="1" spans="1:28">
      <c r="A1072" s="77" t="s">
        <v>2234</v>
      </c>
      <c r="B1072" s="6"/>
      <c r="C1072" s="77" t="s">
        <v>30</v>
      </c>
      <c r="D1072" s="77" t="s">
        <v>36</v>
      </c>
      <c r="E1072" s="77" t="s">
        <v>2220</v>
      </c>
      <c r="F1072" s="77" t="s">
        <v>2235</v>
      </c>
      <c r="G1072" s="77" t="s">
        <v>1874</v>
      </c>
      <c r="H1072" s="77">
        <f>STOCK[[#This Row],[Precio Final]]</f>
        <v>25</v>
      </c>
      <c r="I1072" s="77">
        <f>STOCK[[#This Row],[Precio Venta Ideal (x1.5)]]</f>
        <v>21.225</v>
      </c>
      <c r="J1072" s="92">
        <v>2</v>
      </c>
      <c r="K1072" s="92">
        <f>SUMIFS(VENTAS[Cantidad],VENTAS[Código del producto Vendido],STOCK[[#This Row],[Code]])</f>
        <v>0</v>
      </c>
      <c r="L1072" s="92">
        <f>STOCK[[#This Row],[Entradas]]-STOCK[[#This Row],[Salidas]]</f>
        <v>2</v>
      </c>
      <c r="M1072" s="77">
        <f>STOCK[[#This Row],[Precio Final]]*10%</f>
        <v>2.5</v>
      </c>
      <c r="N1072" s="77">
        <v>0</v>
      </c>
      <c r="O1072" s="77">
        <v>0</v>
      </c>
      <c r="P1072" s="77">
        <v>11.05</v>
      </c>
      <c r="Q1072" s="92">
        <v>0</v>
      </c>
      <c r="R1072" s="77">
        <v>0</v>
      </c>
      <c r="S1072" s="77">
        <v>0.6</v>
      </c>
      <c r="T1072" s="76">
        <f>STOCK[[#This Row],[Costo Unitario (USD)]]+STOCK[[#This Row],[Costo Envío (USD)]]+STOCK[[#This Row],[Comisión 10%]]</f>
        <v>14.15</v>
      </c>
      <c r="U1072" s="77">
        <f>STOCK[[#This Row],[Costo total]]*1.5</f>
        <v>21.225</v>
      </c>
      <c r="V1072" s="77">
        <v>25</v>
      </c>
      <c r="W1072" s="77">
        <f>STOCK[[#This Row],[Precio Final]]-STOCK[[#This Row],[Costo total]]</f>
        <v>10.85</v>
      </c>
      <c r="X1072" s="77">
        <f>STOCK[[#This Row],[Ganancia Unitaria]]*STOCK[[#This Row],[Salidas]]</f>
        <v>0</v>
      </c>
      <c r="Y1072" s="77" t="s">
        <v>2236</v>
      </c>
      <c r="AA1072" s="77">
        <f>STOCK[[#This Row],[Costo total]]*STOCK[[#This Row],[Entradas]]</f>
        <v>28.3</v>
      </c>
      <c r="AB1072" s="77">
        <f>STOCK[[#This Row],[Stock Actual]]*STOCK[[#This Row],[Costo total]]</f>
        <v>28.3</v>
      </c>
    </row>
    <row r="1073" s="76" customFormat="1" ht="50" customHeight="1" spans="1:28">
      <c r="A1073" s="76" t="s">
        <v>2237</v>
      </c>
      <c r="B1073" s="6"/>
      <c r="C1073" s="76" t="s">
        <v>30</v>
      </c>
      <c r="D1073" s="76" t="s">
        <v>1879</v>
      </c>
      <c r="E1073" s="76" t="s">
        <v>2238</v>
      </c>
      <c r="F1073" s="76" t="s">
        <v>2106</v>
      </c>
      <c r="G1073" s="76" t="s">
        <v>1874</v>
      </c>
      <c r="H1073" s="76">
        <f>STOCK[[#This Row],[Precio Final]]</f>
        <v>25</v>
      </c>
      <c r="I1073" s="76">
        <f>STOCK[[#This Row],[Precio Venta Ideal (x1.5)]]</f>
        <v>20.385</v>
      </c>
      <c r="J1073" s="91">
        <v>5</v>
      </c>
      <c r="K1073" s="91">
        <f>SUMIFS(VENTAS[Cantidad],VENTAS[Código del producto Vendido],STOCK[[#This Row],[Code]])</f>
        <v>5</v>
      </c>
      <c r="L1073" s="91">
        <f>STOCK[[#This Row],[Entradas]]-STOCK[[#This Row],[Salidas]]</f>
        <v>0</v>
      </c>
      <c r="M1073" s="76">
        <f>STOCK[[#This Row],[Precio Final]]*10%</f>
        <v>2.5</v>
      </c>
      <c r="N1073" s="76">
        <v>0</v>
      </c>
      <c r="O1073" s="76">
        <v>0</v>
      </c>
      <c r="P1073" s="76">
        <v>10.49</v>
      </c>
      <c r="Q1073" s="91">
        <v>0</v>
      </c>
      <c r="R1073" s="76">
        <v>0</v>
      </c>
      <c r="S1073" s="76">
        <v>0.6</v>
      </c>
      <c r="T1073" s="76">
        <f>STOCK[[#This Row],[Costo Unitario (USD)]]+STOCK[[#This Row],[Costo Envío (USD)]]+STOCK[[#This Row],[Comisión 10%]]</f>
        <v>13.59</v>
      </c>
      <c r="U1073" s="76">
        <f>STOCK[[#This Row],[Costo total]]*1.5</f>
        <v>20.385</v>
      </c>
      <c r="V1073" s="76">
        <v>25</v>
      </c>
      <c r="W1073" s="76">
        <f>STOCK[[#This Row],[Precio Final]]-STOCK[[#This Row],[Costo total]]</f>
        <v>11.41</v>
      </c>
      <c r="X1073" s="76">
        <f>STOCK[[#This Row],[Ganancia Unitaria]]*STOCK[[#This Row],[Salidas]]</f>
        <v>57.05</v>
      </c>
      <c r="Y1073" s="76" t="s">
        <v>2239</v>
      </c>
      <c r="AA1073" s="76">
        <f>STOCK[[#This Row],[Costo total]]*STOCK[[#This Row],[Entradas]]</f>
        <v>67.95</v>
      </c>
      <c r="AB1073" s="76">
        <f>STOCK[[#This Row],[Stock Actual]]*STOCK[[#This Row],[Costo total]]</f>
        <v>0</v>
      </c>
    </row>
    <row r="1074" s="77" customFormat="1" ht="50" customHeight="1" spans="1:28">
      <c r="A1074" s="77" t="s">
        <v>2240</v>
      </c>
      <c r="B1074" s="6"/>
      <c r="C1074" s="77" t="s">
        <v>30</v>
      </c>
      <c r="D1074" s="77" t="s">
        <v>36</v>
      </c>
      <c r="E1074" s="77" t="s">
        <v>2122</v>
      </c>
      <c r="F1074" s="77" t="s">
        <v>47</v>
      </c>
      <c r="G1074" s="77" t="s">
        <v>1874</v>
      </c>
      <c r="H1074" s="77">
        <f>STOCK[[#This Row],[Precio Final]]</f>
        <v>25</v>
      </c>
      <c r="I1074" s="77">
        <f>STOCK[[#This Row],[Precio Venta Ideal (x1.5)]]</f>
        <v>19.935</v>
      </c>
      <c r="J1074" s="92">
        <v>2</v>
      </c>
      <c r="K1074" s="92">
        <f>SUMIFS(VENTAS[Cantidad],VENTAS[Código del producto Vendido],STOCK[[#This Row],[Code]])</f>
        <v>2</v>
      </c>
      <c r="L1074" s="92">
        <f>STOCK[[#This Row],[Entradas]]-STOCK[[#This Row],[Salidas]]</f>
        <v>0</v>
      </c>
      <c r="M1074" s="77">
        <f>STOCK[[#This Row],[Precio Final]]*10%</f>
        <v>2.5</v>
      </c>
      <c r="N1074" s="77">
        <v>0</v>
      </c>
      <c r="O1074" s="77">
        <v>0</v>
      </c>
      <c r="P1074" s="77">
        <v>10.19</v>
      </c>
      <c r="Q1074" s="92">
        <v>0</v>
      </c>
      <c r="R1074" s="77">
        <v>0</v>
      </c>
      <c r="S1074" s="77">
        <v>0.6</v>
      </c>
      <c r="T1074" s="76">
        <f>STOCK[[#This Row],[Costo Unitario (USD)]]+STOCK[[#This Row],[Costo Envío (USD)]]+STOCK[[#This Row],[Comisión 10%]]</f>
        <v>13.29</v>
      </c>
      <c r="U1074" s="77">
        <f>STOCK[[#This Row],[Costo total]]*1.5</f>
        <v>19.935</v>
      </c>
      <c r="V1074" s="77">
        <v>25</v>
      </c>
      <c r="W1074" s="77">
        <f>STOCK[[#This Row],[Precio Final]]-STOCK[[#This Row],[Costo total]]</f>
        <v>11.71</v>
      </c>
      <c r="X1074" s="77">
        <f>STOCK[[#This Row],[Ganancia Unitaria]]*STOCK[[#This Row],[Salidas]]</f>
        <v>23.42</v>
      </c>
      <c r="Y1074" s="77" t="s">
        <v>2241</v>
      </c>
      <c r="AA1074" s="77">
        <f>STOCK[[#This Row],[Costo total]]*STOCK[[#This Row],[Entradas]]</f>
        <v>26.58</v>
      </c>
      <c r="AB1074" s="77">
        <f>STOCK[[#This Row],[Stock Actual]]*STOCK[[#This Row],[Costo total]]</f>
        <v>0</v>
      </c>
    </row>
    <row r="1075" s="76" customFormat="1" ht="50" customHeight="1" spans="1:28">
      <c r="A1075" s="76" t="s">
        <v>2242</v>
      </c>
      <c r="B1075" s="6"/>
      <c r="C1075" s="76" t="s">
        <v>30</v>
      </c>
      <c r="D1075" s="77" t="s">
        <v>36</v>
      </c>
      <c r="E1075" s="76" t="s">
        <v>2243</v>
      </c>
      <c r="F1075" s="76" t="s">
        <v>60</v>
      </c>
      <c r="G1075" s="76" t="s">
        <v>1874</v>
      </c>
      <c r="H1075" s="76">
        <f>STOCK[[#This Row],[Precio Final]]</f>
        <v>15</v>
      </c>
      <c r="I1075" s="76">
        <f>STOCK[[#This Row],[Precio Venta Ideal (x1.5)]]</f>
        <v>9.285</v>
      </c>
      <c r="J1075" s="91">
        <v>2</v>
      </c>
      <c r="K1075" s="91">
        <f>SUMIFS(VENTAS[Cantidad],VENTAS[Código del producto Vendido],STOCK[[#This Row],[Code]])</f>
        <v>0</v>
      </c>
      <c r="L1075" s="91">
        <f>STOCK[[#This Row],[Entradas]]-STOCK[[#This Row],[Salidas]]</f>
        <v>2</v>
      </c>
      <c r="M1075" s="76">
        <f>STOCK[[#This Row],[Precio Final]]*10%</f>
        <v>1.5</v>
      </c>
      <c r="N1075" s="76">
        <v>0</v>
      </c>
      <c r="O1075" s="76">
        <v>0</v>
      </c>
      <c r="P1075" s="76">
        <v>4.09</v>
      </c>
      <c r="Q1075" s="91">
        <v>0</v>
      </c>
      <c r="R1075" s="76">
        <v>0</v>
      </c>
      <c r="S1075" s="76">
        <v>0.6</v>
      </c>
      <c r="T1075" s="76">
        <f>STOCK[[#This Row],[Costo Unitario (USD)]]+STOCK[[#This Row],[Costo Envío (USD)]]+STOCK[[#This Row],[Comisión 10%]]</f>
        <v>6.19</v>
      </c>
      <c r="U1075" s="76">
        <f>STOCK[[#This Row],[Costo total]]*1.5</f>
        <v>9.285</v>
      </c>
      <c r="V1075" s="76">
        <v>15</v>
      </c>
      <c r="W1075" s="76">
        <f>STOCK[[#This Row],[Precio Final]]-STOCK[[#This Row],[Costo total]]</f>
        <v>8.81</v>
      </c>
      <c r="X1075" s="76">
        <f>STOCK[[#This Row],[Ganancia Unitaria]]*STOCK[[#This Row],[Salidas]]</f>
        <v>0</v>
      </c>
      <c r="Y1075" s="76" t="s">
        <v>2244</v>
      </c>
      <c r="AA1075" s="76">
        <f>STOCK[[#This Row],[Costo total]]*STOCK[[#This Row],[Entradas]]</f>
        <v>12.38</v>
      </c>
      <c r="AB1075" s="76">
        <f>STOCK[[#This Row],[Stock Actual]]*STOCK[[#This Row],[Costo total]]</f>
        <v>12.38</v>
      </c>
    </row>
    <row r="1076" s="77" customFormat="1" ht="50" customHeight="1" spans="1:28">
      <c r="A1076" s="77" t="s">
        <v>2245</v>
      </c>
      <c r="B1076" s="6"/>
      <c r="C1076" s="77" t="s">
        <v>30</v>
      </c>
      <c r="D1076" s="77" t="s">
        <v>36</v>
      </c>
      <c r="E1076" s="77" t="s">
        <v>2246</v>
      </c>
      <c r="F1076" s="77" t="s">
        <v>995</v>
      </c>
      <c r="G1076" s="77" t="s">
        <v>1874</v>
      </c>
      <c r="H1076" s="77">
        <f>STOCK[[#This Row],[Precio Final]]</f>
        <v>20</v>
      </c>
      <c r="I1076" s="77">
        <f>STOCK[[#This Row],[Precio Venta Ideal (x1.5)]]</f>
        <v>11.985</v>
      </c>
      <c r="J1076" s="92">
        <v>1</v>
      </c>
      <c r="K1076" s="92">
        <f>SUMIFS(VENTAS[Cantidad],VENTAS[Código del producto Vendido],STOCK[[#This Row],[Code]])</f>
        <v>1</v>
      </c>
      <c r="L1076" s="92">
        <f>STOCK[[#This Row],[Entradas]]-STOCK[[#This Row],[Salidas]]</f>
        <v>0</v>
      </c>
      <c r="M1076" s="77">
        <f>STOCK[[#This Row],[Precio Final]]*10%</f>
        <v>2</v>
      </c>
      <c r="N1076" s="77">
        <v>0</v>
      </c>
      <c r="O1076" s="77">
        <v>0</v>
      </c>
      <c r="P1076" s="77">
        <v>5.39</v>
      </c>
      <c r="Q1076" s="92">
        <v>0</v>
      </c>
      <c r="R1076" s="77">
        <v>0</v>
      </c>
      <c r="S1076" s="77">
        <v>0.6</v>
      </c>
      <c r="T1076" s="76">
        <f>STOCK[[#This Row],[Costo Unitario (USD)]]+STOCK[[#This Row],[Costo Envío (USD)]]+STOCK[[#This Row],[Comisión 10%]]</f>
        <v>7.99</v>
      </c>
      <c r="U1076" s="77">
        <f>STOCK[[#This Row],[Costo total]]*1.5</f>
        <v>11.985</v>
      </c>
      <c r="V1076" s="77">
        <v>20</v>
      </c>
      <c r="W1076" s="77">
        <f>STOCK[[#This Row],[Precio Final]]-STOCK[[#This Row],[Costo total]]</f>
        <v>12.01</v>
      </c>
      <c r="X1076" s="77">
        <f>STOCK[[#This Row],[Ganancia Unitaria]]*STOCK[[#This Row],[Salidas]]</f>
        <v>12.01</v>
      </c>
      <c r="Y1076" s="77" t="s">
        <v>2247</v>
      </c>
      <c r="AA1076" s="77">
        <f>STOCK[[#This Row],[Costo total]]*STOCK[[#This Row],[Entradas]]</f>
        <v>7.99</v>
      </c>
      <c r="AB1076" s="77">
        <f>STOCK[[#This Row],[Stock Actual]]*STOCK[[#This Row],[Costo total]]</f>
        <v>0</v>
      </c>
    </row>
    <row r="1077" s="76" customFormat="1" ht="50" customHeight="1" spans="1:28">
      <c r="A1077" s="76" t="s">
        <v>2248</v>
      </c>
      <c r="B1077" s="6"/>
      <c r="C1077" s="76" t="s">
        <v>30</v>
      </c>
      <c r="D1077" s="77" t="s">
        <v>36</v>
      </c>
      <c r="E1077" s="76" t="s">
        <v>2249</v>
      </c>
      <c r="F1077" s="76" t="s">
        <v>47</v>
      </c>
      <c r="G1077" s="76" t="s">
        <v>1874</v>
      </c>
      <c r="H1077" s="76">
        <f>STOCK[[#This Row],[Precio Final]]</f>
        <v>20</v>
      </c>
      <c r="I1077" s="76">
        <f>STOCK[[#This Row],[Precio Venta Ideal (x1.5)]]</f>
        <v>15.99</v>
      </c>
      <c r="J1077" s="91">
        <v>1</v>
      </c>
      <c r="K1077" s="91">
        <f>SUMIFS(VENTAS[Cantidad],VENTAS[Código del producto Vendido],STOCK[[#This Row],[Code]])</f>
        <v>1</v>
      </c>
      <c r="L1077" s="91">
        <f>STOCK[[#This Row],[Entradas]]-STOCK[[#This Row],[Salidas]]</f>
        <v>0</v>
      </c>
      <c r="M1077" s="76">
        <f>STOCK[[#This Row],[Precio Final]]*10%</f>
        <v>2</v>
      </c>
      <c r="N1077" s="76">
        <v>0</v>
      </c>
      <c r="O1077" s="76">
        <v>0</v>
      </c>
      <c r="P1077" s="76">
        <v>8.06</v>
      </c>
      <c r="Q1077" s="91">
        <v>0</v>
      </c>
      <c r="R1077" s="76">
        <v>0</v>
      </c>
      <c r="S1077" s="76">
        <v>0.6</v>
      </c>
      <c r="T1077" s="76">
        <f>STOCK[[#This Row],[Costo Unitario (USD)]]+STOCK[[#This Row],[Costo Envío (USD)]]+STOCK[[#This Row],[Comisión 10%]]</f>
        <v>10.66</v>
      </c>
      <c r="U1077" s="76">
        <f>STOCK[[#This Row],[Costo total]]*1.5</f>
        <v>15.99</v>
      </c>
      <c r="V1077" s="76">
        <v>20</v>
      </c>
      <c r="W1077" s="76">
        <f>STOCK[[#This Row],[Precio Final]]-STOCK[[#This Row],[Costo total]]</f>
        <v>9.34</v>
      </c>
      <c r="X1077" s="76">
        <f>STOCK[[#This Row],[Ganancia Unitaria]]*STOCK[[#This Row],[Salidas]]</f>
        <v>9.34</v>
      </c>
      <c r="Y1077" s="76" t="s">
        <v>2250</v>
      </c>
      <c r="AA1077" s="76">
        <f>STOCK[[#This Row],[Costo total]]*STOCK[[#This Row],[Entradas]]</f>
        <v>10.66</v>
      </c>
      <c r="AB1077" s="76">
        <f>STOCK[[#This Row],[Stock Actual]]*STOCK[[#This Row],[Costo total]]</f>
        <v>0</v>
      </c>
    </row>
    <row r="1078" s="77" customFormat="1" ht="50" customHeight="1" spans="1:28">
      <c r="A1078" s="77" t="s">
        <v>2251</v>
      </c>
      <c r="B1078" s="6"/>
      <c r="C1078" s="77" t="s">
        <v>30</v>
      </c>
      <c r="D1078" s="77" t="s">
        <v>2125</v>
      </c>
      <c r="E1078" s="77" t="s">
        <v>2249</v>
      </c>
      <c r="F1078" s="77" t="s">
        <v>60</v>
      </c>
      <c r="G1078" s="77" t="s">
        <v>1874</v>
      </c>
      <c r="H1078" s="77">
        <f>STOCK[[#This Row],[Precio Final]]</f>
        <v>20</v>
      </c>
      <c r="I1078" s="77">
        <f>STOCK[[#This Row],[Precio Venta Ideal (x1.5)]]</f>
        <v>15.99</v>
      </c>
      <c r="J1078" s="92">
        <v>1</v>
      </c>
      <c r="K1078" s="92">
        <f>SUMIFS(VENTAS[Cantidad],VENTAS[Código del producto Vendido],STOCK[[#This Row],[Code]])</f>
        <v>1</v>
      </c>
      <c r="L1078" s="92">
        <f>STOCK[[#This Row],[Entradas]]-STOCK[[#This Row],[Salidas]]</f>
        <v>0</v>
      </c>
      <c r="M1078" s="77">
        <f>STOCK[[#This Row],[Precio Final]]*10%</f>
        <v>2</v>
      </c>
      <c r="N1078" s="77">
        <v>0</v>
      </c>
      <c r="O1078" s="77">
        <v>0</v>
      </c>
      <c r="P1078" s="77">
        <v>8.06</v>
      </c>
      <c r="Q1078" s="92">
        <v>0</v>
      </c>
      <c r="R1078" s="77">
        <v>0</v>
      </c>
      <c r="S1078" s="77">
        <v>0.6</v>
      </c>
      <c r="T1078" s="76">
        <f>STOCK[[#This Row],[Costo Unitario (USD)]]+STOCK[[#This Row],[Costo Envío (USD)]]+STOCK[[#This Row],[Comisión 10%]]</f>
        <v>10.66</v>
      </c>
      <c r="U1078" s="77">
        <f>STOCK[[#This Row],[Costo total]]*1.5</f>
        <v>15.99</v>
      </c>
      <c r="V1078" s="77">
        <v>20</v>
      </c>
      <c r="W1078" s="77">
        <f>STOCK[[#This Row],[Precio Final]]-STOCK[[#This Row],[Costo total]]</f>
        <v>9.34</v>
      </c>
      <c r="X1078" s="77">
        <f>STOCK[[#This Row],[Ganancia Unitaria]]*STOCK[[#This Row],[Salidas]]</f>
        <v>9.34</v>
      </c>
      <c r="Y1078" s="77" t="s">
        <v>2252</v>
      </c>
      <c r="AA1078" s="77">
        <f>STOCK[[#This Row],[Costo total]]*STOCK[[#This Row],[Entradas]]</f>
        <v>10.66</v>
      </c>
      <c r="AB1078" s="77">
        <f>STOCK[[#This Row],[Stock Actual]]*STOCK[[#This Row],[Costo total]]</f>
        <v>0</v>
      </c>
    </row>
    <row r="1079" s="76" customFormat="1" ht="50" customHeight="1" spans="1:28">
      <c r="A1079" s="76" t="s">
        <v>2253</v>
      </c>
      <c r="B1079" s="6"/>
      <c r="C1079" s="76" t="s">
        <v>30</v>
      </c>
      <c r="D1079" s="76" t="s">
        <v>42</v>
      </c>
      <c r="E1079" s="76" t="s">
        <v>2210</v>
      </c>
      <c r="F1079" s="76" t="s">
        <v>38</v>
      </c>
      <c r="G1079" s="76" t="s">
        <v>1874</v>
      </c>
      <c r="H1079" s="76">
        <f>STOCK[[#This Row],[Precio Final]]</f>
        <v>35</v>
      </c>
      <c r="I1079" s="76">
        <f>STOCK[[#This Row],[Precio Venta Ideal (x1.5)]]</f>
        <v>28.335</v>
      </c>
      <c r="J1079" s="91">
        <v>2</v>
      </c>
      <c r="K1079" s="91">
        <f>SUMIFS(VENTAS[Cantidad],VENTAS[Código del producto Vendido],STOCK[[#This Row],[Code]])</f>
        <v>1</v>
      </c>
      <c r="L1079" s="91">
        <f>STOCK[[#This Row],[Entradas]]-STOCK[[#This Row],[Salidas]]</f>
        <v>1</v>
      </c>
      <c r="M1079" s="76">
        <f>STOCK[[#This Row],[Precio Final]]*10%</f>
        <v>3.5</v>
      </c>
      <c r="N1079" s="76">
        <v>0</v>
      </c>
      <c r="O1079" s="76">
        <v>0</v>
      </c>
      <c r="P1079" s="76">
        <v>14.79</v>
      </c>
      <c r="Q1079" s="91">
        <v>0</v>
      </c>
      <c r="R1079" s="76">
        <v>0</v>
      </c>
      <c r="S1079" s="76">
        <v>0.6</v>
      </c>
      <c r="T1079" s="76">
        <f>STOCK[[#This Row],[Costo Unitario (USD)]]+STOCK[[#This Row],[Costo Envío (USD)]]+STOCK[[#This Row],[Comisión 10%]]</f>
        <v>18.89</v>
      </c>
      <c r="U1079" s="76">
        <f>STOCK[[#This Row],[Costo total]]*1.5</f>
        <v>28.335</v>
      </c>
      <c r="V1079" s="76">
        <v>35</v>
      </c>
      <c r="W1079" s="76">
        <f>STOCK[[#This Row],[Precio Final]]-STOCK[[#This Row],[Costo total]]</f>
        <v>16.11</v>
      </c>
      <c r="X1079" s="76">
        <f>STOCK[[#This Row],[Ganancia Unitaria]]*STOCK[[#This Row],[Salidas]]</f>
        <v>16.11</v>
      </c>
      <c r="Y1079" s="76" t="s">
        <v>2254</v>
      </c>
      <c r="AA1079" s="76">
        <f>STOCK[[#This Row],[Costo total]]*STOCK[[#This Row],[Entradas]]</f>
        <v>37.78</v>
      </c>
      <c r="AB1079" s="76">
        <f>STOCK[[#This Row],[Stock Actual]]*STOCK[[#This Row],[Costo total]]</f>
        <v>18.89</v>
      </c>
    </row>
    <row r="1080" s="77" customFormat="1" ht="50" customHeight="1" spans="1:28">
      <c r="A1080" s="77" t="s">
        <v>2255</v>
      </c>
      <c r="B1080" s="6"/>
      <c r="C1080" s="77" t="s">
        <v>30</v>
      </c>
      <c r="D1080" s="77" t="s">
        <v>42</v>
      </c>
      <c r="E1080" s="77" t="s">
        <v>2256</v>
      </c>
      <c r="F1080" s="77" t="s">
        <v>47</v>
      </c>
      <c r="G1080" s="77" t="s">
        <v>1874</v>
      </c>
      <c r="H1080" s="77">
        <f>STOCK[[#This Row],[Precio Final]]</f>
        <v>30</v>
      </c>
      <c r="I1080" s="77">
        <f>STOCK[[#This Row],[Precio Venta Ideal (x1.5)]]</f>
        <v>22.665</v>
      </c>
      <c r="J1080" s="92">
        <v>0</v>
      </c>
      <c r="K1080" s="92">
        <f>SUMIFS(VENTAS[Cantidad],VENTAS[Código del producto Vendido],STOCK[[#This Row],[Code]])</f>
        <v>0</v>
      </c>
      <c r="L1080" s="92">
        <f>STOCK[[#This Row],[Entradas]]-STOCK[[#This Row],[Salidas]]</f>
        <v>0</v>
      </c>
      <c r="M1080" s="77">
        <f>STOCK[[#This Row],[Precio Final]]*10%</f>
        <v>3</v>
      </c>
      <c r="N1080" s="77">
        <v>0</v>
      </c>
      <c r="O1080" s="77">
        <v>0</v>
      </c>
      <c r="P1080" s="77">
        <v>11.51</v>
      </c>
      <c r="Q1080" s="92">
        <v>0</v>
      </c>
      <c r="R1080" s="77">
        <v>0</v>
      </c>
      <c r="S1080" s="77">
        <v>0.6</v>
      </c>
      <c r="T1080" s="76">
        <f>STOCK[[#This Row],[Costo Unitario (USD)]]+STOCK[[#This Row],[Costo Envío (USD)]]+STOCK[[#This Row],[Comisión 10%]]</f>
        <v>15.11</v>
      </c>
      <c r="U1080" s="77">
        <f>STOCK[[#This Row],[Costo total]]*1.5</f>
        <v>22.665</v>
      </c>
      <c r="V1080" s="77">
        <v>30</v>
      </c>
      <c r="W1080" s="77">
        <f>STOCK[[#This Row],[Precio Final]]-STOCK[[#This Row],[Costo total]]</f>
        <v>14.89</v>
      </c>
      <c r="X1080" s="77">
        <f>STOCK[[#This Row],[Ganancia Unitaria]]*STOCK[[#This Row],[Salidas]]</f>
        <v>0</v>
      </c>
      <c r="Y1080" s="77" t="s">
        <v>2257</v>
      </c>
      <c r="AA1080" s="77">
        <f>STOCK[[#This Row],[Costo total]]*STOCK[[#This Row],[Entradas]]</f>
        <v>0</v>
      </c>
      <c r="AB1080" s="77">
        <f>STOCK[[#This Row],[Stock Actual]]*STOCK[[#This Row],[Costo total]]</f>
        <v>0</v>
      </c>
    </row>
    <row r="1081" s="76" customFormat="1" ht="50" customHeight="1" spans="1:28">
      <c r="A1081" s="76" t="s">
        <v>2258</v>
      </c>
      <c r="B1081" s="6"/>
      <c r="C1081" s="76" t="s">
        <v>30</v>
      </c>
      <c r="D1081" s="76" t="s">
        <v>42</v>
      </c>
      <c r="E1081" s="76" t="s">
        <v>2256</v>
      </c>
      <c r="F1081" s="76" t="s">
        <v>44</v>
      </c>
      <c r="G1081" s="76" t="s">
        <v>1874</v>
      </c>
      <c r="H1081" s="76">
        <f>STOCK[[#This Row],[Precio Final]]</f>
        <v>30</v>
      </c>
      <c r="I1081" s="76">
        <f>STOCK[[#This Row],[Precio Venta Ideal (x1.5)]]</f>
        <v>22.665</v>
      </c>
      <c r="J1081" s="91">
        <v>0</v>
      </c>
      <c r="K1081" s="91">
        <f>SUMIFS(VENTAS[Cantidad],VENTAS[Código del producto Vendido],STOCK[[#This Row],[Code]])</f>
        <v>0</v>
      </c>
      <c r="L1081" s="91">
        <f>STOCK[[#This Row],[Entradas]]-STOCK[[#This Row],[Salidas]]</f>
        <v>0</v>
      </c>
      <c r="M1081" s="76">
        <f>STOCK[[#This Row],[Precio Final]]*10%</f>
        <v>3</v>
      </c>
      <c r="N1081" s="76">
        <v>0</v>
      </c>
      <c r="O1081" s="76">
        <v>0</v>
      </c>
      <c r="P1081" s="76">
        <v>11.51</v>
      </c>
      <c r="Q1081" s="91">
        <v>0</v>
      </c>
      <c r="R1081" s="76">
        <v>0</v>
      </c>
      <c r="S1081" s="76">
        <v>0.6</v>
      </c>
      <c r="T1081" s="76">
        <f>STOCK[[#This Row],[Costo Unitario (USD)]]+STOCK[[#This Row],[Costo Envío (USD)]]+STOCK[[#This Row],[Comisión 10%]]</f>
        <v>15.11</v>
      </c>
      <c r="U1081" s="76">
        <f>STOCK[[#This Row],[Costo total]]*1.5</f>
        <v>22.665</v>
      </c>
      <c r="V1081" s="76">
        <v>30</v>
      </c>
      <c r="W1081" s="76">
        <f>STOCK[[#This Row],[Precio Final]]-STOCK[[#This Row],[Costo total]]</f>
        <v>14.89</v>
      </c>
      <c r="X1081" s="76">
        <f>STOCK[[#This Row],[Ganancia Unitaria]]*STOCK[[#This Row],[Salidas]]</f>
        <v>0</v>
      </c>
      <c r="Y1081" s="76" t="s">
        <v>2259</v>
      </c>
      <c r="AA1081" s="76">
        <f>STOCK[[#This Row],[Costo total]]*STOCK[[#This Row],[Entradas]]</f>
        <v>0</v>
      </c>
      <c r="AB1081" s="76">
        <f>STOCK[[#This Row],[Stock Actual]]*STOCK[[#This Row],[Costo total]]</f>
        <v>0</v>
      </c>
    </row>
    <row r="1082" s="77" customFormat="1" ht="50" customHeight="1" spans="1:28">
      <c r="A1082" s="77" t="s">
        <v>2260</v>
      </c>
      <c r="B1082" s="6"/>
      <c r="C1082" s="77" t="s">
        <v>30</v>
      </c>
      <c r="D1082" s="77" t="s">
        <v>2261</v>
      </c>
      <c r="E1082" s="77" t="s">
        <v>2262</v>
      </c>
      <c r="F1082" s="77" t="s">
        <v>40</v>
      </c>
      <c r="G1082" s="77" t="s">
        <v>1874</v>
      </c>
      <c r="H1082" s="77">
        <f>STOCK[[#This Row],[Precio Final]]</f>
        <v>20</v>
      </c>
      <c r="I1082" s="77">
        <f>STOCK[[#This Row],[Precio Venta Ideal (x1.5)]]</f>
        <v>15.285</v>
      </c>
      <c r="J1082" s="92">
        <v>2</v>
      </c>
      <c r="K1082" s="92">
        <f>SUMIFS(VENTAS[Cantidad],VENTAS[Código del producto Vendido],STOCK[[#This Row],[Code]])</f>
        <v>0</v>
      </c>
      <c r="L1082" s="92">
        <f>STOCK[[#This Row],[Entradas]]-STOCK[[#This Row],[Salidas]]</f>
        <v>2</v>
      </c>
      <c r="M1082" s="77">
        <f>STOCK[[#This Row],[Precio Final]]*10%</f>
        <v>2</v>
      </c>
      <c r="N1082" s="77">
        <v>0</v>
      </c>
      <c r="O1082" s="77">
        <v>0</v>
      </c>
      <c r="P1082" s="77">
        <v>7.59</v>
      </c>
      <c r="Q1082" s="92">
        <v>0</v>
      </c>
      <c r="R1082" s="77">
        <v>0</v>
      </c>
      <c r="S1082" s="77">
        <v>0.6</v>
      </c>
      <c r="T1082" s="76">
        <f>STOCK[[#This Row],[Costo Unitario (USD)]]+STOCK[[#This Row],[Costo Envío (USD)]]+STOCK[[#This Row],[Comisión 10%]]</f>
        <v>10.19</v>
      </c>
      <c r="U1082" s="77">
        <f>STOCK[[#This Row],[Costo total]]*1.5</f>
        <v>15.285</v>
      </c>
      <c r="V1082" s="77">
        <v>20</v>
      </c>
      <c r="W1082" s="77">
        <f>STOCK[[#This Row],[Precio Final]]-STOCK[[#This Row],[Costo total]]</f>
        <v>9.81</v>
      </c>
      <c r="X1082" s="77">
        <f>STOCK[[#This Row],[Ganancia Unitaria]]*STOCK[[#This Row],[Salidas]]</f>
        <v>0</v>
      </c>
      <c r="Y1082" s="77" t="s">
        <v>2263</v>
      </c>
      <c r="AA1082" s="77">
        <f>STOCK[[#This Row],[Costo total]]*STOCK[[#This Row],[Entradas]]</f>
        <v>20.38</v>
      </c>
      <c r="AB1082" s="77">
        <f>STOCK[[#This Row],[Stock Actual]]*STOCK[[#This Row],[Costo total]]</f>
        <v>20.38</v>
      </c>
    </row>
    <row r="1083" s="76" customFormat="1" ht="50" customHeight="1" spans="1:28">
      <c r="A1083" s="76" t="s">
        <v>2264</v>
      </c>
      <c r="B1083" s="6"/>
      <c r="C1083" s="76" t="s">
        <v>30</v>
      </c>
      <c r="D1083" s="76" t="s">
        <v>2261</v>
      </c>
      <c r="E1083" s="76" t="s">
        <v>2262</v>
      </c>
      <c r="F1083" s="76" t="s">
        <v>44</v>
      </c>
      <c r="G1083" s="76" t="s">
        <v>1874</v>
      </c>
      <c r="H1083" s="76">
        <f>STOCK[[#This Row],[Precio Final]]</f>
        <v>20</v>
      </c>
      <c r="I1083" s="76">
        <f>STOCK[[#This Row],[Precio Venta Ideal (x1.5)]]</f>
        <v>15.285</v>
      </c>
      <c r="J1083" s="91">
        <v>2</v>
      </c>
      <c r="K1083" s="91">
        <f>SUMIFS(VENTAS[Cantidad],VENTAS[Código del producto Vendido],STOCK[[#This Row],[Code]])</f>
        <v>0</v>
      </c>
      <c r="L1083" s="91">
        <f>STOCK[[#This Row],[Entradas]]-STOCK[[#This Row],[Salidas]]</f>
        <v>2</v>
      </c>
      <c r="M1083" s="76">
        <f>STOCK[[#This Row],[Precio Final]]*10%</f>
        <v>2</v>
      </c>
      <c r="N1083" s="76">
        <v>0</v>
      </c>
      <c r="O1083" s="76">
        <v>0</v>
      </c>
      <c r="P1083" s="76">
        <v>7.59</v>
      </c>
      <c r="Q1083" s="91">
        <v>0</v>
      </c>
      <c r="R1083" s="76">
        <v>0</v>
      </c>
      <c r="S1083" s="76">
        <v>0.6</v>
      </c>
      <c r="T1083" s="76">
        <f>STOCK[[#This Row],[Costo Unitario (USD)]]+STOCK[[#This Row],[Costo Envío (USD)]]+STOCK[[#This Row],[Comisión 10%]]</f>
        <v>10.19</v>
      </c>
      <c r="U1083" s="76">
        <f>STOCK[[#This Row],[Costo total]]*1.5</f>
        <v>15.285</v>
      </c>
      <c r="V1083" s="76">
        <v>20</v>
      </c>
      <c r="W1083" s="76">
        <f>STOCK[[#This Row],[Precio Final]]-STOCK[[#This Row],[Costo total]]</f>
        <v>9.81</v>
      </c>
      <c r="X1083" s="76">
        <f>STOCK[[#This Row],[Ganancia Unitaria]]*STOCK[[#This Row],[Salidas]]</f>
        <v>0</v>
      </c>
      <c r="Y1083" s="76" t="s">
        <v>2265</v>
      </c>
      <c r="AA1083" s="76">
        <f>STOCK[[#This Row],[Costo total]]*STOCK[[#This Row],[Entradas]]</f>
        <v>20.38</v>
      </c>
      <c r="AB1083" s="76">
        <f>STOCK[[#This Row],[Stock Actual]]*STOCK[[#This Row],[Costo total]]</f>
        <v>20.38</v>
      </c>
    </row>
    <row r="1084" s="77" customFormat="1" ht="50" customHeight="1" spans="1:28">
      <c r="A1084" s="77" t="s">
        <v>2266</v>
      </c>
      <c r="B1084" s="6"/>
      <c r="C1084" s="77" t="s">
        <v>30</v>
      </c>
      <c r="D1084" s="77" t="s">
        <v>1210</v>
      </c>
      <c r="E1084" s="77" t="s">
        <v>2262</v>
      </c>
      <c r="F1084" s="77" t="s">
        <v>47</v>
      </c>
      <c r="G1084" s="77" t="s">
        <v>1874</v>
      </c>
      <c r="H1084" s="77">
        <f>STOCK[[#This Row],[Precio Final]]</f>
        <v>20</v>
      </c>
      <c r="I1084" s="77">
        <f>STOCK[[#This Row],[Precio Venta Ideal (x1.5)]]</f>
        <v>15.285</v>
      </c>
      <c r="J1084" s="92">
        <v>2</v>
      </c>
      <c r="K1084" s="92">
        <f>SUMIFS(VENTAS[Cantidad],VENTAS[Código del producto Vendido],STOCK[[#This Row],[Code]])</f>
        <v>0</v>
      </c>
      <c r="L1084" s="92">
        <f>STOCK[[#This Row],[Entradas]]-STOCK[[#This Row],[Salidas]]</f>
        <v>2</v>
      </c>
      <c r="M1084" s="77">
        <f>STOCK[[#This Row],[Precio Final]]*10%</f>
        <v>2</v>
      </c>
      <c r="N1084" s="77">
        <v>0</v>
      </c>
      <c r="O1084" s="77">
        <v>0</v>
      </c>
      <c r="P1084" s="77">
        <v>7.59</v>
      </c>
      <c r="Q1084" s="92">
        <v>0</v>
      </c>
      <c r="R1084" s="77">
        <v>0</v>
      </c>
      <c r="S1084" s="77">
        <v>0.6</v>
      </c>
      <c r="T1084" s="76">
        <f>STOCK[[#This Row],[Costo Unitario (USD)]]+STOCK[[#This Row],[Costo Envío (USD)]]+STOCK[[#This Row],[Comisión 10%]]</f>
        <v>10.19</v>
      </c>
      <c r="U1084" s="77">
        <f>STOCK[[#This Row],[Costo total]]*1.5</f>
        <v>15.285</v>
      </c>
      <c r="V1084" s="77">
        <v>20</v>
      </c>
      <c r="W1084" s="77">
        <f>STOCK[[#This Row],[Precio Final]]-STOCK[[#This Row],[Costo total]]</f>
        <v>9.81</v>
      </c>
      <c r="X1084" s="77">
        <f>STOCK[[#This Row],[Ganancia Unitaria]]*STOCK[[#This Row],[Salidas]]</f>
        <v>0</v>
      </c>
      <c r="Y1084" s="77" t="s">
        <v>2267</v>
      </c>
      <c r="AA1084" s="77">
        <f>STOCK[[#This Row],[Costo total]]*STOCK[[#This Row],[Entradas]]</f>
        <v>20.38</v>
      </c>
      <c r="AB1084" s="77">
        <f>STOCK[[#This Row],[Stock Actual]]*STOCK[[#This Row],[Costo total]]</f>
        <v>20.38</v>
      </c>
    </row>
    <row r="1085" s="76" customFormat="1" ht="50" customHeight="1" spans="1:28">
      <c r="A1085" s="76" t="s">
        <v>2268</v>
      </c>
      <c r="B1085" s="6"/>
      <c r="C1085" s="76" t="s">
        <v>30</v>
      </c>
      <c r="D1085" s="76" t="s">
        <v>1210</v>
      </c>
      <c r="E1085" s="76" t="s">
        <v>2262</v>
      </c>
      <c r="F1085" s="76" t="s">
        <v>60</v>
      </c>
      <c r="G1085" s="76" t="s">
        <v>1874</v>
      </c>
      <c r="H1085" s="76">
        <f>STOCK[[#This Row],[Precio Final]]</f>
        <v>20</v>
      </c>
      <c r="I1085" s="76">
        <f>STOCK[[#This Row],[Precio Venta Ideal (x1.5)]]</f>
        <v>15.285</v>
      </c>
      <c r="J1085" s="91">
        <v>2</v>
      </c>
      <c r="K1085" s="91">
        <f>SUMIFS(VENTAS[Cantidad],VENTAS[Código del producto Vendido],STOCK[[#This Row],[Code]])</f>
        <v>0</v>
      </c>
      <c r="L1085" s="91">
        <f>STOCK[[#This Row],[Entradas]]-STOCK[[#This Row],[Salidas]]</f>
        <v>2</v>
      </c>
      <c r="M1085" s="76">
        <f>STOCK[[#This Row],[Precio Final]]*10%</f>
        <v>2</v>
      </c>
      <c r="N1085" s="76">
        <v>0</v>
      </c>
      <c r="O1085" s="76">
        <v>0</v>
      </c>
      <c r="P1085" s="76">
        <v>7.59</v>
      </c>
      <c r="Q1085" s="91">
        <v>0</v>
      </c>
      <c r="R1085" s="76">
        <v>0</v>
      </c>
      <c r="S1085" s="76">
        <v>0.6</v>
      </c>
      <c r="T1085" s="76">
        <f>STOCK[[#This Row],[Costo Unitario (USD)]]+STOCK[[#This Row],[Costo Envío (USD)]]+STOCK[[#This Row],[Comisión 10%]]</f>
        <v>10.19</v>
      </c>
      <c r="U1085" s="76">
        <f>STOCK[[#This Row],[Costo total]]*1.5</f>
        <v>15.285</v>
      </c>
      <c r="V1085" s="76">
        <v>20</v>
      </c>
      <c r="W1085" s="76">
        <f>STOCK[[#This Row],[Precio Final]]-STOCK[[#This Row],[Costo total]]</f>
        <v>9.81</v>
      </c>
      <c r="X1085" s="76">
        <f>STOCK[[#This Row],[Ganancia Unitaria]]*STOCK[[#This Row],[Salidas]]</f>
        <v>0</v>
      </c>
      <c r="Y1085" s="76" t="s">
        <v>2269</v>
      </c>
      <c r="AA1085" s="76">
        <f>STOCK[[#This Row],[Costo total]]*STOCK[[#This Row],[Entradas]]</f>
        <v>20.38</v>
      </c>
      <c r="AB1085" s="76">
        <f>STOCK[[#This Row],[Stock Actual]]*STOCK[[#This Row],[Costo total]]</f>
        <v>20.38</v>
      </c>
    </row>
    <row r="1086" s="77" customFormat="1" ht="50" customHeight="1" spans="1:28">
      <c r="A1086" s="77" t="s">
        <v>2270</v>
      </c>
      <c r="B1086" s="6"/>
      <c r="C1086" s="77" t="s">
        <v>30</v>
      </c>
      <c r="D1086" s="77" t="s">
        <v>2109</v>
      </c>
      <c r="E1086" s="77" t="s">
        <v>2271</v>
      </c>
      <c r="F1086" s="77" t="s">
        <v>2106</v>
      </c>
      <c r="G1086" s="77" t="s">
        <v>1874</v>
      </c>
      <c r="H1086" s="77">
        <f>STOCK[[#This Row],[Precio Final]]</f>
        <v>15</v>
      </c>
      <c r="I1086" s="77">
        <f>STOCK[[#This Row],[Precio Venta Ideal (x1.5)]]</f>
        <v>12.585</v>
      </c>
      <c r="J1086" s="92">
        <v>3</v>
      </c>
      <c r="K1086" s="92">
        <f>SUMIFS(VENTAS[Cantidad],VENTAS[Código del producto Vendido],STOCK[[#This Row],[Code]])</f>
        <v>0</v>
      </c>
      <c r="L1086" s="92">
        <f>STOCK[[#This Row],[Entradas]]-STOCK[[#This Row],[Salidas]]</f>
        <v>3</v>
      </c>
      <c r="M1086" s="77">
        <f>STOCK[[#This Row],[Precio Final]]*10%</f>
        <v>1.5</v>
      </c>
      <c r="N1086" s="77">
        <v>0</v>
      </c>
      <c r="O1086" s="77">
        <v>0</v>
      </c>
      <c r="P1086" s="77">
        <v>6.29</v>
      </c>
      <c r="Q1086" s="92">
        <v>0</v>
      </c>
      <c r="R1086" s="77">
        <v>0</v>
      </c>
      <c r="S1086" s="77">
        <v>0.6</v>
      </c>
      <c r="T1086" s="76">
        <f>STOCK[[#This Row],[Costo Unitario (USD)]]+STOCK[[#This Row],[Costo Envío (USD)]]+STOCK[[#This Row],[Comisión 10%]]</f>
        <v>8.39</v>
      </c>
      <c r="U1086" s="77">
        <f>STOCK[[#This Row],[Costo total]]*1.5</f>
        <v>12.585</v>
      </c>
      <c r="V1086" s="77">
        <v>15</v>
      </c>
      <c r="W1086" s="77">
        <f>STOCK[[#This Row],[Precio Final]]-STOCK[[#This Row],[Costo total]]</f>
        <v>6.61</v>
      </c>
      <c r="X1086" s="77">
        <f>STOCK[[#This Row],[Ganancia Unitaria]]*STOCK[[#This Row],[Salidas]]</f>
        <v>0</v>
      </c>
      <c r="Y1086" s="77" t="s">
        <v>2272</v>
      </c>
      <c r="AA1086" s="77">
        <f>STOCK[[#This Row],[Costo total]]*STOCK[[#This Row],[Entradas]]</f>
        <v>25.17</v>
      </c>
      <c r="AB1086" s="77">
        <f>STOCK[[#This Row],[Stock Actual]]*STOCK[[#This Row],[Costo total]]</f>
        <v>25.17</v>
      </c>
    </row>
    <row r="1087" s="76" customFormat="1" ht="50" customHeight="1" spans="1:28">
      <c r="A1087" s="76" t="s">
        <v>2273</v>
      </c>
      <c r="B1087" s="6"/>
      <c r="C1087" s="76" t="s">
        <v>30</v>
      </c>
      <c r="D1087" s="76" t="s">
        <v>2109</v>
      </c>
      <c r="E1087" s="76" t="s">
        <v>2274</v>
      </c>
      <c r="F1087" s="76" t="s">
        <v>2106</v>
      </c>
      <c r="G1087" s="76" t="s">
        <v>1874</v>
      </c>
      <c r="H1087" s="76">
        <f>STOCK[[#This Row],[Precio Final]]</f>
        <v>15</v>
      </c>
      <c r="I1087" s="76">
        <f>STOCK[[#This Row],[Precio Venta Ideal (x1.5)]]</f>
        <v>12.585</v>
      </c>
      <c r="J1087" s="91">
        <v>3</v>
      </c>
      <c r="K1087" s="91">
        <f>SUMIFS(VENTAS[Cantidad],VENTAS[Código del producto Vendido],STOCK[[#This Row],[Code]])</f>
        <v>0</v>
      </c>
      <c r="L1087" s="91">
        <f>STOCK[[#This Row],[Entradas]]-STOCK[[#This Row],[Salidas]]</f>
        <v>3</v>
      </c>
      <c r="M1087" s="76">
        <f>STOCK[[#This Row],[Precio Final]]*10%</f>
        <v>1.5</v>
      </c>
      <c r="N1087" s="76">
        <v>0</v>
      </c>
      <c r="O1087" s="76">
        <v>0</v>
      </c>
      <c r="P1087" s="76">
        <v>6.29</v>
      </c>
      <c r="Q1087" s="91">
        <v>0</v>
      </c>
      <c r="R1087" s="76">
        <v>0</v>
      </c>
      <c r="S1087" s="76">
        <v>0.6</v>
      </c>
      <c r="T1087" s="76">
        <f>STOCK[[#This Row],[Costo Unitario (USD)]]+STOCK[[#This Row],[Costo Envío (USD)]]+STOCK[[#This Row],[Comisión 10%]]</f>
        <v>8.39</v>
      </c>
      <c r="U1087" s="76">
        <f>STOCK[[#This Row],[Costo total]]*1.5</f>
        <v>12.585</v>
      </c>
      <c r="V1087" s="76">
        <v>15</v>
      </c>
      <c r="W1087" s="76">
        <f>STOCK[[#This Row],[Precio Final]]-STOCK[[#This Row],[Costo total]]</f>
        <v>6.61</v>
      </c>
      <c r="X1087" s="76">
        <f>STOCK[[#This Row],[Ganancia Unitaria]]*STOCK[[#This Row],[Salidas]]</f>
        <v>0</v>
      </c>
      <c r="Y1087" s="76" t="s">
        <v>2275</v>
      </c>
      <c r="AA1087" s="76">
        <f>STOCK[[#This Row],[Costo total]]*STOCK[[#This Row],[Entradas]]</f>
        <v>25.17</v>
      </c>
      <c r="AB1087" s="76">
        <f>STOCK[[#This Row],[Stock Actual]]*STOCK[[#This Row],[Costo total]]</f>
        <v>25.17</v>
      </c>
    </row>
    <row r="1088" s="77" customFormat="1" ht="50" customHeight="1" spans="1:28">
      <c r="A1088" s="77" t="s">
        <v>2276</v>
      </c>
      <c r="B1088" s="6"/>
      <c r="C1088" s="77" t="s">
        <v>30</v>
      </c>
      <c r="D1088" s="77" t="s">
        <v>2109</v>
      </c>
      <c r="E1088" s="77" t="s">
        <v>2277</v>
      </c>
      <c r="F1088" s="77" t="s">
        <v>2106</v>
      </c>
      <c r="G1088" s="77" t="s">
        <v>1874</v>
      </c>
      <c r="H1088" s="77">
        <f>STOCK[[#This Row],[Precio Final]]</f>
        <v>15</v>
      </c>
      <c r="I1088" s="77">
        <f>STOCK[[#This Row],[Precio Venta Ideal (x1.5)]]</f>
        <v>8.595</v>
      </c>
      <c r="J1088" s="92">
        <v>0</v>
      </c>
      <c r="K1088" s="92">
        <f>SUMIFS(VENTAS[Cantidad],VENTAS[Código del producto Vendido],STOCK[[#This Row],[Code]])</f>
        <v>0</v>
      </c>
      <c r="L1088" s="92">
        <f>STOCK[[#This Row],[Entradas]]-STOCK[[#This Row],[Salidas]]</f>
        <v>0</v>
      </c>
      <c r="M1088" s="77">
        <f>STOCK[[#This Row],[Precio Final]]*10%</f>
        <v>1.5</v>
      </c>
      <c r="N1088" s="77">
        <v>0</v>
      </c>
      <c r="O1088" s="77">
        <v>0</v>
      </c>
      <c r="P1088" s="77">
        <v>3.63</v>
      </c>
      <c r="Q1088" s="92">
        <v>0</v>
      </c>
      <c r="R1088" s="77">
        <v>0</v>
      </c>
      <c r="S1088" s="77">
        <v>0.6</v>
      </c>
      <c r="T1088" s="76">
        <f>STOCK[[#This Row],[Costo Unitario (USD)]]+STOCK[[#This Row],[Costo Envío (USD)]]+STOCK[[#This Row],[Comisión 10%]]</f>
        <v>5.73</v>
      </c>
      <c r="U1088" s="77">
        <f>STOCK[[#This Row],[Costo total]]*1.5</f>
        <v>8.595</v>
      </c>
      <c r="V1088" s="77">
        <v>15</v>
      </c>
      <c r="W1088" s="77">
        <f>STOCK[[#This Row],[Precio Final]]-STOCK[[#This Row],[Costo total]]</f>
        <v>9.27</v>
      </c>
      <c r="X1088" s="77">
        <f>STOCK[[#This Row],[Ganancia Unitaria]]*STOCK[[#This Row],[Salidas]]</f>
        <v>0</v>
      </c>
      <c r="Y1088" s="77" t="s">
        <v>2278</v>
      </c>
      <c r="AA1088" s="77">
        <f>STOCK[[#This Row],[Costo total]]*STOCK[[#This Row],[Entradas]]</f>
        <v>0</v>
      </c>
      <c r="AB1088" s="77">
        <f>STOCK[[#This Row],[Stock Actual]]*STOCK[[#This Row],[Costo total]]</f>
        <v>0</v>
      </c>
    </row>
    <row r="1089" s="76" customFormat="1" ht="50" customHeight="1" spans="1:28">
      <c r="A1089" s="76" t="s">
        <v>2279</v>
      </c>
      <c r="B1089" s="6"/>
      <c r="C1089" s="76" t="s">
        <v>30</v>
      </c>
      <c r="D1089" s="76" t="s">
        <v>2109</v>
      </c>
      <c r="E1089" s="76" t="s">
        <v>2280</v>
      </c>
      <c r="F1089" s="76" t="s">
        <v>2106</v>
      </c>
      <c r="G1089" s="76" t="s">
        <v>1874</v>
      </c>
      <c r="H1089" s="76">
        <f>STOCK[[#This Row],[Precio Final]]</f>
        <v>10</v>
      </c>
      <c r="I1089" s="76">
        <f>STOCK[[#This Row],[Precio Venta Ideal (x1.5)]]</f>
        <v>6.57</v>
      </c>
      <c r="J1089" s="91">
        <v>0</v>
      </c>
      <c r="K1089" s="91">
        <f>SUMIFS(VENTAS[Cantidad],VENTAS[Código del producto Vendido],STOCK[[#This Row],[Code]])</f>
        <v>0</v>
      </c>
      <c r="L1089" s="91">
        <f>STOCK[[#This Row],[Entradas]]-STOCK[[#This Row],[Salidas]]</f>
        <v>0</v>
      </c>
      <c r="M1089" s="76">
        <f>STOCK[[#This Row],[Precio Final]]*10%</f>
        <v>1</v>
      </c>
      <c r="N1089" s="76">
        <v>0</v>
      </c>
      <c r="O1089" s="76">
        <v>0</v>
      </c>
      <c r="P1089" s="76">
        <v>2.78</v>
      </c>
      <c r="Q1089" s="91">
        <v>0</v>
      </c>
      <c r="R1089" s="76">
        <v>0</v>
      </c>
      <c r="S1089" s="76">
        <v>0.6</v>
      </c>
      <c r="T1089" s="76">
        <f>STOCK[[#This Row],[Costo Unitario (USD)]]+STOCK[[#This Row],[Costo Envío (USD)]]+STOCK[[#This Row],[Comisión 10%]]</f>
        <v>4.38</v>
      </c>
      <c r="U1089" s="76">
        <f>STOCK[[#This Row],[Costo total]]*1.5</f>
        <v>6.57</v>
      </c>
      <c r="V1089" s="76">
        <v>10</v>
      </c>
      <c r="W1089" s="76">
        <f>STOCK[[#This Row],[Precio Final]]-STOCK[[#This Row],[Costo total]]</f>
        <v>5.62</v>
      </c>
      <c r="X1089" s="76">
        <f>STOCK[[#This Row],[Ganancia Unitaria]]*STOCK[[#This Row],[Salidas]]</f>
        <v>0</v>
      </c>
      <c r="Y1089" s="76" t="s">
        <v>2281</v>
      </c>
      <c r="AA1089" s="76">
        <f>STOCK[[#This Row],[Costo total]]*STOCK[[#This Row],[Entradas]]</f>
        <v>0</v>
      </c>
      <c r="AB1089" s="76">
        <f>STOCK[[#This Row],[Stock Actual]]*STOCK[[#This Row],[Costo total]]</f>
        <v>0</v>
      </c>
    </row>
    <row r="1090" s="77" customFormat="1" ht="50" customHeight="1" spans="1:28">
      <c r="A1090" s="77" t="s">
        <v>2282</v>
      </c>
      <c r="B1090" s="6"/>
      <c r="C1090" s="77" t="s">
        <v>30</v>
      </c>
      <c r="D1090" s="77" t="s">
        <v>2109</v>
      </c>
      <c r="E1090" s="77" t="s">
        <v>2283</v>
      </c>
      <c r="F1090" s="77" t="s">
        <v>1532</v>
      </c>
      <c r="G1090" s="77" t="s">
        <v>1874</v>
      </c>
      <c r="H1090" s="77">
        <f>STOCK[[#This Row],[Precio Final]]</f>
        <v>12</v>
      </c>
      <c r="I1090" s="77">
        <f>STOCK[[#This Row],[Precio Venta Ideal (x1.5)]]</f>
        <v>8.145</v>
      </c>
      <c r="J1090" s="92">
        <v>3</v>
      </c>
      <c r="K1090" s="92">
        <f>SUMIFS(VENTAS[Cantidad],VENTAS[Código del producto Vendido],STOCK[[#This Row],[Code]])</f>
        <v>3</v>
      </c>
      <c r="L1090" s="92">
        <f>STOCK[[#This Row],[Entradas]]-STOCK[[#This Row],[Salidas]]</f>
        <v>0</v>
      </c>
      <c r="M1090" s="77">
        <f>STOCK[[#This Row],[Precio Final]]*10%</f>
        <v>1.2</v>
      </c>
      <c r="N1090" s="77">
        <v>0</v>
      </c>
      <c r="O1090" s="77">
        <v>0</v>
      </c>
      <c r="P1090" s="77">
        <v>3.63</v>
      </c>
      <c r="Q1090" s="92">
        <v>0</v>
      </c>
      <c r="R1090" s="77">
        <v>0</v>
      </c>
      <c r="S1090" s="77">
        <v>0.6</v>
      </c>
      <c r="T1090" s="76">
        <f>STOCK[[#This Row],[Costo Unitario (USD)]]+STOCK[[#This Row],[Costo Envío (USD)]]+STOCK[[#This Row],[Comisión 10%]]</f>
        <v>5.43</v>
      </c>
      <c r="U1090" s="77">
        <f>STOCK[[#This Row],[Costo total]]*1.5</f>
        <v>8.145</v>
      </c>
      <c r="V1090" s="77">
        <v>12</v>
      </c>
      <c r="W1090" s="77">
        <f>STOCK[[#This Row],[Precio Final]]-STOCK[[#This Row],[Costo total]]</f>
        <v>6.57</v>
      </c>
      <c r="X1090" s="77">
        <f>STOCK[[#This Row],[Ganancia Unitaria]]*STOCK[[#This Row],[Salidas]]</f>
        <v>19.71</v>
      </c>
      <c r="Y1090" s="77" t="s">
        <v>2284</v>
      </c>
      <c r="AA1090" s="77">
        <f>STOCK[[#This Row],[Costo total]]*STOCK[[#This Row],[Entradas]]</f>
        <v>16.29</v>
      </c>
      <c r="AB1090" s="77">
        <f>STOCK[[#This Row],[Stock Actual]]*STOCK[[#This Row],[Costo total]]</f>
        <v>0</v>
      </c>
    </row>
    <row r="1091" s="76" customFormat="1" ht="50" customHeight="1" spans="1:28">
      <c r="A1091" s="76" t="s">
        <v>2285</v>
      </c>
      <c r="B1091" s="6"/>
      <c r="C1091" s="76" t="s">
        <v>30</v>
      </c>
      <c r="D1091" s="76" t="s">
        <v>2109</v>
      </c>
      <c r="E1091" s="76" t="s">
        <v>2286</v>
      </c>
      <c r="F1091" s="76" t="s">
        <v>1532</v>
      </c>
      <c r="G1091" s="76" t="s">
        <v>1874</v>
      </c>
      <c r="H1091" s="76">
        <f>STOCK[[#This Row],[Precio Final]]</f>
        <v>12</v>
      </c>
      <c r="I1091" s="76">
        <f>STOCK[[#This Row],[Precio Venta Ideal (x1.5)]]</f>
        <v>10.11</v>
      </c>
      <c r="J1091" s="91">
        <v>3</v>
      </c>
      <c r="K1091" s="91">
        <f>SUMIFS(VENTAS[Cantidad],VENTAS[Código del producto Vendido],STOCK[[#This Row],[Code]])</f>
        <v>3</v>
      </c>
      <c r="L1091" s="91">
        <f>STOCK[[#This Row],[Entradas]]-STOCK[[#This Row],[Salidas]]</f>
        <v>0</v>
      </c>
      <c r="M1091" s="76">
        <f>STOCK[[#This Row],[Precio Final]]*10%</f>
        <v>1.2</v>
      </c>
      <c r="N1091" s="76">
        <v>0</v>
      </c>
      <c r="O1091" s="76">
        <v>0</v>
      </c>
      <c r="P1091" s="76">
        <v>4.94</v>
      </c>
      <c r="Q1091" s="91">
        <v>0</v>
      </c>
      <c r="R1091" s="76">
        <v>0</v>
      </c>
      <c r="S1091" s="76">
        <v>0.6</v>
      </c>
      <c r="T1091" s="76">
        <f>STOCK[[#This Row],[Costo Unitario (USD)]]+STOCK[[#This Row],[Costo Envío (USD)]]+STOCK[[#This Row],[Comisión 10%]]</f>
        <v>6.74</v>
      </c>
      <c r="U1091" s="76">
        <f>STOCK[[#This Row],[Costo total]]*1.5</f>
        <v>10.11</v>
      </c>
      <c r="V1091" s="76">
        <v>12</v>
      </c>
      <c r="W1091" s="76">
        <f>STOCK[[#This Row],[Precio Final]]-STOCK[[#This Row],[Costo total]]</f>
        <v>5.26</v>
      </c>
      <c r="X1091" s="76">
        <f>STOCK[[#This Row],[Ganancia Unitaria]]*STOCK[[#This Row],[Salidas]]</f>
        <v>15.78</v>
      </c>
      <c r="Y1091" s="76" t="s">
        <v>2287</v>
      </c>
      <c r="AA1091" s="76">
        <f>STOCK[[#This Row],[Costo total]]*STOCK[[#This Row],[Entradas]]</f>
        <v>20.22</v>
      </c>
      <c r="AB1091" s="76">
        <f>STOCK[[#This Row],[Stock Actual]]*STOCK[[#This Row],[Costo total]]</f>
        <v>0</v>
      </c>
    </row>
    <row r="1092" s="77" customFormat="1" ht="50" customHeight="1" spans="1:28">
      <c r="A1092" s="77" t="s">
        <v>2288</v>
      </c>
      <c r="B1092" s="6"/>
      <c r="C1092" s="77" t="s">
        <v>30</v>
      </c>
      <c r="D1092" s="77" t="s">
        <v>2116</v>
      </c>
      <c r="E1092" s="77" t="s">
        <v>2289</v>
      </c>
      <c r="F1092" s="77" t="s">
        <v>60</v>
      </c>
      <c r="G1092" s="77" t="s">
        <v>1874</v>
      </c>
      <c r="H1092" s="77">
        <f>STOCK[[#This Row],[Precio Final]]</f>
        <v>35</v>
      </c>
      <c r="I1092" s="77">
        <f>STOCK[[#This Row],[Precio Venta Ideal (x1.5)]]</f>
        <v>24.285</v>
      </c>
      <c r="J1092" s="92">
        <v>1</v>
      </c>
      <c r="K1092" s="92">
        <f>SUMIFS(VENTAS[Cantidad],VENTAS[Código del producto Vendido],STOCK[[#This Row],[Code]])</f>
        <v>1</v>
      </c>
      <c r="L1092" s="92">
        <f>STOCK[[#This Row],[Entradas]]-STOCK[[#This Row],[Salidas]]</f>
        <v>0</v>
      </c>
      <c r="M1092" s="77">
        <f>STOCK[[#This Row],[Precio Final]]*10%</f>
        <v>3.5</v>
      </c>
      <c r="N1092" s="77">
        <v>0</v>
      </c>
      <c r="O1092" s="77">
        <v>0</v>
      </c>
      <c r="P1092" s="77">
        <v>12.09</v>
      </c>
      <c r="Q1092" s="92">
        <v>0</v>
      </c>
      <c r="R1092" s="77">
        <v>0</v>
      </c>
      <c r="S1092" s="77">
        <v>0.6</v>
      </c>
      <c r="T1092" s="76">
        <f>STOCK[[#This Row],[Costo Unitario (USD)]]+STOCK[[#This Row],[Costo Envío (USD)]]+STOCK[[#This Row],[Comisión 10%]]</f>
        <v>16.19</v>
      </c>
      <c r="U1092" s="77">
        <f>STOCK[[#This Row],[Costo total]]*1.5</f>
        <v>24.285</v>
      </c>
      <c r="V1092" s="77">
        <v>35</v>
      </c>
      <c r="W1092" s="77">
        <f>STOCK[[#This Row],[Precio Final]]-STOCK[[#This Row],[Costo total]]</f>
        <v>18.81</v>
      </c>
      <c r="X1092" s="77">
        <f>STOCK[[#This Row],[Ganancia Unitaria]]*STOCK[[#This Row],[Salidas]]</f>
        <v>18.81</v>
      </c>
      <c r="Y1092" s="77" t="s">
        <v>2290</v>
      </c>
      <c r="AA1092" s="77">
        <f>STOCK[[#This Row],[Costo total]]*STOCK[[#This Row],[Entradas]]</f>
        <v>16.19</v>
      </c>
      <c r="AB1092" s="77">
        <f>STOCK[[#This Row],[Stock Actual]]*STOCK[[#This Row],[Costo total]]</f>
        <v>0</v>
      </c>
    </row>
    <row r="1093" s="76" customFormat="1" ht="50" customHeight="1" spans="1:28">
      <c r="A1093" s="76" t="s">
        <v>2291</v>
      </c>
      <c r="B1093" s="6"/>
      <c r="C1093" s="76" t="s">
        <v>30</v>
      </c>
      <c r="D1093" s="77" t="s">
        <v>36</v>
      </c>
      <c r="E1093" s="76" t="s">
        <v>2292</v>
      </c>
      <c r="F1093" s="76" t="s">
        <v>40</v>
      </c>
      <c r="G1093" s="76" t="s">
        <v>1874</v>
      </c>
      <c r="H1093" s="76">
        <f>STOCK[[#This Row],[Precio Final]]</f>
        <v>25</v>
      </c>
      <c r="I1093" s="76">
        <f>STOCK[[#This Row],[Precio Venta Ideal (x1.5)]]</f>
        <v>20.82</v>
      </c>
      <c r="J1093" s="91">
        <v>1</v>
      </c>
      <c r="K1093" s="91">
        <f>SUMIFS(VENTAS[Cantidad],VENTAS[Código del producto Vendido],STOCK[[#This Row],[Code]])</f>
        <v>1</v>
      </c>
      <c r="L1093" s="91">
        <f>STOCK[[#This Row],[Entradas]]-STOCK[[#This Row],[Salidas]]</f>
        <v>0</v>
      </c>
      <c r="M1093" s="76">
        <f>STOCK[[#This Row],[Precio Final]]*10%</f>
        <v>2.5</v>
      </c>
      <c r="N1093" s="76">
        <v>0</v>
      </c>
      <c r="O1093" s="76">
        <v>0</v>
      </c>
      <c r="P1093" s="76">
        <v>10.78</v>
      </c>
      <c r="Q1093" s="91">
        <v>0</v>
      </c>
      <c r="R1093" s="76">
        <v>0</v>
      </c>
      <c r="S1093" s="76">
        <v>0.6</v>
      </c>
      <c r="T1093" s="76">
        <f>STOCK[[#This Row],[Costo Unitario (USD)]]+STOCK[[#This Row],[Costo Envío (USD)]]+STOCK[[#This Row],[Comisión 10%]]</f>
        <v>13.88</v>
      </c>
      <c r="U1093" s="76">
        <f>STOCK[[#This Row],[Costo total]]*1.5</f>
        <v>20.82</v>
      </c>
      <c r="V1093" s="76">
        <v>25</v>
      </c>
      <c r="W1093" s="76">
        <f>STOCK[[#This Row],[Precio Final]]-STOCK[[#This Row],[Costo total]]</f>
        <v>11.12</v>
      </c>
      <c r="X1093" s="76">
        <f>STOCK[[#This Row],[Ganancia Unitaria]]*STOCK[[#This Row],[Salidas]]</f>
        <v>11.12</v>
      </c>
      <c r="Y1093" s="76" t="s">
        <v>2293</v>
      </c>
      <c r="AA1093" s="76">
        <f>STOCK[[#This Row],[Costo total]]*STOCK[[#This Row],[Entradas]]</f>
        <v>13.88</v>
      </c>
      <c r="AB1093" s="76">
        <f>STOCK[[#This Row],[Stock Actual]]*STOCK[[#This Row],[Costo total]]</f>
        <v>0</v>
      </c>
    </row>
    <row r="1094" s="77" customFormat="1" ht="50" customHeight="1" spans="1:28">
      <c r="A1094" s="77" t="s">
        <v>2294</v>
      </c>
      <c r="B1094" s="6"/>
      <c r="C1094" s="77" t="s">
        <v>30</v>
      </c>
      <c r="D1094" s="77" t="s">
        <v>1210</v>
      </c>
      <c r="E1094" s="77" t="s">
        <v>2295</v>
      </c>
      <c r="F1094" s="77" t="s">
        <v>60</v>
      </c>
      <c r="G1094" s="77" t="s">
        <v>1874</v>
      </c>
      <c r="H1094" s="77">
        <f>STOCK[[#This Row],[Precio Final]]</f>
        <v>20</v>
      </c>
      <c r="I1094" s="77">
        <f>STOCK[[#This Row],[Precio Venta Ideal (x1.5)]]</f>
        <v>21.12</v>
      </c>
      <c r="J1094" s="92">
        <v>1</v>
      </c>
      <c r="K1094" s="92">
        <f>SUMIFS(VENTAS[Cantidad],VENTAS[Código del producto Vendido],STOCK[[#This Row],[Code]])</f>
        <v>0</v>
      </c>
      <c r="L1094" s="92">
        <f>STOCK[[#This Row],[Entradas]]-STOCK[[#This Row],[Salidas]]</f>
        <v>1</v>
      </c>
      <c r="M1094" s="77">
        <f>STOCK[[#This Row],[Precio Final]]*10%</f>
        <v>2</v>
      </c>
      <c r="N1094" s="77">
        <v>0</v>
      </c>
      <c r="O1094" s="77">
        <v>0</v>
      </c>
      <c r="P1094" s="77">
        <v>11.48</v>
      </c>
      <c r="Q1094" s="92">
        <v>0</v>
      </c>
      <c r="R1094" s="77">
        <v>0</v>
      </c>
      <c r="S1094" s="77">
        <v>0.6</v>
      </c>
      <c r="T1094" s="76">
        <f>STOCK[[#This Row],[Costo Unitario (USD)]]+STOCK[[#This Row],[Costo Envío (USD)]]+STOCK[[#This Row],[Comisión 10%]]</f>
        <v>14.08</v>
      </c>
      <c r="U1094" s="77">
        <f>STOCK[[#This Row],[Costo total]]*1.5</f>
        <v>21.12</v>
      </c>
      <c r="V1094" s="77">
        <v>20</v>
      </c>
      <c r="W1094" s="77">
        <f>STOCK[[#This Row],[Precio Final]]-STOCK[[#This Row],[Costo total]]</f>
        <v>5.92</v>
      </c>
      <c r="X1094" s="77">
        <f>STOCK[[#This Row],[Ganancia Unitaria]]*STOCK[[#This Row],[Salidas]]</f>
        <v>0</v>
      </c>
      <c r="Y1094" s="77" t="s">
        <v>2296</v>
      </c>
      <c r="AA1094" s="77">
        <f>STOCK[[#This Row],[Costo total]]*STOCK[[#This Row],[Entradas]]</f>
        <v>14.08</v>
      </c>
      <c r="AB1094" s="77">
        <f>STOCK[[#This Row],[Stock Actual]]*STOCK[[#This Row],[Costo total]]</f>
        <v>14.08</v>
      </c>
    </row>
    <row r="1095" s="76" customFormat="1" ht="50" customHeight="1" spans="1:28">
      <c r="A1095" s="76" t="s">
        <v>2297</v>
      </c>
      <c r="B1095" s="6"/>
      <c r="C1095" s="76" t="s">
        <v>30</v>
      </c>
      <c r="D1095" s="76" t="s">
        <v>2116</v>
      </c>
      <c r="E1095" s="76" t="s">
        <v>2298</v>
      </c>
      <c r="F1095" s="76" t="s">
        <v>60</v>
      </c>
      <c r="G1095" s="76" t="s">
        <v>1874</v>
      </c>
      <c r="H1095" s="76">
        <f>STOCK[[#This Row],[Precio Final]]</f>
        <v>30</v>
      </c>
      <c r="I1095" s="76">
        <f>STOCK[[#This Row],[Precio Venta Ideal (x1.5)]]</f>
        <v>30.885</v>
      </c>
      <c r="J1095" s="91">
        <v>1</v>
      </c>
      <c r="K1095" s="91">
        <f>SUMIFS(VENTAS[Cantidad],VENTAS[Código del producto Vendido],STOCK[[#This Row],[Code]])</f>
        <v>1</v>
      </c>
      <c r="L1095" s="91">
        <f>STOCK[[#This Row],[Entradas]]-STOCK[[#This Row],[Salidas]]</f>
        <v>0</v>
      </c>
      <c r="M1095" s="76">
        <f>STOCK[[#This Row],[Precio Final]]*10%</f>
        <v>3</v>
      </c>
      <c r="N1095" s="76">
        <v>0</v>
      </c>
      <c r="O1095" s="76">
        <v>0</v>
      </c>
      <c r="P1095" s="76">
        <v>16.99</v>
      </c>
      <c r="Q1095" s="91">
        <v>0</v>
      </c>
      <c r="R1095" s="76">
        <v>0</v>
      </c>
      <c r="S1095" s="76">
        <v>0.6</v>
      </c>
      <c r="T1095" s="76">
        <f>STOCK[[#This Row],[Costo Unitario (USD)]]+STOCK[[#This Row],[Costo Envío (USD)]]+STOCK[[#This Row],[Comisión 10%]]</f>
        <v>20.59</v>
      </c>
      <c r="U1095" s="76">
        <f>STOCK[[#This Row],[Costo total]]*1.5</f>
        <v>30.885</v>
      </c>
      <c r="V1095" s="76">
        <v>30</v>
      </c>
      <c r="W1095" s="76">
        <f>STOCK[[#This Row],[Precio Final]]-STOCK[[#This Row],[Costo total]]</f>
        <v>9.41</v>
      </c>
      <c r="X1095" s="76">
        <f>STOCK[[#This Row],[Ganancia Unitaria]]*STOCK[[#This Row],[Salidas]]</f>
        <v>9.41</v>
      </c>
      <c r="Y1095" s="76" t="s">
        <v>2299</v>
      </c>
      <c r="AA1095" s="76">
        <f>STOCK[[#This Row],[Costo total]]*STOCK[[#This Row],[Entradas]]</f>
        <v>20.59</v>
      </c>
      <c r="AB1095" s="76">
        <f>STOCK[[#This Row],[Stock Actual]]*STOCK[[#This Row],[Costo total]]</f>
        <v>0</v>
      </c>
    </row>
    <row r="1096" s="77" customFormat="1" ht="50" customHeight="1" spans="1:28">
      <c r="A1096" s="77" t="s">
        <v>2300</v>
      </c>
      <c r="B1096" s="6"/>
      <c r="C1096" s="77" t="s">
        <v>30</v>
      </c>
      <c r="D1096" s="77" t="s">
        <v>36</v>
      </c>
      <c r="E1096" s="77" t="s">
        <v>2301</v>
      </c>
      <c r="F1096" s="77" t="s">
        <v>44</v>
      </c>
      <c r="G1096" s="77" t="s">
        <v>1874</v>
      </c>
      <c r="H1096" s="77">
        <f>STOCK[[#This Row],[Precio Final]]</f>
        <v>18</v>
      </c>
      <c r="I1096" s="77">
        <f>STOCK[[#This Row],[Precio Venta Ideal (x1.5)]]</f>
        <v>19.2140625</v>
      </c>
      <c r="J1096" s="92">
        <v>1</v>
      </c>
      <c r="K1096" s="92">
        <f>SUMIFS(VENTAS[Cantidad],VENTAS[Código del producto Vendido],STOCK[[#This Row],[Code]])</f>
        <v>0</v>
      </c>
      <c r="L1096" s="92">
        <f>STOCK[[#This Row],[Entradas]]-STOCK[[#This Row],[Salidas]]</f>
        <v>1</v>
      </c>
      <c r="M1096" s="77">
        <f>STOCK[[#This Row],[Precio Final]]*10%</f>
        <v>1.8</v>
      </c>
      <c r="N1096" s="77">
        <v>153.59</v>
      </c>
      <c r="O1096" s="77">
        <v>16</v>
      </c>
      <c r="P1096" s="77">
        <v>9.599375</v>
      </c>
      <c r="Q1096" s="92">
        <v>0</v>
      </c>
      <c r="R1096" s="77">
        <v>0</v>
      </c>
      <c r="S1096" s="77">
        <v>1.41</v>
      </c>
      <c r="T1096" s="76">
        <f>STOCK[[#This Row],[Costo Unitario (USD)]]+STOCK[[#This Row],[Costo Envío (USD)]]+STOCK[[#This Row],[Comisión 10%]]</f>
        <v>12.809375</v>
      </c>
      <c r="U1096" s="77">
        <f>STOCK[[#This Row],[Costo total]]*1.5</f>
        <v>19.2140625</v>
      </c>
      <c r="V1096" s="77">
        <v>18</v>
      </c>
      <c r="W1096" s="77">
        <f>STOCK[[#This Row],[Precio Final]]-STOCK[[#This Row],[Costo total]]</f>
        <v>5.190625</v>
      </c>
      <c r="X1096" s="77">
        <f>STOCK[[#This Row],[Ganancia Unitaria]]*STOCK[[#This Row],[Salidas]]</f>
        <v>0</v>
      </c>
      <c r="Y1096" s="77" t="s">
        <v>2302</v>
      </c>
      <c r="AA1096" s="77">
        <f>STOCK[[#This Row],[Costo total]]*STOCK[[#This Row],[Entradas]]</f>
        <v>12.809375</v>
      </c>
      <c r="AB1096" s="77">
        <f>STOCK[[#This Row],[Stock Actual]]*STOCK[[#This Row],[Costo total]]</f>
        <v>12.809375</v>
      </c>
    </row>
    <row r="1097" s="76" customFormat="1" ht="50" customHeight="1" spans="1:28">
      <c r="A1097" s="76" t="s">
        <v>2303</v>
      </c>
      <c r="B1097" s="6"/>
      <c r="C1097" s="76" t="s">
        <v>30</v>
      </c>
      <c r="D1097" s="77" t="s">
        <v>36</v>
      </c>
      <c r="E1097" s="76" t="s">
        <v>2301</v>
      </c>
      <c r="F1097" s="76" t="s">
        <v>60</v>
      </c>
      <c r="G1097" s="76" t="s">
        <v>1874</v>
      </c>
      <c r="H1097" s="76">
        <f>STOCK[[#This Row],[Precio Final]]</f>
        <v>18</v>
      </c>
      <c r="I1097" s="76">
        <f>STOCK[[#This Row],[Precio Venta Ideal (x1.5)]]</f>
        <v>19.2140625</v>
      </c>
      <c r="J1097" s="91">
        <v>1</v>
      </c>
      <c r="K1097" s="91">
        <f>SUMIFS(VENTAS[Cantidad],VENTAS[Código del producto Vendido],STOCK[[#This Row],[Code]])</f>
        <v>1</v>
      </c>
      <c r="L1097" s="91">
        <f>STOCK[[#This Row],[Entradas]]-STOCK[[#This Row],[Salidas]]</f>
        <v>0</v>
      </c>
      <c r="M1097" s="76">
        <f>STOCK[[#This Row],[Precio Final]]*10%</f>
        <v>1.8</v>
      </c>
      <c r="N1097" s="76">
        <v>153.59</v>
      </c>
      <c r="O1097" s="76">
        <v>16</v>
      </c>
      <c r="P1097" s="76">
        <v>9.599375</v>
      </c>
      <c r="Q1097" s="91">
        <v>0</v>
      </c>
      <c r="R1097" s="76">
        <v>0</v>
      </c>
      <c r="S1097" s="76">
        <v>1.41</v>
      </c>
      <c r="T1097" s="76">
        <f>STOCK[[#This Row],[Costo Unitario (USD)]]+STOCK[[#This Row],[Costo Envío (USD)]]+STOCK[[#This Row],[Comisión 10%]]</f>
        <v>12.809375</v>
      </c>
      <c r="U1097" s="76">
        <f>STOCK[[#This Row],[Costo total]]*1.5</f>
        <v>19.2140625</v>
      </c>
      <c r="V1097" s="76">
        <v>18</v>
      </c>
      <c r="W1097" s="76">
        <f>STOCK[[#This Row],[Precio Final]]-STOCK[[#This Row],[Costo total]]</f>
        <v>5.190625</v>
      </c>
      <c r="X1097" s="76">
        <f>STOCK[[#This Row],[Ganancia Unitaria]]*STOCK[[#This Row],[Salidas]]</f>
        <v>5.190625</v>
      </c>
      <c r="Y1097" s="76" t="s">
        <v>2304</v>
      </c>
      <c r="AA1097" s="76">
        <f>STOCK[[#This Row],[Costo total]]*STOCK[[#This Row],[Entradas]]</f>
        <v>12.809375</v>
      </c>
      <c r="AB1097" s="76">
        <f>STOCK[[#This Row],[Stock Actual]]*STOCK[[#This Row],[Costo total]]</f>
        <v>0</v>
      </c>
    </row>
    <row r="1098" s="77" customFormat="1" ht="50" customHeight="1" spans="1:28">
      <c r="A1098" s="77" t="s">
        <v>2305</v>
      </c>
      <c r="B1098" s="6"/>
      <c r="C1098" s="77" t="s">
        <v>30</v>
      </c>
      <c r="D1098" s="77" t="s">
        <v>36</v>
      </c>
      <c r="E1098" s="77" t="s">
        <v>2301</v>
      </c>
      <c r="F1098" s="77" t="s">
        <v>47</v>
      </c>
      <c r="G1098" s="77" t="s">
        <v>1874</v>
      </c>
      <c r="H1098" s="77">
        <f>STOCK[[#This Row],[Precio Final]]</f>
        <v>18</v>
      </c>
      <c r="I1098" s="77">
        <f>STOCK[[#This Row],[Precio Venta Ideal (x1.5)]]</f>
        <v>19.2140625</v>
      </c>
      <c r="J1098" s="92">
        <v>1</v>
      </c>
      <c r="K1098" s="92">
        <f>SUMIFS(VENTAS[Cantidad],VENTAS[Código del producto Vendido],STOCK[[#This Row],[Code]])</f>
        <v>0</v>
      </c>
      <c r="L1098" s="92">
        <f>STOCK[[#This Row],[Entradas]]-STOCK[[#This Row],[Salidas]]</f>
        <v>1</v>
      </c>
      <c r="M1098" s="77">
        <f>STOCK[[#This Row],[Precio Final]]*10%</f>
        <v>1.8</v>
      </c>
      <c r="N1098" s="77">
        <v>153.59</v>
      </c>
      <c r="O1098" s="77">
        <v>16</v>
      </c>
      <c r="P1098" s="77">
        <v>9.599375</v>
      </c>
      <c r="Q1098" s="92">
        <v>0</v>
      </c>
      <c r="R1098" s="77">
        <v>0</v>
      </c>
      <c r="S1098" s="77">
        <v>1.41</v>
      </c>
      <c r="T1098" s="76">
        <f>STOCK[[#This Row],[Costo Unitario (USD)]]+STOCK[[#This Row],[Costo Envío (USD)]]+STOCK[[#This Row],[Comisión 10%]]</f>
        <v>12.809375</v>
      </c>
      <c r="U1098" s="77">
        <f>STOCK[[#This Row],[Costo total]]*1.5</f>
        <v>19.2140625</v>
      </c>
      <c r="V1098" s="77">
        <v>18</v>
      </c>
      <c r="W1098" s="77">
        <f>STOCK[[#This Row],[Precio Final]]-STOCK[[#This Row],[Costo total]]</f>
        <v>5.190625</v>
      </c>
      <c r="X1098" s="77">
        <f>STOCK[[#This Row],[Ganancia Unitaria]]*STOCK[[#This Row],[Salidas]]</f>
        <v>0</v>
      </c>
      <c r="Y1098" s="77" t="s">
        <v>2306</v>
      </c>
      <c r="AA1098" s="77">
        <f>STOCK[[#This Row],[Costo total]]*STOCK[[#This Row],[Entradas]]</f>
        <v>12.809375</v>
      </c>
      <c r="AB1098" s="77">
        <f>STOCK[[#This Row],[Stock Actual]]*STOCK[[#This Row],[Costo total]]</f>
        <v>12.809375</v>
      </c>
    </row>
    <row r="1099" s="76" customFormat="1" ht="50" customHeight="1" spans="1:28">
      <c r="A1099" s="76" t="s">
        <v>2307</v>
      </c>
      <c r="B1099" s="6"/>
      <c r="C1099" s="76" t="s">
        <v>30</v>
      </c>
      <c r="D1099" s="76" t="s">
        <v>1188</v>
      </c>
      <c r="E1099" s="76" t="s">
        <v>2308</v>
      </c>
      <c r="F1099" s="76" t="s">
        <v>47</v>
      </c>
      <c r="G1099" s="76" t="s">
        <v>1874</v>
      </c>
      <c r="H1099" s="76">
        <f>STOCK[[#This Row],[Precio Final]]</f>
        <v>15</v>
      </c>
      <c r="I1099" s="76">
        <f>STOCK[[#This Row],[Precio Venta Ideal (x1.5)]]</f>
        <v>15.3496875</v>
      </c>
      <c r="J1099" s="91">
        <v>1</v>
      </c>
      <c r="K1099" s="91">
        <f>SUMIFS(VENTAS[Cantidad],VENTAS[Código del producto Vendido],STOCK[[#This Row],[Code]])</f>
        <v>0</v>
      </c>
      <c r="L1099" s="91">
        <f>STOCK[[#This Row],[Entradas]]-STOCK[[#This Row],[Salidas]]</f>
        <v>1</v>
      </c>
      <c r="M1099" s="76">
        <f>STOCK[[#This Row],[Precio Final]]*10%</f>
        <v>1.5</v>
      </c>
      <c r="N1099" s="76">
        <v>117.17</v>
      </c>
      <c r="O1099" s="76">
        <v>16</v>
      </c>
      <c r="P1099" s="76">
        <v>7.323125</v>
      </c>
      <c r="Q1099" s="91">
        <v>0</v>
      </c>
      <c r="R1099" s="76">
        <v>0</v>
      </c>
      <c r="S1099" s="76">
        <v>1.41</v>
      </c>
      <c r="T1099" s="76">
        <f>STOCK[[#This Row],[Costo Unitario (USD)]]+STOCK[[#This Row],[Costo Envío (USD)]]+STOCK[[#This Row],[Comisión 10%]]</f>
        <v>10.233125</v>
      </c>
      <c r="U1099" s="76">
        <f>STOCK[[#This Row],[Costo total]]*1.5</f>
        <v>15.3496875</v>
      </c>
      <c r="V1099" s="76">
        <v>15</v>
      </c>
      <c r="W1099" s="76">
        <f>STOCK[[#This Row],[Precio Final]]-STOCK[[#This Row],[Costo total]]</f>
        <v>4.766875</v>
      </c>
      <c r="X1099" s="76">
        <f>STOCK[[#This Row],[Ganancia Unitaria]]*STOCK[[#This Row],[Salidas]]</f>
        <v>0</v>
      </c>
      <c r="Y1099" s="76" t="s">
        <v>2309</v>
      </c>
      <c r="AA1099" s="76">
        <f>STOCK[[#This Row],[Costo total]]*STOCK[[#This Row],[Entradas]]</f>
        <v>10.233125</v>
      </c>
      <c r="AB1099" s="76">
        <f>STOCK[[#This Row],[Stock Actual]]*STOCK[[#This Row],[Costo total]]</f>
        <v>10.233125</v>
      </c>
    </row>
    <row r="1100" s="77" customFormat="1" ht="50" customHeight="1" spans="1:28">
      <c r="A1100" s="77" t="s">
        <v>2310</v>
      </c>
      <c r="B1100" s="6"/>
      <c r="C1100" s="77" t="s">
        <v>30</v>
      </c>
      <c r="D1100" s="77" t="s">
        <v>1188</v>
      </c>
      <c r="E1100" s="77" t="s">
        <v>2308</v>
      </c>
      <c r="F1100" s="77" t="s">
        <v>44</v>
      </c>
      <c r="G1100" s="77" t="s">
        <v>1874</v>
      </c>
      <c r="H1100" s="77">
        <f>STOCK[[#This Row],[Precio Final]]</f>
        <v>15</v>
      </c>
      <c r="I1100" s="77">
        <f>STOCK[[#This Row],[Precio Venta Ideal (x1.5)]]</f>
        <v>15.3496875</v>
      </c>
      <c r="J1100" s="92">
        <v>1</v>
      </c>
      <c r="K1100" s="92">
        <f>SUMIFS(VENTAS[Cantidad],VENTAS[Código del producto Vendido],STOCK[[#This Row],[Code]])</f>
        <v>1</v>
      </c>
      <c r="L1100" s="92">
        <f>STOCK[[#This Row],[Entradas]]-STOCK[[#This Row],[Salidas]]</f>
        <v>0</v>
      </c>
      <c r="M1100" s="77">
        <f>STOCK[[#This Row],[Precio Final]]*10%</f>
        <v>1.5</v>
      </c>
      <c r="N1100" s="77">
        <v>117.17</v>
      </c>
      <c r="O1100" s="77">
        <v>16</v>
      </c>
      <c r="P1100" s="77">
        <v>7.323125</v>
      </c>
      <c r="Q1100" s="92">
        <v>0</v>
      </c>
      <c r="R1100" s="77">
        <v>0</v>
      </c>
      <c r="S1100" s="77">
        <v>1.41</v>
      </c>
      <c r="T1100" s="76">
        <f>STOCK[[#This Row],[Costo Unitario (USD)]]+STOCK[[#This Row],[Costo Envío (USD)]]+STOCK[[#This Row],[Comisión 10%]]</f>
        <v>10.233125</v>
      </c>
      <c r="U1100" s="77">
        <f>STOCK[[#This Row],[Costo total]]*1.5</f>
        <v>15.3496875</v>
      </c>
      <c r="V1100" s="77">
        <v>15</v>
      </c>
      <c r="W1100" s="77">
        <f>STOCK[[#This Row],[Precio Final]]-STOCK[[#This Row],[Costo total]]</f>
        <v>4.766875</v>
      </c>
      <c r="X1100" s="77">
        <f>STOCK[[#This Row],[Ganancia Unitaria]]*STOCK[[#This Row],[Salidas]]</f>
        <v>4.766875</v>
      </c>
      <c r="Y1100" s="77" t="s">
        <v>2311</v>
      </c>
      <c r="AA1100" s="77">
        <f>STOCK[[#This Row],[Costo total]]*STOCK[[#This Row],[Entradas]]</f>
        <v>10.233125</v>
      </c>
      <c r="AB1100" s="77">
        <f>STOCK[[#This Row],[Stock Actual]]*STOCK[[#This Row],[Costo total]]</f>
        <v>0</v>
      </c>
    </row>
    <row r="1101" s="76" customFormat="1" ht="50" customHeight="1" spans="1:28">
      <c r="A1101" s="76" t="s">
        <v>2312</v>
      </c>
      <c r="B1101" s="6"/>
      <c r="C1101" s="76" t="s">
        <v>30</v>
      </c>
      <c r="D1101" s="76" t="s">
        <v>1188</v>
      </c>
      <c r="E1101" s="76" t="s">
        <v>2308</v>
      </c>
      <c r="F1101" s="76" t="s">
        <v>60</v>
      </c>
      <c r="G1101" s="76" t="s">
        <v>1874</v>
      </c>
      <c r="H1101" s="76">
        <f>STOCK[[#This Row],[Precio Final]]</f>
        <v>15</v>
      </c>
      <c r="I1101" s="76">
        <f>STOCK[[#This Row],[Precio Venta Ideal (x1.5)]]</f>
        <v>15.3496875</v>
      </c>
      <c r="J1101" s="91">
        <v>1</v>
      </c>
      <c r="K1101" s="91">
        <f>SUMIFS(VENTAS[Cantidad],VENTAS[Código del producto Vendido],STOCK[[#This Row],[Code]])</f>
        <v>1</v>
      </c>
      <c r="L1101" s="91">
        <f>STOCK[[#This Row],[Entradas]]-STOCK[[#This Row],[Salidas]]</f>
        <v>0</v>
      </c>
      <c r="M1101" s="76">
        <f>STOCK[[#This Row],[Precio Final]]*10%</f>
        <v>1.5</v>
      </c>
      <c r="N1101" s="76">
        <v>117.17</v>
      </c>
      <c r="O1101" s="76">
        <v>16</v>
      </c>
      <c r="P1101" s="76">
        <v>7.323125</v>
      </c>
      <c r="Q1101" s="91">
        <v>0</v>
      </c>
      <c r="R1101" s="76">
        <v>0</v>
      </c>
      <c r="S1101" s="76">
        <v>1.41</v>
      </c>
      <c r="T1101" s="76">
        <f>STOCK[[#This Row],[Costo Unitario (USD)]]+STOCK[[#This Row],[Costo Envío (USD)]]+STOCK[[#This Row],[Comisión 10%]]</f>
        <v>10.233125</v>
      </c>
      <c r="U1101" s="76">
        <f>STOCK[[#This Row],[Costo total]]*1.5</f>
        <v>15.3496875</v>
      </c>
      <c r="V1101" s="76">
        <v>15</v>
      </c>
      <c r="W1101" s="76">
        <f>STOCK[[#This Row],[Precio Final]]-STOCK[[#This Row],[Costo total]]</f>
        <v>4.766875</v>
      </c>
      <c r="X1101" s="76">
        <f>STOCK[[#This Row],[Ganancia Unitaria]]*STOCK[[#This Row],[Salidas]]</f>
        <v>4.766875</v>
      </c>
      <c r="Y1101" s="76" t="s">
        <v>2313</v>
      </c>
      <c r="AA1101" s="76">
        <f>STOCK[[#This Row],[Costo total]]*STOCK[[#This Row],[Entradas]]</f>
        <v>10.233125</v>
      </c>
      <c r="AB1101" s="76">
        <f>STOCK[[#This Row],[Stock Actual]]*STOCK[[#This Row],[Costo total]]</f>
        <v>0</v>
      </c>
    </row>
    <row r="1102" s="77" customFormat="1" ht="50" customHeight="1" spans="1:28">
      <c r="A1102" s="77" t="s">
        <v>2314</v>
      </c>
      <c r="B1102" s="6"/>
      <c r="C1102" s="77" t="s">
        <v>30</v>
      </c>
      <c r="D1102" s="77" t="s">
        <v>2315</v>
      </c>
      <c r="E1102" s="77" t="s">
        <v>2316</v>
      </c>
      <c r="F1102" s="77" t="s">
        <v>40</v>
      </c>
      <c r="G1102" s="77" t="s">
        <v>1874</v>
      </c>
      <c r="H1102" s="77">
        <f>STOCK[[#This Row],[Precio Final]]</f>
        <v>30</v>
      </c>
      <c r="I1102" s="77">
        <f>STOCK[[#This Row],[Precio Venta Ideal (x1.5)]]</f>
        <v>26.5265625</v>
      </c>
      <c r="J1102" s="92">
        <v>2</v>
      </c>
      <c r="K1102" s="92">
        <f>SUMIFS(VENTAS[Cantidad],VENTAS[Código del producto Vendido],STOCK[[#This Row],[Code]])</f>
        <v>1</v>
      </c>
      <c r="L1102" s="92">
        <f>STOCK[[#This Row],[Entradas]]-STOCK[[#This Row],[Salidas]]</f>
        <v>1</v>
      </c>
      <c r="M1102" s="77">
        <f>STOCK[[#This Row],[Precio Final]]*10%</f>
        <v>3</v>
      </c>
      <c r="N1102" s="77">
        <v>212.39</v>
      </c>
      <c r="O1102" s="77">
        <v>16</v>
      </c>
      <c r="P1102" s="77">
        <v>13.274375</v>
      </c>
      <c r="Q1102" s="92">
        <v>0</v>
      </c>
      <c r="R1102" s="77">
        <v>0</v>
      </c>
      <c r="S1102" s="77">
        <v>1.41</v>
      </c>
      <c r="T1102" s="76">
        <f>STOCK[[#This Row],[Costo Unitario (USD)]]+STOCK[[#This Row],[Costo Envío (USD)]]+STOCK[[#This Row],[Comisión 10%]]</f>
        <v>17.684375</v>
      </c>
      <c r="U1102" s="77">
        <f>STOCK[[#This Row],[Costo total]]*1.5</f>
        <v>26.5265625</v>
      </c>
      <c r="V1102" s="77">
        <v>30</v>
      </c>
      <c r="W1102" s="77">
        <f>STOCK[[#This Row],[Precio Final]]-STOCK[[#This Row],[Costo total]]</f>
        <v>12.315625</v>
      </c>
      <c r="X1102" s="77">
        <f>STOCK[[#This Row],[Ganancia Unitaria]]*STOCK[[#This Row],[Salidas]]</f>
        <v>12.315625</v>
      </c>
      <c r="Y1102" s="77" t="s">
        <v>2317</v>
      </c>
      <c r="AA1102" s="77">
        <f>STOCK[[#This Row],[Costo total]]*STOCK[[#This Row],[Entradas]]</f>
        <v>35.36875</v>
      </c>
      <c r="AB1102" s="77">
        <f>STOCK[[#This Row],[Stock Actual]]*STOCK[[#This Row],[Costo total]]</f>
        <v>17.684375</v>
      </c>
    </row>
    <row r="1103" s="76" customFormat="1" ht="50" customHeight="1" spans="1:28">
      <c r="A1103" s="76" t="s">
        <v>2318</v>
      </c>
      <c r="B1103" s="6"/>
      <c r="C1103" s="76" t="s">
        <v>30</v>
      </c>
      <c r="D1103" s="76" t="s">
        <v>2116</v>
      </c>
      <c r="E1103" s="76" t="s">
        <v>2319</v>
      </c>
      <c r="F1103" s="76" t="s">
        <v>60</v>
      </c>
      <c r="G1103" s="76" t="s">
        <v>1874</v>
      </c>
      <c r="H1103" s="76">
        <f>STOCK[[#This Row],[Precio Final]]</f>
        <v>30</v>
      </c>
      <c r="I1103" s="76">
        <f>STOCK[[#This Row],[Precio Venta Ideal (x1.5)]]</f>
        <v>30.3215625</v>
      </c>
      <c r="J1103" s="91">
        <v>1</v>
      </c>
      <c r="K1103" s="91">
        <f>SUMIFS(VENTAS[Cantidad],VENTAS[Código del producto Vendido],STOCK[[#This Row],[Code]])</f>
        <v>1</v>
      </c>
      <c r="L1103" s="91">
        <f>STOCK[[#This Row],[Entradas]]-STOCK[[#This Row],[Salidas]]</f>
        <v>0</v>
      </c>
      <c r="M1103" s="76">
        <f>STOCK[[#This Row],[Precio Final]]*10%</f>
        <v>3</v>
      </c>
      <c r="N1103" s="76">
        <v>252.87</v>
      </c>
      <c r="O1103" s="76">
        <v>16</v>
      </c>
      <c r="P1103" s="76">
        <v>15.804375</v>
      </c>
      <c r="Q1103" s="91">
        <v>0</v>
      </c>
      <c r="R1103" s="76">
        <v>0</v>
      </c>
      <c r="S1103" s="76">
        <v>1.41</v>
      </c>
      <c r="T1103" s="76">
        <f>STOCK[[#This Row],[Costo Unitario (USD)]]+STOCK[[#This Row],[Costo Envío (USD)]]+STOCK[[#This Row],[Comisión 10%]]</f>
        <v>20.214375</v>
      </c>
      <c r="U1103" s="76">
        <f>STOCK[[#This Row],[Costo total]]*1.5</f>
        <v>30.3215625</v>
      </c>
      <c r="V1103" s="76">
        <v>30</v>
      </c>
      <c r="W1103" s="76">
        <f>STOCK[[#This Row],[Precio Final]]-STOCK[[#This Row],[Costo total]]</f>
        <v>9.785625</v>
      </c>
      <c r="X1103" s="76">
        <f>STOCK[[#This Row],[Ganancia Unitaria]]*STOCK[[#This Row],[Salidas]]</f>
        <v>9.785625</v>
      </c>
      <c r="Y1103" s="76" t="s">
        <v>2320</v>
      </c>
      <c r="AA1103" s="76">
        <f>STOCK[[#This Row],[Costo total]]*STOCK[[#This Row],[Entradas]]</f>
        <v>20.214375</v>
      </c>
      <c r="AB1103" s="76">
        <f>STOCK[[#This Row],[Stock Actual]]*STOCK[[#This Row],[Costo total]]</f>
        <v>0</v>
      </c>
    </row>
    <row r="1104" s="77" customFormat="1" ht="50" customHeight="1" spans="1:28">
      <c r="A1104" s="77" t="s">
        <v>2321</v>
      </c>
      <c r="B1104" s="6"/>
      <c r="C1104" s="77" t="s">
        <v>30</v>
      </c>
      <c r="D1104" s="77" t="s">
        <v>2135</v>
      </c>
      <c r="E1104" s="77" t="s">
        <v>2322</v>
      </c>
      <c r="F1104" s="77" t="s">
        <v>60</v>
      </c>
      <c r="G1104" s="77" t="s">
        <v>1874</v>
      </c>
      <c r="H1104" s="77">
        <f>STOCK[[#This Row],[Precio Final]]</f>
        <v>20</v>
      </c>
      <c r="I1104" s="77">
        <f>STOCK[[#This Row],[Precio Venta Ideal (x1.5)]]</f>
        <v>19.3715625</v>
      </c>
      <c r="J1104" s="92">
        <v>1</v>
      </c>
      <c r="K1104" s="92">
        <f>SUMIFS(VENTAS[Cantidad],VENTAS[Código del producto Vendido],STOCK[[#This Row],[Code]])</f>
        <v>1</v>
      </c>
      <c r="L1104" s="92">
        <f>STOCK[[#This Row],[Entradas]]-STOCK[[#This Row],[Salidas]]</f>
        <v>0</v>
      </c>
      <c r="M1104" s="77">
        <f>STOCK[[#This Row],[Precio Final]]*10%</f>
        <v>2</v>
      </c>
      <c r="N1104" s="77">
        <v>152.07</v>
      </c>
      <c r="O1104" s="77">
        <v>16</v>
      </c>
      <c r="P1104" s="77">
        <v>9.504375</v>
      </c>
      <c r="Q1104" s="92">
        <v>0</v>
      </c>
      <c r="R1104" s="77">
        <v>0</v>
      </c>
      <c r="S1104" s="77">
        <v>1.41</v>
      </c>
      <c r="T1104" s="76">
        <f>STOCK[[#This Row],[Costo Unitario (USD)]]+STOCK[[#This Row],[Costo Envío (USD)]]+STOCK[[#This Row],[Comisión 10%]]</f>
        <v>12.914375</v>
      </c>
      <c r="U1104" s="77">
        <f>STOCK[[#This Row],[Costo total]]*1.5</f>
        <v>19.3715625</v>
      </c>
      <c r="V1104" s="77">
        <v>20</v>
      </c>
      <c r="W1104" s="77">
        <f>STOCK[[#This Row],[Precio Final]]-STOCK[[#This Row],[Costo total]]</f>
        <v>7.085625</v>
      </c>
      <c r="X1104" s="77">
        <f>STOCK[[#This Row],[Ganancia Unitaria]]*STOCK[[#This Row],[Salidas]]</f>
        <v>7.085625</v>
      </c>
      <c r="Y1104" s="77" t="s">
        <v>2323</v>
      </c>
      <c r="AA1104" s="77">
        <f>STOCK[[#This Row],[Costo total]]*STOCK[[#This Row],[Entradas]]</f>
        <v>12.914375</v>
      </c>
      <c r="AB1104" s="77">
        <f>STOCK[[#This Row],[Stock Actual]]*STOCK[[#This Row],[Costo total]]</f>
        <v>0</v>
      </c>
    </row>
    <row r="1105" s="76" customFormat="1" ht="50" customHeight="1" spans="1:28">
      <c r="A1105" s="76" t="s">
        <v>2324</v>
      </c>
      <c r="B1105" s="6"/>
      <c r="C1105" s="76" t="s">
        <v>30</v>
      </c>
      <c r="D1105" s="76" t="s">
        <v>2135</v>
      </c>
      <c r="E1105" s="76" t="s">
        <v>2322</v>
      </c>
      <c r="F1105" s="76" t="s">
        <v>47</v>
      </c>
      <c r="G1105" s="76" t="s">
        <v>1874</v>
      </c>
      <c r="H1105" s="76">
        <f>STOCK[[#This Row],[Precio Final]]</f>
        <v>20</v>
      </c>
      <c r="I1105" s="76">
        <f>STOCK[[#This Row],[Precio Venta Ideal (x1.5)]]</f>
        <v>19.3715625</v>
      </c>
      <c r="J1105" s="91">
        <v>1</v>
      </c>
      <c r="K1105" s="91">
        <f>SUMIFS(VENTAS[Cantidad],VENTAS[Código del producto Vendido],STOCK[[#This Row],[Code]])</f>
        <v>1</v>
      </c>
      <c r="L1105" s="91">
        <f>STOCK[[#This Row],[Entradas]]-STOCK[[#This Row],[Salidas]]</f>
        <v>0</v>
      </c>
      <c r="M1105" s="76">
        <f>STOCK[[#This Row],[Precio Final]]*10%</f>
        <v>2</v>
      </c>
      <c r="N1105" s="76">
        <v>152.07</v>
      </c>
      <c r="O1105" s="76">
        <v>16</v>
      </c>
      <c r="P1105" s="76">
        <v>9.504375</v>
      </c>
      <c r="Q1105" s="91">
        <v>0</v>
      </c>
      <c r="R1105" s="76">
        <v>0</v>
      </c>
      <c r="S1105" s="76">
        <v>1.41</v>
      </c>
      <c r="T1105" s="76">
        <f>STOCK[[#This Row],[Costo Unitario (USD)]]+STOCK[[#This Row],[Costo Envío (USD)]]+STOCK[[#This Row],[Comisión 10%]]</f>
        <v>12.914375</v>
      </c>
      <c r="U1105" s="76">
        <f>STOCK[[#This Row],[Costo total]]*1.5</f>
        <v>19.3715625</v>
      </c>
      <c r="V1105" s="76">
        <v>20</v>
      </c>
      <c r="W1105" s="76">
        <f>STOCK[[#This Row],[Precio Final]]-STOCK[[#This Row],[Costo total]]</f>
        <v>7.085625</v>
      </c>
      <c r="X1105" s="76">
        <f>STOCK[[#This Row],[Ganancia Unitaria]]*STOCK[[#This Row],[Salidas]]</f>
        <v>7.085625</v>
      </c>
      <c r="Y1105" s="76" t="s">
        <v>2325</v>
      </c>
      <c r="AA1105" s="76">
        <f>STOCK[[#This Row],[Costo total]]*STOCK[[#This Row],[Entradas]]</f>
        <v>12.914375</v>
      </c>
      <c r="AB1105" s="76">
        <f>STOCK[[#This Row],[Stock Actual]]*STOCK[[#This Row],[Costo total]]</f>
        <v>0</v>
      </c>
    </row>
    <row r="1106" s="77" customFormat="1" ht="50" customHeight="1" spans="1:28">
      <c r="A1106" s="77" t="s">
        <v>2326</v>
      </c>
      <c r="B1106" s="6"/>
      <c r="C1106" s="77" t="s">
        <v>30</v>
      </c>
      <c r="D1106" s="77" t="s">
        <v>1210</v>
      </c>
      <c r="E1106" s="77" t="s">
        <v>2322</v>
      </c>
      <c r="F1106" s="77" t="s">
        <v>44</v>
      </c>
      <c r="G1106" s="77" t="s">
        <v>1874</v>
      </c>
      <c r="H1106" s="77">
        <f>STOCK[[#This Row],[Precio Final]]</f>
        <v>20</v>
      </c>
      <c r="I1106" s="77">
        <f>STOCK[[#This Row],[Precio Venta Ideal (x1.5)]]</f>
        <v>19.3715625</v>
      </c>
      <c r="J1106" s="92">
        <v>1</v>
      </c>
      <c r="K1106" s="92">
        <f>SUMIFS(VENTAS[Cantidad],VENTAS[Código del producto Vendido],STOCK[[#This Row],[Code]])</f>
        <v>1</v>
      </c>
      <c r="L1106" s="92">
        <f>STOCK[[#This Row],[Entradas]]-STOCK[[#This Row],[Salidas]]</f>
        <v>0</v>
      </c>
      <c r="M1106" s="77">
        <f>STOCK[[#This Row],[Precio Final]]*10%</f>
        <v>2</v>
      </c>
      <c r="N1106" s="77">
        <v>152.07</v>
      </c>
      <c r="O1106" s="77">
        <v>16</v>
      </c>
      <c r="P1106" s="77">
        <v>9.504375</v>
      </c>
      <c r="Q1106" s="92">
        <v>0</v>
      </c>
      <c r="R1106" s="77">
        <v>0</v>
      </c>
      <c r="S1106" s="77">
        <v>1.41</v>
      </c>
      <c r="T1106" s="76">
        <f>STOCK[[#This Row],[Costo Unitario (USD)]]+STOCK[[#This Row],[Costo Envío (USD)]]+STOCK[[#This Row],[Comisión 10%]]</f>
        <v>12.914375</v>
      </c>
      <c r="U1106" s="77">
        <f>STOCK[[#This Row],[Costo total]]*1.5</f>
        <v>19.3715625</v>
      </c>
      <c r="V1106" s="77">
        <v>20</v>
      </c>
      <c r="W1106" s="77">
        <f>STOCK[[#This Row],[Precio Final]]-STOCK[[#This Row],[Costo total]]</f>
        <v>7.085625</v>
      </c>
      <c r="X1106" s="77">
        <f>STOCK[[#This Row],[Ganancia Unitaria]]*STOCK[[#This Row],[Salidas]]</f>
        <v>7.085625</v>
      </c>
      <c r="Y1106" s="77" t="s">
        <v>2327</v>
      </c>
      <c r="AA1106" s="77">
        <f>STOCK[[#This Row],[Costo total]]*STOCK[[#This Row],[Entradas]]</f>
        <v>12.914375</v>
      </c>
      <c r="AB1106" s="77">
        <f>STOCK[[#This Row],[Stock Actual]]*STOCK[[#This Row],[Costo total]]</f>
        <v>0</v>
      </c>
    </row>
    <row r="1107" s="76" customFormat="1" ht="50" customHeight="1" spans="1:28">
      <c r="A1107" s="76" t="s">
        <v>2328</v>
      </c>
      <c r="B1107" s="6"/>
      <c r="C1107" s="76" t="s">
        <v>30</v>
      </c>
      <c r="D1107" s="76" t="s">
        <v>1210</v>
      </c>
      <c r="E1107" s="76" t="s">
        <v>2322</v>
      </c>
      <c r="F1107" s="76" t="s">
        <v>40</v>
      </c>
      <c r="G1107" s="76" t="s">
        <v>1874</v>
      </c>
      <c r="H1107" s="76">
        <f>STOCK[[#This Row],[Precio Final]]</f>
        <v>20</v>
      </c>
      <c r="I1107" s="76">
        <f>STOCK[[#This Row],[Precio Venta Ideal (x1.5)]]</f>
        <v>19.3715625</v>
      </c>
      <c r="J1107" s="91">
        <v>1</v>
      </c>
      <c r="K1107" s="91">
        <f>SUMIFS(VENTAS[Cantidad],VENTAS[Código del producto Vendido],STOCK[[#This Row],[Code]])</f>
        <v>1</v>
      </c>
      <c r="L1107" s="91">
        <f>STOCK[[#This Row],[Entradas]]-STOCK[[#This Row],[Salidas]]</f>
        <v>0</v>
      </c>
      <c r="M1107" s="76">
        <f>STOCK[[#This Row],[Precio Final]]*10%</f>
        <v>2</v>
      </c>
      <c r="N1107" s="76">
        <v>152.07</v>
      </c>
      <c r="O1107" s="76">
        <v>16</v>
      </c>
      <c r="P1107" s="76">
        <v>9.504375</v>
      </c>
      <c r="Q1107" s="91">
        <v>0</v>
      </c>
      <c r="R1107" s="76">
        <v>0</v>
      </c>
      <c r="S1107" s="76">
        <v>1.41</v>
      </c>
      <c r="T1107" s="76">
        <f>STOCK[[#This Row],[Costo Unitario (USD)]]+STOCK[[#This Row],[Costo Envío (USD)]]+STOCK[[#This Row],[Comisión 10%]]</f>
        <v>12.914375</v>
      </c>
      <c r="U1107" s="76">
        <f>STOCK[[#This Row],[Costo total]]*1.5</f>
        <v>19.3715625</v>
      </c>
      <c r="V1107" s="76">
        <v>20</v>
      </c>
      <c r="W1107" s="76">
        <f>STOCK[[#This Row],[Precio Final]]-STOCK[[#This Row],[Costo total]]</f>
        <v>7.085625</v>
      </c>
      <c r="X1107" s="76">
        <f>STOCK[[#This Row],[Ganancia Unitaria]]*STOCK[[#This Row],[Salidas]]</f>
        <v>7.085625</v>
      </c>
      <c r="Y1107" s="76" t="s">
        <v>2329</v>
      </c>
      <c r="AA1107" s="76">
        <f>STOCK[[#This Row],[Costo total]]*STOCK[[#This Row],[Entradas]]</f>
        <v>12.914375</v>
      </c>
      <c r="AB1107" s="76">
        <f>STOCK[[#This Row],[Stock Actual]]*STOCK[[#This Row],[Costo total]]</f>
        <v>0</v>
      </c>
    </row>
    <row r="1108" s="77" customFormat="1" ht="50" customHeight="1" spans="1:28">
      <c r="A1108" s="77" t="s">
        <v>2330</v>
      </c>
      <c r="B1108" s="6"/>
      <c r="C1108" s="77" t="s">
        <v>30</v>
      </c>
      <c r="D1108" s="77" t="s">
        <v>2331</v>
      </c>
      <c r="E1108" s="77" t="s">
        <v>2332</v>
      </c>
      <c r="F1108" s="77" t="s">
        <v>60</v>
      </c>
      <c r="G1108" s="77" t="s">
        <v>1874</v>
      </c>
      <c r="H1108" s="77">
        <f>STOCK[[#This Row],[Precio Final]]</f>
        <v>20</v>
      </c>
      <c r="I1108" s="77">
        <f>STOCK[[#This Row],[Precio Venta Ideal (x1.5)]]</f>
        <v>23.1140625</v>
      </c>
      <c r="J1108" s="92">
        <v>1</v>
      </c>
      <c r="K1108" s="92">
        <f>SUMIFS(VENTAS[Cantidad],VENTAS[Código del producto Vendido],STOCK[[#This Row],[Code]])</f>
        <v>1</v>
      </c>
      <c r="L1108" s="92">
        <f>STOCK[[#This Row],[Entradas]]-STOCK[[#This Row],[Salidas]]</f>
        <v>0</v>
      </c>
      <c r="M1108" s="77">
        <f>STOCK[[#This Row],[Precio Final]]*10%</f>
        <v>2</v>
      </c>
      <c r="N1108" s="77">
        <v>191.99</v>
      </c>
      <c r="O1108" s="77">
        <v>16</v>
      </c>
      <c r="P1108" s="77">
        <v>11.999375</v>
      </c>
      <c r="Q1108" s="92">
        <v>0</v>
      </c>
      <c r="R1108" s="77">
        <v>0</v>
      </c>
      <c r="S1108" s="77">
        <v>1.41</v>
      </c>
      <c r="T1108" s="76">
        <f>STOCK[[#This Row],[Costo Unitario (USD)]]+STOCK[[#This Row],[Costo Envío (USD)]]+STOCK[[#This Row],[Comisión 10%]]</f>
        <v>15.409375</v>
      </c>
      <c r="U1108" s="77">
        <f>STOCK[[#This Row],[Costo total]]*1.5</f>
        <v>23.1140625</v>
      </c>
      <c r="V1108" s="77">
        <v>20</v>
      </c>
      <c r="W1108" s="77">
        <f>STOCK[[#This Row],[Precio Final]]-STOCK[[#This Row],[Costo total]]</f>
        <v>4.590625</v>
      </c>
      <c r="X1108" s="77">
        <f>STOCK[[#This Row],[Ganancia Unitaria]]*STOCK[[#This Row],[Salidas]]</f>
        <v>4.590625</v>
      </c>
      <c r="Y1108" s="77" t="s">
        <v>2333</v>
      </c>
      <c r="AA1108" s="77">
        <f>STOCK[[#This Row],[Costo total]]*STOCK[[#This Row],[Entradas]]</f>
        <v>15.409375</v>
      </c>
      <c r="AB1108" s="77">
        <f>STOCK[[#This Row],[Stock Actual]]*STOCK[[#This Row],[Costo total]]</f>
        <v>0</v>
      </c>
    </row>
    <row r="1109" s="76" customFormat="1" ht="50" customHeight="1" spans="1:28">
      <c r="A1109" s="76" t="s">
        <v>2334</v>
      </c>
      <c r="B1109" s="6"/>
      <c r="C1109" s="76" t="s">
        <v>30</v>
      </c>
      <c r="D1109" s="77" t="s">
        <v>36</v>
      </c>
      <c r="E1109" s="76" t="s">
        <v>2335</v>
      </c>
      <c r="F1109" s="76" t="s">
        <v>44</v>
      </c>
      <c r="G1109" s="76" t="s">
        <v>1874</v>
      </c>
      <c r="H1109" s="76">
        <f>STOCK[[#This Row],[Precio Final]]</f>
        <v>18</v>
      </c>
      <c r="I1109" s="76">
        <f>STOCK[[#This Row],[Precio Venta Ideal (x1.5)]]</f>
        <v>15.3515625</v>
      </c>
      <c r="J1109" s="91">
        <v>2</v>
      </c>
      <c r="K1109" s="91">
        <f>SUMIFS(VENTAS[Cantidad],VENTAS[Código del producto Vendido],STOCK[[#This Row],[Code]])</f>
        <v>0</v>
      </c>
      <c r="L1109" s="91">
        <f>STOCK[[#This Row],[Entradas]]-STOCK[[#This Row],[Salidas]]</f>
        <v>2</v>
      </c>
      <c r="M1109" s="76">
        <f>STOCK[[#This Row],[Precio Final]]*10%</f>
        <v>1.8</v>
      </c>
      <c r="N1109" s="76">
        <v>112.39</v>
      </c>
      <c r="O1109" s="76">
        <v>16</v>
      </c>
      <c r="P1109" s="76">
        <v>7.024375</v>
      </c>
      <c r="Q1109" s="91">
        <v>0</v>
      </c>
      <c r="R1109" s="76">
        <v>0</v>
      </c>
      <c r="S1109" s="76">
        <v>1.41</v>
      </c>
      <c r="T1109" s="76">
        <f>STOCK[[#This Row],[Costo Unitario (USD)]]+STOCK[[#This Row],[Costo Envío (USD)]]+STOCK[[#This Row],[Comisión 10%]]</f>
        <v>10.234375</v>
      </c>
      <c r="U1109" s="76">
        <f>STOCK[[#This Row],[Costo total]]*1.5</f>
        <v>15.3515625</v>
      </c>
      <c r="V1109" s="76">
        <v>18</v>
      </c>
      <c r="W1109" s="76">
        <f>STOCK[[#This Row],[Precio Final]]-STOCK[[#This Row],[Costo total]]</f>
        <v>7.765625</v>
      </c>
      <c r="X1109" s="76">
        <f>STOCK[[#This Row],[Ganancia Unitaria]]*STOCK[[#This Row],[Salidas]]</f>
        <v>0</v>
      </c>
      <c r="Y1109" s="76" t="s">
        <v>2336</v>
      </c>
      <c r="AA1109" s="76">
        <f>STOCK[[#This Row],[Costo total]]*STOCK[[#This Row],[Entradas]]</f>
        <v>20.46875</v>
      </c>
      <c r="AB1109" s="76">
        <f>STOCK[[#This Row],[Stock Actual]]*STOCK[[#This Row],[Costo total]]</f>
        <v>20.46875</v>
      </c>
    </row>
    <row r="1110" s="77" customFormat="1" ht="50" customHeight="1" spans="1:28">
      <c r="A1110" s="77" t="s">
        <v>2337</v>
      </c>
      <c r="B1110" s="6"/>
      <c r="C1110" s="77" t="s">
        <v>30</v>
      </c>
      <c r="D1110" s="77" t="s">
        <v>36</v>
      </c>
      <c r="E1110" s="77" t="s">
        <v>2335</v>
      </c>
      <c r="F1110" s="77" t="s">
        <v>60</v>
      </c>
      <c r="G1110" s="77" t="s">
        <v>1874</v>
      </c>
      <c r="H1110" s="77">
        <f>STOCK[[#This Row],[Precio Final]]</f>
        <v>18</v>
      </c>
      <c r="I1110" s="77">
        <f>STOCK[[#This Row],[Precio Venta Ideal (x1.5)]]</f>
        <v>15.3515625</v>
      </c>
      <c r="J1110" s="92">
        <v>2</v>
      </c>
      <c r="K1110" s="92">
        <f>SUMIFS(VENTAS[Cantidad],VENTAS[Código del producto Vendido],STOCK[[#This Row],[Code]])</f>
        <v>0</v>
      </c>
      <c r="L1110" s="92">
        <f>STOCK[[#This Row],[Entradas]]-STOCK[[#This Row],[Salidas]]</f>
        <v>2</v>
      </c>
      <c r="M1110" s="77">
        <f>STOCK[[#This Row],[Precio Final]]*10%</f>
        <v>1.8</v>
      </c>
      <c r="N1110" s="77">
        <v>112.39</v>
      </c>
      <c r="O1110" s="77">
        <v>16</v>
      </c>
      <c r="P1110" s="77">
        <v>7.024375</v>
      </c>
      <c r="Q1110" s="92">
        <v>0</v>
      </c>
      <c r="R1110" s="77">
        <v>0</v>
      </c>
      <c r="S1110" s="77">
        <v>1.41</v>
      </c>
      <c r="T1110" s="76">
        <f>STOCK[[#This Row],[Costo Unitario (USD)]]+STOCK[[#This Row],[Costo Envío (USD)]]+STOCK[[#This Row],[Comisión 10%]]</f>
        <v>10.234375</v>
      </c>
      <c r="U1110" s="77">
        <f>STOCK[[#This Row],[Costo total]]*1.5</f>
        <v>15.3515625</v>
      </c>
      <c r="V1110" s="77">
        <v>18</v>
      </c>
      <c r="W1110" s="77">
        <f>STOCK[[#This Row],[Precio Final]]-STOCK[[#This Row],[Costo total]]</f>
        <v>7.765625</v>
      </c>
      <c r="X1110" s="77">
        <f>STOCK[[#This Row],[Ganancia Unitaria]]*STOCK[[#This Row],[Salidas]]</f>
        <v>0</v>
      </c>
      <c r="Y1110" s="77" t="s">
        <v>2338</v>
      </c>
      <c r="AA1110" s="77">
        <f>STOCK[[#This Row],[Costo total]]*STOCK[[#This Row],[Entradas]]</f>
        <v>20.46875</v>
      </c>
      <c r="AB1110" s="77">
        <f>STOCK[[#This Row],[Stock Actual]]*STOCK[[#This Row],[Costo total]]</f>
        <v>20.46875</v>
      </c>
    </row>
    <row r="1111" s="76" customFormat="1" ht="50" customHeight="1" spans="1:28">
      <c r="A1111" s="76" t="s">
        <v>2339</v>
      </c>
      <c r="B1111" s="6"/>
      <c r="C1111" s="76" t="s">
        <v>30</v>
      </c>
      <c r="D1111" s="77" t="s">
        <v>36</v>
      </c>
      <c r="E1111" s="76" t="s">
        <v>2335</v>
      </c>
      <c r="F1111" s="76" t="s">
        <v>47</v>
      </c>
      <c r="G1111" s="76" t="s">
        <v>1874</v>
      </c>
      <c r="H1111" s="76">
        <f>STOCK[[#This Row],[Precio Final]]</f>
        <v>18</v>
      </c>
      <c r="I1111" s="76">
        <f>STOCK[[#This Row],[Precio Venta Ideal (x1.5)]]</f>
        <v>15.3515625</v>
      </c>
      <c r="J1111" s="91">
        <v>2</v>
      </c>
      <c r="K1111" s="91">
        <f>SUMIFS(VENTAS[Cantidad],VENTAS[Código del producto Vendido],STOCK[[#This Row],[Code]])</f>
        <v>0</v>
      </c>
      <c r="L1111" s="91">
        <f>STOCK[[#This Row],[Entradas]]-STOCK[[#This Row],[Salidas]]</f>
        <v>2</v>
      </c>
      <c r="M1111" s="76">
        <f>STOCK[[#This Row],[Precio Final]]*10%</f>
        <v>1.8</v>
      </c>
      <c r="N1111" s="76">
        <v>112.39</v>
      </c>
      <c r="O1111" s="76">
        <v>16</v>
      </c>
      <c r="P1111" s="76">
        <v>7.024375</v>
      </c>
      <c r="Q1111" s="91">
        <v>0</v>
      </c>
      <c r="R1111" s="76">
        <v>0</v>
      </c>
      <c r="S1111" s="76">
        <v>1.41</v>
      </c>
      <c r="T1111" s="76">
        <f>STOCK[[#This Row],[Costo Unitario (USD)]]+STOCK[[#This Row],[Costo Envío (USD)]]+STOCK[[#This Row],[Comisión 10%]]</f>
        <v>10.234375</v>
      </c>
      <c r="U1111" s="76">
        <f>STOCK[[#This Row],[Costo total]]*1.5</f>
        <v>15.3515625</v>
      </c>
      <c r="V1111" s="76">
        <v>18</v>
      </c>
      <c r="W1111" s="76">
        <f>STOCK[[#This Row],[Precio Final]]-STOCK[[#This Row],[Costo total]]</f>
        <v>7.765625</v>
      </c>
      <c r="X1111" s="76">
        <f>STOCK[[#This Row],[Ganancia Unitaria]]*STOCK[[#This Row],[Salidas]]</f>
        <v>0</v>
      </c>
      <c r="Y1111" s="76" t="s">
        <v>2340</v>
      </c>
      <c r="AA1111" s="76">
        <f>STOCK[[#This Row],[Costo total]]*STOCK[[#This Row],[Entradas]]</f>
        <v>20.46875</v>
      </c>
      <c r="AB1111" s="76">
        <f>STOCK[[#This Row],[Stock Actual]]*STOCK[[#This Row],[Costo total]]</f>
        <v>20.46875</v>
      </c>
    </row>
    <row r="1112" s="77" customFormat="1" ht="50" customHeight="1" spans="1:28">
      <c r="A1112" s="77" t="s">
        <v>2341</v>
      </c>
      <c r="B1112" s="6"/>
      <c r="C1112" s="77" t="s">
        <v>30</v>
      </c>
      <c r="D1112" s="77" t="s">
        <v>36</v>
      </c>
      <c r="E1112" s="77" t="s">
        <v>2342</v>
      </c>
      <c r="F1112" s="77" t="s">
        <v>44</v>
      </c>
      <c r="G1112" s="77" t="s">
        <v>1874</v>
      </c>
      <c r="H1112" s="77">
        <f>STOCK[[#This Row],[Precio Final]]</f>
        <v>28</v>
      </c>
      <c r="I1112" s="77">
        <f>STOCK[[#This Row],[Precio Venta Ideal (x1.5)]]</f>
        <v>30.6984375</v>
      </c>
      <c r="J1112" s="92">
        <v>1</v>
      </c>
      <c r="K1112" s="92">
        <f>SUMIFS(VENTAS[Cantidad],VENTAS[Código del producto Vendido],STOCK[[#This Row],[Code]])</f>
        <v>0</v>
      </c>
      <c r="L1112" s="92">
        <f>STOCK[[#This Row],[Entradas]]-STOCK[[#This Row],[Salidas]]</f>
        <v>1</v>
      </c>
      <c r="M1112" s="77">
        <f>STOCK[[#This Row],[Precio Final]]*10%</f>
        <v>2.8</v>
      </c>
      <c r="N1112" s="77">
        <v>260.09</v>
      </c>
      <c r="O1112" s="77">
        <v>16</v>
      </c>
      <c r="P1112" s="77">
        <v>16.255625</v>
      </c>
      <c r="Q1112" s="92">
        <v>0</v>
      </c>
      <c r="R1112" s="77">
        <v>0</v>
      </c>
      <c r="S1112" s="77">
        <v>1.41</v>
      </c>
      <c r="T1112" s="76">
        <f>STOCK[[#This Row],[Costo Unitario (USD)]]+STOCK[[#This Row],[Costo Envío (USD)]]+STOCK[[#This Row],[Comisión 10%]]</f>
        <v>20.465625</v>
      </c>
      <c r="U1112" s="77">
        <f>STOCK[[#This Row],[Costo total]]*1.5</f>
        <v>30.6984375</v>
      </c>
      <c r="V1112" s="77">
        <v>28</v>
      </c>
      <c r="W1112" s="77">
        <f>STOCK[[#This Row],[Precio Final]]-STOCK[[#This Row],[Costo total]]</f>
        <v>7.534375</v>
      </c>
      <c r="X1112" s="77">
        <f>STOCK[[#This Row],[Ganancia Unitaria]]*STOCK[[#This Row],[Salidas]]</f>
        <v>0</v>
      </c>
      <c r="Y1112" s="77" t="s">
        <v>2343</v>
      </c>
      <c r="AA1112" s="77">
        <f>STOCK[[#This Row],[Costo total]]*STOCK[[#This Row],[Entradas]]</f>
        <v>20.465625</v>
      </c>
      <c r="AB1112" s="77">
        <f>STOCK[[#This Row],[Stock Actual]]*STOCK[[#This Row],[Costo total]]</f>
        <v>20.465625</v>
      </c>
    </row>
    <row r="1113" s="76" customFormat="1" ht="50" customHeight="1" spans="1:28">
      <c r="A1113" s="76" t="s">
        <v>2344</v>
      </c>
      <c r="B1113" s="6"/>
      <c r="C1113" s="76" t="s">
        <v>30</v>
      </c>
      <c r="D1113" s="77" t="s">
        <v>36</v>
      </c>
      <c r="E1113" s="76" t="s">
        <v>2342</v>
      </c>
      <c r="F1113" s="76" t="s">
        <v>47</v>
      </c>
      <c r="G1113" s="76" t="s">
        <v>1874</v>
      </c>
      <c r="H1113" s="76">
        <f>STOCK[[#This Row],[Precio Final]]</f>
        <v>28</v>
      </c>
      <c r="I1113" s="76">
        <f>STOCK[[#This Row],[Precio Venta Ideal (x1.5)]]</f>
        <v>30.6984375</v>
      </c>
      <c r="J1113" s="91">
        <v>1</v>
      </c>
      <c r="K1113" s="91">
        <f>SUMIFS(VENTAS[Cantidad],VENTAS[Código del producto Vendido],STOCK[[#This Row],[Code]])</f>
        <v>0</v>
      </c>
      <c r="L1113" s="91">
        <f>STOCK[[#This Row],[Entradas]]-STOCK[[#This Row],[Salidas]]</f>
        <v>1</v>
      </c>
      <c r="M1113" s="76">
        <f>STOCK[[#This Row],[Precio Final]]*10%</f>
        <v>2.8</v>
      </c>
      <c r="N1113" s="76">
        <v>260.09</v>
      </c>
      <c r="O1113" s="76">
        <v>16</v>
      </c>
      <c r="P1113" s="76">
        <v>16.255625</v>
      </c>
      <c r="Q1113" s="91">
        <v>0</v>
      </c>
      <c r="R1113" s="76">
        <v>0</v>
      </c>
      <c r="S1113" s="76">
        <v>1.41</v>
      </c>
      <c r="T1113" s="76">
        <f>STOCK[[#This Row],[Costo Unitario (USD)]]+STOCK[[#This Row],[Costo Envío (USD)]]+STOCK[[#This Row],[Comisión 10%]]</f>
        <v>20.465625</v>
      </c>
      <c r="U1113" s="76">
        <f>STOCK[[#This Row],[Costo total]]*1.5</f>
        <v>30.6984375</v>
      </c>
      <c r="V1113" s="76">
        <v>28</v>
      </c>
      <c r="W1113" s="76">
        <f>STOCK[[#This Row],[Precio Final]]-STOCK[[#This Row],[Costo total]]</f>
        <v>7.534375</v>
      </c>
      <c r="X1113" s="76">
        <f>STOCK[[#This Row],[Ganancia Unitaria]]*STOCK[[#This Row],[Salidas]]</f>
        <v>0</v>
      </c>
      <c r="Y1113" s="76" t="s">
        <v>2345</v>
      </c>
      <c r="AA1113" s="76">
        <f>STOCK[[#This Row],[Costo total]]*STOCK[[#This Row],[Entradas]]</f>
        <v>20.465625</v>
      </c>
      <c r="AB1113" s="76">
        <f>STOCK[[#This Row],[Stock Actual]]*STOCK[[#This Row],[Costo total]]</f>
        <v>20.465625</v>
      </c>
    </row>
    <row r="1114" s="77" customFormat="1" ht="50" customHeight="1" spans="1:28">
      <c r="A1114" s="77" t="s">
        <v>2346</v>
      </c>
      <c r="B1114" s="6"/>
      <c r="C1114" s="77" t="s">
        <v>30</v>
      </c>
      <c r="D1114" s="77" t="s">
        <v>36</v>
      </c>
      <c r="E1114" s="77" t="s">
        <v>2342</v>
      </c>
      <c r="F1114" s="77" t="s">
        <v>60</v>
      </c>
      <c r="G1114" s="77" t="s">
        <v>1874</v>
      </c>
      <c r="H1114" s="77">
        <f>STOCK[[#This Row],[Precio Final]]</f>
        <v>28</v>
      </c>
      <c r="I1114" s="77">
        <f>STOCK[[#This Row],[Precio Venta Ideal (x1.5)]]</f>
        <v>30.6984375</v>
      </c>
      <c r="J1114" s="92">
        <v>1</v>
      </c>
      <c r="K1114" s="92">
        <f>SUMIFS(VENTAS[Cantidad],VENTAS[Código del producto Vendido],STOCK[[#This Row],[Code]])</f>
        <v>0</v>
      </c>
      <c r="L1114" s="92">
        <f>STOCK[[#This Row],[Entradas]]-STOCK[[#This Row],[Salidas]]</f>
        <v>1</v>
      </c>
      <c r="M1114" s="77">
        <f>STOCK[[#This Row],[Precio Final]]*10%</f>
        <v>2.8</v>
      </c>
      <c r="N1114" s="77">
        <v>260.09</v>
      </c>
      <c r="O1114" s="77">
        <v>16</v>
      </c>
      <c r="P1114" s="77">
        <v>16.255625</v>
      </c>
      <c r="Q1114" s="92">
        <v>0</v>
      </c>
      <c r="R1114" s="77">
        <v>0</v>
      </c>
      <c r="S1114" s="77">
        <v>1.41</v>
      </c>
      <c r="T1114" s="76">
        <f>STOCK[[#This Row],[Costo Unitario (USD)]]+STOCK[[#This Row],[Costo Envío (USD)]]+STOCK[[#This Row],[Comisión 10%]]</f>
        <v>20.465625</v>
      </c>
      <c r="U1114" s="77">
        <f>STOCK[[#This Row],[Costo total]]*1.5</f>
        <v>30.6984375</v>
      </c>
      <c r="V1114" s="77">
        <v>28</v>
      </c>
      <c r="W1114" s="77">
        <f>STOCK[[#This Row],[Precio Final]]-STOCK[[#This Row],[Costo total]]</f>
        <v>7.534375</v>
      </c>
      <c r="X1114" s="77">
        <f>STOCK[[#This Row],[Ganancia Unitaria]]*STOCK[[#This Row],[Salidas]]</f>
        <v>0</v>
      </c>
      <c r="Y1114" s="77" t="s">
        <v>2347</v>
      </c>
      <c r="AA1114" s="77">
        <f>STOCK[[#This Row],[Costo total]]*STOCK[[#This Row],[Entradas]]</f>
        <v>20.465625</v>
      </c>
      <c r="AB1114" s="77">
        <f>STOCK[[#This Row],[Stock Actual]]*STOCK[[#This Row],[Costo total]]</f>
        <v>20.465625</v>
      </c>
    </row>
    <row r="1115" s="76" customFormat="1" ht="50" customHeight="1" spans="1:28">
      <c r="A1115" s="76" t="s">
        <v>2348</v>
      </c>
      <c r="B1115" s="6"/>
      <c r="C1115" s="76" t="s">
        <v>30</v>
      </c>
      <c r="D1115" s="76" t="s">
        <v>2331</v>
      </c>
      <c r="E1115" s="76" t="s">
        <v>2342</v>
      </c>
      <c r="F1115" s="76" t="s">
        <v>38</v>
      </c>
      <c r="G1115" s="76" t="s">
        <v>1874</v>
      </c>
      <c r="H1115" s="76">
        <f>STOCK[[#This Row],[Precio Final]]</f>
        <v>28</v>
      </c>
      <c r="I1115" s="76">
        <f>STOCK[[#This Row],[Precio Venta Ideal (x1.5)]]</f>
        <v>30.6984375</v>
      </c>
      <c r="J1115" s="91">
        <v>1</v>
      </c>
      <c r="K1115" s="91">
        <f>SUMIFS(VENTAS[Cantidad],VENTAS[Código del producto Vendido],STOCK[[#This Row],[Code]])</f>
        <v>1</v>
      </c>
      <c r="L1115" s="91">
        <f>STOCK[[#This Row],[Entradas]]-STOCK[[#This Row],[Salidas]]</f>
        <v>0</v>
      </c>
      <c r="M1115" s="76">
        <f>STOCK[[#This Row],[Precio Final]]*10%</f>
        <v>2.8</v>
      </c>
      <c r="N1115" s="76">
        <v>260.09</v>
      </c>
      <c r="O1115" s="76">
        <v>16</v>
      </c>
      <c r="P1115" s="76">
        <v>16.255625</v>
      </c>
      <c r="Q1115" s="91">
        <v>0</v>
      </c>
      <c r="R1115" s="76">
        <v>0</v>
      </c>
      <c r="S1115" s="76">
        <v>1.41</v>
      </c>
      <c r="T1115" s="76">
        <f>STOCK[[#This Row],[Costo Unitario (USD)]]+STOCK[[#This Row],[Costo Envío (USD)]]+STOCK[[#This Row],[Comisión 10%]]</f>
        <v>20.465625</v>
      </c>
      <c r="U1115" s="76">
        <f>STOCK[[#This Row],[Costo total]]*1.5</f>
        <v>30.6984375</v>
      </c>
      <c r="V1115" s="76">
        <v>28</v>
      </c>
      <c r="W1115" s="76">
        <f>STOCK[[#This Row],[Precio Final]]-STOCK[[#This Row],[Costo total]]</f>
        <v>7.534375</v>
      </c>
      <c r="X1115" s="76">
        <f>STOCK[[#This Row],[Ganancia Unitaria]]*STOCK[[#This Row],[Salidas]]</f>
        <v>7.534375</v>
      </c>
      <c r="Y1115" s="76" t="s">
        <v>2349</v>
      </c>
      <c r="AA1115" s="76">
        <f>STOCK[[#This Row],[Costo total]]*STOCK[[#This Row],[Entradas]]</f>
        <v>20.465625</v>
      </c>
      <c r="AB1115" s="76">
        <f>STOCK[[#This Row],[Stock Actual]]*STOCK[[#This Row],[Costo total]]</f>
        <v>0</v>
      </c>
    </row>
    <row r="1116" s="77" customFormat="1" ht="50" customHeight="1" spans="1:28">
      <c r="A1116" s="77" t="s">
        <v>2350</v>
      </c>
      <c r="B1116" s="6"/>
      <c r="C1116" s="77" t="s">
        <v>30</v>
      </c>
      <c r="D1116" s="77" t="s">
        <v>1806</v>
      </c>
      <c r="E1116" s="77" t="s">
        <v>2351</v>
      </c>
      <c r="F1116" s="77" t="s">
        <v>524</v>
      </c>
      <c r="G1116" s="77" t="s">
        <v>1874</v>
      </c>
      <c r="H1116" s="77">
        <f>STOCK[[#This Row],[Precio Final]]</f>
        <v>10</v>
      </c>
      <c r="I1116" s="77">
        <f>STOCK[[#This Row],[Precio Venta Ideal (x1.5)]]</f>
        <v>10.996875</v>
      </c>
      <c r="J1116" s="92">
        <v>1</v>
      </c>
      <c r="K1116" s="92">
        <f>SUMIFS(VENTAS[Cantidad],VENTAS[Código del producto Vendido],STOCK[[#This Row],[Code]])</f>
        <v>0</v>
      </c>
      <c r="L1116" s="92">
        <f>STOCK[[#This Row],[Entradas]]-STOCK[[#This Row],[Salidas]]</f>
        <v>1</v>
      </c>
      <c r="M1116" s="77">
        <f>STOCK[[#This Row],[Precio Final]]*10%</f>
        <v>1</v>
      </c>
      <c r="N1116" s="77">
        <v>78.74</v>
      </c>
      <c r="O1116" s="77">
        <v>16</v>
      </c>
      <c r="P1116" s="77">
        <v>4.92125</v>
      </c>
      <c r="Q1116" s="92">
        <v>0</v>
      </c>
      <c r="R1116" s="77">
        <v>0</v>
      </c>
      <c r="S1116" s="77">
        <v>1.41</v>
      </c>
      <c r="T1116" s="76">
        <f>STOCK[[#This Row],[Costo Unitario (USD)]]+STOCK[[#This Row],[Costo Envío (USD)]]+STOCK[[#This Row],[Comisión 10%]]</f>
        <v>7.33125</v>
      </c>
      <c r="U1116" s="77">
        <f>STOCK[[#This Row],[Costo total]]*1.5</f>
        <v>10.996875</v>
      </c>
      <c r="V1116" s="77">
        <v>10</v>
      </c>
      <c r="W1116" s="77">
        <f>STOCK[[#This Row],[Precio Final]]-STOCK[[#This Row],[Costo total]]</f>
        <v>2.66875</v>
      </c>
      <c r="X1116" s="77">
        <f>STOCK[[#This Row],[Ganancia Unitaria]]*STOCK[[#This Row],[Salidas]]</f>
        <v>0</v>
      </c>
      <c r="Y1116" s="77" t="s">
        <v>2352</v>
      </c>
      <c r="AA1116" s="77">
        <f>STOCK[[#This Row],[Costo total]]*STOCK[[#This Row],[Entradas]]</f>
        <v>7.33125</v>
      </c>
      <c r="AB1116" s="77">
        <f>STOCK[[#This Row],[Stock Actual]]*STOCK[[#This Row],[Costo total]]</f>
        <v>7.33125</v>
      </c>
    </row>
    <row r="1117" s="76" customFormat="1" ht="50" customHeight="1" spans="1:28">
      <c r="A1117" s="76" t="s">
        <v>2353</v>
      </c>
      <c r="B1117" s="6"/>
      <c r="C1117" s="76" t="s">
        <v>30</v>
      </c>
      <c r="D1117" s="76" t="s">
        <v>1806</v>
      </c>
      <c r="E1117" s="76" t="s">
        <v>2354</v>
      </c>
      <c r="F1117" s="76" t="s">
        <v>524</v>
      </c>
      <c r="G1117" s="76" t="s">
        <v>1874</v>
      </c>
      <c r="H1117" s="76">
        <f>STOCK[[#This Row],[Precio Final]]</f>
        <v>10</v>
      </c>
      <c r="I1117" s="76">
        <f>STOCK[[#This Row],[Precio Venta Ideal (x1.5)]]</f>
        <v>10.321875</v>
      </c>
      <c r="J1117" s="91">
        <v>2</v>
      </c>
      <c r="K1117" s="91">
        <f>SUMIFS(VENTAS[Cantidad],VENTAS[Código del producto Vendido],STOCK[[#This Row],[Code]])</f>
        <v>0</v>
      </c>
      <c r="L1117" s="91">
        <f>STOCK[[#This Row],[Entradas]]-STOCK[[#This Row],[Salidas]]</f>
        <v>2</v>
      </c>
      <c r="M1117" s="76">
        <f>STOCK[[#This Row],[Precio Final]]*10%</f>
        <v>1</v>
      </c>
      <c r="N1117" s="76">
        <v>71.54</v>
      </c>
      <c r="O1117" s="76">
        <v>16</v>
      </c>
      <c r="P1117" s="76">
        <v>4.47125</v>
      </c>
      <c r="Q1117" s="91">
        <v>0</v>
      </c>
      <c r="R1117" s="76">
        <v>0</v>
      </c>
      <c r="S1117" s="76">
        <v>1.41</v>
      </c>
      <c r="T1117" s="76">
        <f>STOCK[[#This Row],[Costo Unitario (USD)]]+STOCK[[#This Row],[Costo Envío (USD)]]+STOCK[[#This Row],[Comisión 10%]]</f>
        <v>6.88125</v>
      </c>
      <c r="U1117" s="76">
        <f>STOCK[[#This Row],[Costo total]]*1.5</f>
        <v>10.321875</v>
      </c>
      <c r="V1117" s="76">
        <v>10</v>
      </c>
      <c r="W1117" s="76">
        <f>STOCK[[#This Row],[Precio Final]]-STOCK[[#This Row],[Costo total]]</f>
        <v>3.11875</v>
      </c>
      <c r="X1117" s="76">
        <f>STOCK[[#This Row],[Ganancia Unitaria]]*STOCK[[#This Row],[Salidas]]</f>
        <v>0</v>
      </c>
      <c r="Y1117" s="76" t="s">
        <v>2355</v>
      </c>
      <c r="AA1117" s="76">
        <f>STOCK[[#This Row],[Costo total]]*STOCK[[#This Row],[Entradas]]</f>
        <v>13.7625</v>
      </c>
      <c r="AB1117" s="76">
        <f>STOCK[[#This Row],[Stock Actual]]*STOCK[[#This Row],[Costo total]]</f>
        <v>13.7625</v>
      </c>
    </row>
    <row r="1118" s="77" customFormat="1" ht="50" customHeight="1" spans="1:28">
      <c r="A1118" s="77" t="s">
        <v>2356</v>
      </c>
      <c r="B1118" s="6"/>
      <c r="C1118" s="77" t="s">
        <v>30</v>
      </c>
      <c r="D1118" s="77" t="s">
        <v>1806</v>
      </c>
      <c r="E1118" s="77" t="s">
        <v>2357</v>
      </c>
      <c r="F1118" s="77" t="s">
        <v>524</v>
      </c>
      <c r="G1118" s="77" t="s">
        <v>1874</v>
      </c>
      <c r="H1118" s="77">
        <f>STOCK[[#This Row],[Precio Final]]</f>
        <v>10</v>
      </c>
      <c r="I1118" s="77">
        <f>STOCK[[#This Row],[Precio Venta Ideal (x1.5)]]</f>
        <v>10.996875</v>
      </c>
      <c r="J1118" s="92">
        <v>2</v>
      </c>
      <c r="K1118" s="92">
        <f>SUMIFS(VENTAS[Cantidad],VENTAS[Código del producto Vendido],STOCK[[#This Row],[Code]])</f>
        <v>2</v>
      </c>
      <c r="L1118" s="92">
        <f>STOCK[[#This Row],[Entradas]]-STOCK[[#This Row],[Salidas]]</f>
        <v>0</v>
      </c>
      <c r="M1118" s="77">
        <f>STOCK[[#This Row],[Precio Final]]*10%</f>
        <v>1</v>
      </c>
      <c r="N1118" s="77">
        <v>78.74</v>
      </c>
      <c r="O1118" s="77">
        <v>16</v>
      </c>
      <c r="P1118" s="77">
        <v>4.92125</v>
      </c>
      <c r="Q1118" s="92">
        <v>0</v>
      </c>
      <c r="R1118" s="77">
        <v>0</v>
      </c>
      <c r="S1118" s="77">
        <v>1.41</v>
      </c>
      <c r="T1118" s="76">
        <f>STOCK[[#This Row],[Costo Unitario (USD)]]+STOCK[[#This Row],[Costo Envío (USD)]]+STOCK[[#This Row],[Comisión 10%]]</f>
        <v>7.33125</v>
      </c>
      <c r="U1118" s="77">
        <f>STOCK[[#This Row],[Costo total]]*1.5</f>
        <v>10.996875</v>
      </c>
      <c r="V1118" s="77">
        <v>10</v>
      </c>
      <c r="W1118" s="77">
        <f>STOCK[[#This Row],[Precio Final]]-STOCK[[#This Row],[Costo total]]</f>
        <v>2.66875</v>
      </c>
      <c r="X1118" s="77">
        <f>STOCK[[#This Row],[Ganancia Unitaria]]*STOCK[[#This Row],[Salidas]]</f>
        <v>5.3375</v>
      </c>
      <c r="Y1118" s="77" t="s">
        <v>2358</v>
      </c>
      <c r="AA1118" s="77">
        <f>STOCK[[#This Row],[Costo total]]*STOCK[[#This Row],[Entradas]]</f>
        <v>14.6625</v>
      </c>
      <c r="AB1118" s="77">
        <f>STOCK[[#This Row],[Stock Actual]]*STOCK[[#This Row],[Costo total]]</f>
        <v>0</v>
      </c>
    </row>
    <row r="1119" s="76" customFormat="1" ht="50" customHeight="1" spans="1:28">
      <c r="A1119" s="76" t="s">
        <v>2359</v>
      </c>
      <c r="B1119" s="6"/>
      <c r="C1119" s="76" t="s">
        <v>30</v>
      </c>
      <c r="D1119" s="76" t="s">
        <v>1806</v>
      </c>
      <c r="E1119" s="76" t="s">
        <v>2360</v>
      </c>
      <c r="F1119" s="76" t="s">
        <v>524</v>
      </c>
      <c r="G1119" s="76" t="s">
        <v>1874</v>
      </c>
      <c r="H1119" s="76">
        <f>STOCK[[#This Row],[Precio Final]]</f>
        <v>10</v>
      </c>
      <c r="I1119" s="76">
        <f>STOCK[[#This Row],[Precio Venta Ideal (x1.5)]]</f>
        <v>9.1828125</v>
      </c>
      <c r="J1119" s="91">
        <v>2</v>
      </c>
      <c r="K1119" s="91">
        <f>SUMIFS(VENTAS[Cantidad],VENTAS[Código del producto Vendido],STOCK[[#This Row],[Code]])</f>
        <v>2</v>
      </c>
      <c r="L1119" s="91">
        <f>STOCK[[#This Row],[Entradas]]-STOCK[[#This Row],[Salidas]]</f>
        <v>0</v>
      </c>
      <c r="M1119" s="76">
        <f>STOCK[[#This Row],[Precio Final]]*10%</f>
        <v>1</v>
      </c>
      <c r="N1119" s="76">
        <v>59.39</v>
      </c>
      <c r="O1119" s="76">
        <v>16</v>
      </c>
      <c r="P1119" s="76">
        <v>3.711875</v>
      </c>
      <c r="Q1119" s="91">
        <v>0</v>
      </c>
      <c r="R1119" s="76">
        <v>0</v>
      </c>
      <c r="S1119" s="76">
        <v>1.41</v>
      </c>
      <c r="T1119" s="76">
        <f>STOCK[[#This Row],[Costo Unitario (USD)]]+STOCK[[#This Row],[Costo Envío (USD)]]+STOCK[[#This Row],[Comisión 10%]]</f>
        <v>6.121875</v>
      </c>
      <c r="U1119" s="76">
        <f>STOCK[[#This Row],[Costo total]]*1.5</f>
        <v>9.1828125</v>
      </c>
      <c r="V1119" s="76">
        <v>10</v>
      </c>
      <c r="W1119" s="76">
        <f>STOCK[[#This Row],[Precio Final]]-STOCK[[#This Row],[Costo total]]</f>
        <v>3.878125</v>
      </c>
      <c r="X1119" s="76">
        <f>STOCK[[#This Row],[Ganancia Unitaria]]*STOCK[[#This Row],[Salidas]]</f>
        <v>7.75625</v>
      </c>
      <c r="Y1119" s="76" t="s">
        <v>2361</v>
      </c>
      <c r="AA1119" s="76">
        <f>STOCK[[#This Row],[Costo total]]*STOCK[[#This Row],[Entradas]]</f>
        <v>12.24375</v>
      </c>
      <c r="AB1119" s="76">
        <f>STOCK[[#This Row],[Stock Actual]]*STOCK[[#This Row],[Costo total]]</f>
        <v>0</v>
      </c>
    </row>
    <row r="1120" s="77" customFormat="1" ht="50" customHeight="1" spans="1:28">
      <c r="A1120" s="77" t="s">
        <v>2362</v>
      </c>
      <c r="B1120" s="6"/>
      <c r="C1120" s="77" t="s">
        <v>30</v>
      </c>
      <c r="D1120" s="77" t="s">
        <v>545</v>
      </c>
      <c r="E1120" s="77" t="s">
        <v>2363</v>
      </c>
      <c r="F1120" s="77" t="s">
        <v>524</v>
      </c>
      <c r="G1120" s="77" t="s">
        <v>1874</v>
      </c>
      <c r="H1120" s="77">
        <f>STOCK[[#This Row],[Precio Final]]</f>
        <v>5</v>
      </c>
      <c r="I1120" s="77">
        <f>STOCK[[#This Row],[Precio Venta Ideal (x1.5)]]</f>
        <v>5.7534375</v>
      </c>
      <c r="J1120" s="92">
        <v>3</v>
      </c>
      <c r="K1120" s="92">
        <f>SUMIFS(VENTAS[Cantidad],VENTAS[Código del producto Vendido],STOCK[[#This Row],[Code]])</f>
        <v>1</v>
      </c>
      <c r="L1120" s="92">
        <f>STOCK[[#This Row],[Entradas]]-STOCK[[#This Row],[Salidas]]</f>
        <v>2</v>
      </c>
      <c r="M1120" s="77">
        <f>STOCK[[#This Row],[Precio Final]]*10%</f>
        <v>0.5</v>
      </c>
      <c r="N1120" s="77">
        <v>30.81</v>
      </c>
      <c r="O1120" s="77">
        <v>16</v>
      </c>
      <c r="P1120" s="77">
        <v>1.925625</v>
      </c>
      <c r="Q1120" s="92">
        <v>0</v>
      </c>
      <c r="R1120" s="77">
        <v>0</v>
      </c>
      <c r="S1120" s="77">
        <v>1.41</v>
      </c>
      <c r="T1120" s="76">
        <f>STOCK[[#This Row],[Costo Unitario (USD)]]+STOCK[[#This Row],[Costo Envío (USD)]]+STOCK[[#This Row],[Comisión 10%]]</f>
        <v>3.835625</v>
      </c>
      <c r="U1120" s="77">
        <f>STOCK[[#This Row],[Costo total]]*1.5</f>
        <v>5.7534375</v>
      </c>
      <c r="V1120" s="77">
        <v>5</v>
      </c>
      <c r="W1120" s="77">
        <f>STOCK[[#This Row],[Precio Final]]-STOCK[[#This Row],[Costo total]]</f>
        <v>1.164375</v>
      </c>
      <c r="X1120" s="77">
        <f>STOCK[[#This Row],[Ganancia Unitaria]]*STOCK[[#This Row],[Salidas]]</f>
        <v>1.164375</v>
      </c>
      <c r="Y1120" s="77" t="s">
        <v>2364</v>
      </c>
      <c r="AA1120" s="77">
        <f>STOCK[[#This Row],[Costo total]]*STOCK[[#This Row],[Entradas]]</f>
        <v>11.506875</v>
      </c>
      <c r="AB1120" s="77">
        <f>STOCK[[#This Row],[Stock Actual]]*STOCK[[#This Row],[Costo total]]</f>
        <v>7.67125</v>
      </c>
    </row>
    <row r="1121" s="76" customFormat="1" ht="50" customHeight="1" spans="1:28">
      <c r="A1121" s="76" t="s">
        <v>2365</v>
      </c>
      <c r="B1121" s="6"/>
      <c r="C1121" s="76" t="s">
        <v>30</v>
      </c>
      <c r="D1121" s="76" t="s">
        <v>1806</v>
      </c>
      <c r="E1121" s="76" t="s">
        <v>2366</v>
      </c>
      <c r="F1121" s="76" t="s">
        <v>524</v>
      </c>
      <c r="G1121" s="76" t="s">
        <v>1874</v>
      </c>
      <c r="H1121" s="76">
        <f>STOCK[[#This Row],[Precio Final]]</f>
        <v>15</v>
      </c>
      <c r="I1121" s="76">
        <f>STOCK[[#This Row],[Precio Venta Ideal (x1.5)]]</f>
        <v>15.0778125</v>
      </c>
      <c r="J1121" s="91">
        <v>4</v>
      </c>
      <c r="K1121" s="91">
        <f>SUMIFS(VENTAS[Cantidad],VENTAS[Código del producto Vendido],STOCK[[#This Row],[Code]])</f>
        <v>4</v>
      </c>
      <c r="L1121" s="91">
        <f>STOCK[[#This Row],[Entradas]]-STOCK[[#This Row],[Salidas]]</f>
        <v>0</v>
      </c>
      <c r="M1121" s="76">
        <f>STOCK[[#This Row],[Precio Final]]*10%</f>
        <v>1.5</v>
      </c>
      <c r="N1121" s="76">
        <v>114.27</v>
      </c>
      <c r="O1121" s="76">
        <v>16</v>
      </c>
      <c r="P1121" s="76">
        <v>7.141875</v>
      </c>
      <c r="Q1121" s="91">
        <v>0</v>
      </c>
      <c r="R1121" s="76">
        <v>0</v>
      </c>
      <c r="S1121" s="76">
        <v>1.41</v>
      </c>
      <c r="T1121" s="76">
        <f>STOCK[[#This Row],[Costo Unitario (USD)]]+STOCK[[#This Row],[Costo Envío (USD)]]+STOCK[[#This Row],[Comisión 10%]]</f>
        <v>10.051875</v>
      </c>
      <c r="U1121" s="76">
        <f>STOCK[[#This Row],[Costo total]]*1.5</f>
        <v>15.0778125</v>
      </c>
      <c r="V1121" s="76">
        <v>15</v>
      </c>
      <c r="W1121" s="76">
        <f>STOCK[[#This Row],[Precio Final]]-STOCK[[#This Row],[Costo total]]</f>
        <v>4.948125</v>
      </c>
      <c r="X1121" s="76">
        <f>STOCK[[#This Row],[Ganancia Unitaria]]*STOCK[[#This Row],[Salidas]]</f>
        <v>19.7925</v>
      </c>
      <c r="Y1121" s="76" t="s">
        <v>2367</v>
      </c>
      <c r="AA1121" s="76">
        <f>STOCK[[#This Row],[Costo total]]*STOCK[[#This Row],[Entradas]]</f>
        <v>40.2075</v>
      </c>
      <c r="AB1121" s="76">
        <f>STOCK[[#This Row],[Stock Actual]]*STOCK[[#This Row],[Costo total]]</f>
        <v>0</v>
      </c>
    </row>
    <row r="1122" s="77" customFormat="1" ht="50" customHeight="1" spans="1:28">
      <c r="A1122" s="77" t="s">
        <v>2368</v>
      </c>
      <c r="B1122" s="6"/>
      <c r="C1122" s="77" t="s">
        <v>30</v>
      </c>
      <c r="D1122" s="77" t="s">
        <v>2369</v>
      </c>
      <c r="E1122" s="77" t="s">
        <v>2370</v>
      </c>
      <c r="F1122" s="77" t="s">
        <v>44</v>
      </c>
      <c r="G1122" s="77" t="s">
        <v>1874</v>
      </c>
      <c r="H1122" s="77">
        <f>STOCK[[#This Row],[Precio Final]]</f>
        <v>17</v>
      </c>
      <c r="I1122" s="77">
        <f>STOCK[[#This Row],[Precio Venta Ideal (x1.5)]]</f>
        <v>18.7828125</v>
      </c>
      <c r="J1122" s="92">
        <v>1</v>
      </c>
      <c r="K1122" s="92">
        <f>SUMIFS(VENTAS[Cantidad],VENTAS[Código del producto Vendido],STOCK[[#This Row],[Code]])</f>
        <v>1</v>
      </c>
      <c r="L1122" s="92">
        <f>STOCK[[#This Row],[Entradas]]-STOCK[[#This Row],[Salidas]]</f>
        <v>0</v>
      </c>
      <c r="M1122" s="77">
        <f>STOCK[[#This Row],[Precio Final]]*10%</f>
        <v>1.7</v>
      </c>
      <c r="N1122" s="77">
        <v>150.59</v>
      </c>
      <c r="O1122" s="77">
        <v>16</v>
      </c>
      <c r="P1122" s="77">
        <v>9.411875</v>
      </c>
      <c r="Q1122" s="92">
        <v>0</v>
      </c>
      <c r="R1122" s="77">
        <v>0</v>
      </c>
      <c r="S1122" s="77">
        <v>1.41</v>
      </c>
      <c r="T1122" s="76">
        <f>STOCK[[#This Row],[Costo Unitario (USD)]]+STOCK[[#This Row],[Costo Envío (USD)]]+STOCK[[#This Row],[Comisión 10%]]</f>
        <v>12.521875</v>
      </c>
      <c r="U1122" s="77">
        <f>STOCK[[#This Row],[Costo total]]*1.5</f>
        <v>18.7828125</v>
      </c>
      <c r="V1122" s="77">
        <v>17</v>
      </c>
      <c r="W1122" s="77">
        <f>STOCK[[#This Row],[Precio Final]]-STOCK[[#This Row],[Costo total]]</f>
        <v>4.478125</v>
      </c>
      <c r="X1122" s="77">
        <f>STOCK[[#This Row],[Ganancia Unitaria]]*STOCK[[#This Row],[Salidas]]</f>
        <v>4.478125</v>
      </c>
      <c r="Y1122" s="77" t="s">
        <v>2371</v>
      </c>
      <c r="AA1122" s="77">
        <f>STOCK[[#This Row],[Costo total]]*STOCK[[#This Row],[Entradas]]</f>
        <v>12.521875</v>
      </c>
      <c r="AB1122" s="77">
        <f>STOCK[[#This Row],[Stock Actual]]*STOCK[[#This Row],[Costo total]]</f>
        <v>0</v>
      </c>
    </row>
    <row r="1123" s="76" customFormat="1" ht="50" customHeight="1" spans="1:28">
      <c r="A1123" s="76" t="s">
        <v>2372</v>
      </c>
      <c r="B1123" s="6"/>
      <c r="C1123" s="76" t="s">
        <v>30</v>
      </c>
      <c r="D1123" s="76" t="s">
        <v>1188</v>
      </c>
      <c r="E1123" s="76" t="s">
        <v>2370</v>
      </c>
      <c r="F1123" s="76" t="s">
        <v>47</v>
      </c>
      <c r="G1123" s="76" t="s">
        <v>1874</v>
      </c>
      <c r="H1123" s="76">
        <f>STOCK[[#This Row],[Precio Final]]</f>
        <v>17</v>
      </c>
      <c r="I1123" s="76">
        <f>STOCK[[#This Row],[Precio Venta Ideal (x1.5)]]</f>
        <v>18.7828125</v>
      </c>
      <c r="J1123" s="91">
        <v>1</v>
      </c>
      <c r="K1123" s="91">
        <f>SUMIFS(VENTAS[Cantidad],VENTAS[Código del producto Vendido],STOCK[[#This Row],[Code]])</f>
        <v>1</v>
      </c>
      <c r="L1123" s="91">
        <f>STOCK[[#This Row],[Entradas]]-STOCK[[#This Row],[Salidas]]</f>
        <v>0</v>
      </c>
      <c r="M1123" s="76">
        <f>STOCK[[#This Row],[Precio Final]]*10%</f>
        <v>1.7</v>
      </c>
      <c r="N1123" s="76">
        <v>150.59</v>
      </c>
      <c r="O1123" s="76">
        <v>16</v>
      </c>
      <c r="P1123" s="76">
        <v>9.411875</v>
      </c>
      <c r="Q1123" s="91">
        <v>0</v>
      </c>
      <c r="R1123" s="76">
        <v>0</v>
      </c>
      <c r="S1123" s="76">
        <v>1.41</v>
      </c>
      <c r="T1123" s="76">
        <f>STOCK[[#This Row],[Costo Unitario (USD)]]+STOCK[[#This Row],[Costo Envío (USD)]]+STOCK[[#This Row],[Comisión 10%]]</f>
        <v>12.521875</v>
      </c>
      <c r="U1123" s="76">
        <f>STOCK[[#This Row],[Costo total]]*1.5</f>
        <v>18.7828125</v>
      </c>
      <c r="V1123" s="76">
        <v>17</v>
      </c>
      <c r="W1123" s="76">
        <f>STOCK[[#This Row],[Precio Final]]-STOCK[[#This Row],[Costo total]]</f>
        <v>4.478125</v>
      </c>
      <c r="X1123" s="76">
        <f>STOCK[[#This Row],[Ganancia Unitaria]]*STOCK[[#This Row],[Salidas]]</f>
        <v>4.478125</v>
      </c>
      <c r="Y1123" s="76" t="s">
        <v>2373</v>
      </c>
      <c r="AA1123" s="76">
        <f>STOCK[[#This Row],[Costo total]]*STOCK[[#This Row],[Entradas]]</f>
        <v>12.521875</v>
      </c>
      <c r="AB1123" s="76">
        <f>STOCK[[#This Row],[Stock Actual]]*STOCK[[#This Row],[Costo total]]</f>
        <v>0</v>
      </c>
    </row>
    <row r="1124" s="77" customFormat="1" ht="50" customHeight="1" spans="1:28">
      <c r="A1124" s="77" t="s">
        <v>2374</v>
      </c>
      <c r="B1124" s="6"/>
      <c r="C1124" s="77" t="s">
        <v>30</v>
      </c>
      <c r="D1124" s="77" t="s">
        <v>2375</v>
      </c>
      <c r="E1124" s="77" t="s">
        <v>2376</v>
      </c>
      <c r="F1124" s="77" t="s">
        <v>40</v>
      </c>
      <c r="G1124" s="77" t="s">
        <v>1874</v>
      </c>
      <c r="H1124" s="77">
        <f>STOCK[[#This Row],[Precio Final]]</f>
        <v>35</v>
      </c>
      <c r="I1124" s="77">
        <f>STOCK[[#This Row],[Precio Venta Ideal (x1.5)]]</f>
        <v>42.1640625</v>
      </c>
      <c r="J1124" s="92">
        <v>1</v>
      </c>
      <c r="K1124" s="92">
        <f>SUMIFS(VENTAS[Cantidad],VENTAS[Código del producto Vendido],STOCK[[#This Row],[Code]])</f>
        <v>1</v>
      </c>
      <c r="L1124" s="92">
        <f>STOCK[[#This Row],[Entradas]]-STOCK[[#This Row],[Salidas]]</f>
        <v>0</v>
      </c>
      <c r="M1124" s="77">
        <f>STOCK[[#This Row],[Precio Final]]*10%</f>
        <v>3.5</v>
      </c>
      <c r="N1124" s="77">
        <v>371.19</v>
      </c>
      <c r="O1124" s="77">
        <v>16</v>
      </c>
      <c r="P1124" s="77">
        <v>23.199375</v>
      </c>
      <c r="Q1124" s="92">
        <v>0</v>
      </c>
      <c r="R1124" s="77">
        <v>0</v>
      </c>
      <c r="S1124" s="77">
        <v>1.41</v>
      </c>
      <c r="T1124" s="76">
        <f>STOCK[[#This Row],[Costo Unitario (USD)]]+STOCK[[#This Row],[Costo Envío (USD)]]+STOCK[[#This Row],[Comisión 10%]]</f>
        <v>28.109375</v>
      </c>
      <c r="U1124" s="77">
        <f>STOCK[[#This Row],[Costo total]]*1.5</f>
        <v>42.1640625</v>
      </c>
      <c r="V1124" s="77">
        <v>35</v>
      </c>
      <c r="W1124" s="77">
        <f>STOCK[[#This Row],[Precio Final]]-STOCK[[#This Row],[Costo total]]</f>
        <v>6.890625</v>
      </c>
      <c r="X1124" s="77">
        <f>STOCK[[#This Row],[Ganancia Unitaria]]*STOCK[[#This Row],[Salidas]]</f>
        <v>6.890625</v>
      </c>
      <c r="Y1124" s="77" t="s">
        <v>2377</v>
      </c>
      <c r="AA1124" s="77">
        <f>STOCK[[#This Row],[Costo total]]*STOCK[[#This Row],[Entradas]]</f>
        <v>28.109375</v>
      </c>
      <c r="AB1124" s="77">
        <f>STOCK[[#This Row],[Stock Actual]]*STOCK[[#This Row],[Costo total]]</f>
        <v>0</v>
      </c>
    </row>
    <row r="1125" s="76" customFormat="1" ht="50" customHeight="1" spans="1:28">
      <c r="A1125" s="76" t="s">
        <v>2378</v>
      </c>
      <c r="B1125" s="6"/>
      <c r="C1125" s="76" t="s">
        <v>30</v>
      </c>
      <c r="D1125" s="76" t="s">
        <v>2116</v>
      </c>
      <c r="E1125" s="76" t="s">
        <v>2376</v>
      </c>
      <c r="F1125" s="76" t="s">
        <v>47</v>
      </c>
      <c r="G1125" s="76" t="s">
        <v>1874</v>
      </c>
      <c r="H1125" s="76">
        <f>STOCK[[#This Row],[Precio Final]]</f>
        <v>35</v>
      </c>
      <c r="I1125" s="76">
        <f>STOCK[[#This Row],[Precio Venta Ideal (x1.5)]]</f>
        <v>42.1640625</v>
      </c>
      <c r="J1125" s="91">
        <v>1</v>
      </c>
      <c r="K1125" s="91">
        <f>SUMIFS(VENTAS[Cantidad],VENTAS[Código del producto Vendido],STOCK[[#This Row],[Code]])</f>
        <v>1</v>
      </c>
      <c r="L1125" s="91">
        <f>STOCK[[#This Row],[Entradas]]-STOCK[[#This Row],[Salidas]]</f>
        <v>0</v>
      </c>
      <c r="M1125" s="76">
        <f>STOCK[[#This Row],[Precio Final]]*10%</f>
        <v>3.5</v>
      </c>
      <c r="N1125" s="76">
        <v>371.19</v>
      </c>
      <c r="O1125" s="76">
        <v>16</v>
      </c>
      <c r="P1125" s="76">
        <v>23.199375</v>
      </c>
      <c r="Q1125" s="91">
        <v>0</v>
      </c>
      <c r="R1125" s="76">
        <v>0</v>
      </c>
      <c r="S1125" s="76">
        <v>1.41</v>
      </c>
      <c r="T1125" s="76">
        <f>STOCK[[#This Row],[Costo Unitario (USD)]]+STOCK[[#This Row],[Costo Envío (USD)]]+STOCK[[#This Row],[Comisión 10%]]</f>
        <v>28.109375</v>
      </c>
      <c r="U1125" s="76">
        <f>STOCK[[#This Row],[Costo total]]*1.5</f>
        <v>42.1640625</v>
      </c>
      <c r="V1125" s="76">
        <v>35</v>
      </c>
      <c r="W1125" s="76">
        <f>STOCK[[#This Row],[Precio Final]]-STOCK[[#This Row],[Costo total]]</f>
        <v>6.890625</v>
      </c>
      <c r="X1125" s="76">
        <f>STOCK[[#This Row],[Ganancia Unitaria]]*STOCK[[#This Row],[Salidas]]</f>
        <v>6.890625</v>
      </c>
      <c r="Y1125" s="76" t="s">
        <v>2379</v>
      </c>
      <c r="AA1125" s="76">
        <f>STOCK[[#This Row],[Costo total]]*STOCK[[#This Row],[Entradas]]</f>
        <v>28.109375</v>
      </c>
      <c r="AB1125" s="76">
        <f>STOCK[[#This Row],[Stock Actual]]*STOCK[[#This Row],[Costo total]]</f>
        <v>0</v>
      </c>
    </row>
    <row r="1126" s="77" customFormat="1" ht="50" customHeight="1" spans="1:28">
      <c r="A1126" s="77" t="s">
        <v>2380</v>
      </c>
      <c r="B1126" s="6"/>
      <c r="C1126" s="77" t="s">
        <v>30</v>
      </c>
      <c r="D1126" s="77" t="s">
        <v>2116</v>
      </c>
      <c r="E1126" s="77" t="s">
        <v>2376</v>
      </c>
      <c r="F1126" s="77" t="s">
        <v>60</v>
      </c>
      <c r="G1126" s="77" t="s">
        <v>1874</v>
      </c>
      <c r="H1126" s="77">
        <f>STOCK[[#This Row],[Precio Final]]</f>
        <v>35</v>
      </c>
      <c r="I1126" s="77">
        <f>STOCK[[#This Row],[Precio Venta Ideal (x1.5)]]</f>
        <v>42.1640625</v>
      </c>
      <c r="J1126" s="92">
        <v>1</v>
      </c>
      <c r="K1126" s="92">
        <f>SUMIFS(VENTAS[Cantidad],VENTAS[Código del producto Vendido],STOCK[[#This Row],[Code]])</f>
        <v>1</v>
      </c>
      <c r="L1126" s="92">
        <f>STOCK[[#This Row],[Entradas]]-STOCK[[#This Row],[Salidas]]</f>
        <v>0</v>
      </c>
      <c r="M1126" s="77">
        <f>STOCK[[#This Row],[Precio Final]]*10%</f>
        <v>3.5</v>
      </c>
      <c r="N1126" s="77">
        <v>371.19</v>
      </c>
      <c r="O1126" s="77">
        <v>16</v>
      </c>
      <c r="P1126" s="77">
        <v>23.199375</v>
      </c>
      <c r="Q1126" s="92">
        <v>0</v>
      </c>
      <c r="R1126" s="77">
        <v>0</v>
      </c>
      <c r="S1126" s="77">
        <v>1.41</v>
      </c>
      <c r="T1126" s="76">
        <f>STOCK[[#This Row],[Costo Unitario (USD)]]+STOCK[[#This Row],[Costo Envío (USD)]]+STOCK[[#This Row],[Comisión 10%]]</f>
        <v>28.109375</v>
      </c>
      <c r="U1126" s="77">
        <f>STOCK[[#This Row],[Costo total]]*1.5</f>
        <v>42.1640625</v>
      </c>
      <c r="V1126" s="77">
        <v>35</v>
      </c>
      <c r="W1126" s="77">
        <f>STOCK[[#This Row],[Precio Final]]-STOCK[[#This Row],[Costo total]]</f>
        <v>6.890625</v>
      </c>
      <c r="X1126" s="77">
        <f>STOCK[[#This Row],[Ganancia Unitaria]]*STOCK[[#This Row],[Salidas]]</f>
        <v>6.890625</v>
      </c>
      <c r="Y1126" s="77" t="s">
        <v>2381</v>
      </c>
      <c r="AA1126" s="77">
        <f>STOCK[[#This Row],[Costo total]]*STOCK[[#This Row],[Entradas]]</f>
        <v>28.109375</v>
      </c>
      <c r="AB1126" s="77">
        <f>STOCK[[#This Row],[Stock Actual]]*STOCK[[#This Row],[Costo total]]</f>
        <v>0</v>
      </c>
    </row>
    <row r="1127" s="76" customFormat="1" ht="50" customHeight="1" spans="1:28">
      <c r="A1127" s="76" t="s">
        <v>2382</v>
      </c>
      <c r="B1127" s="6"/>
      <c r="C1127" s="76" t="s">
        <v>30</v>
      </c>
      <c r="D1127" s="76" t="s">
        <v>1806</v>
      </c>
      <c r="E1127" s="76" t="s">
        <v>2383</v>
      </c>
      <c r="F1127" s="76" t="s">
        <v>524</v>
      </c>
      <c r="G1127" s="76" t="s">
        <v>1874</v>
      </c>
      <c r="H1127" s="76">
        <f>STOCK[[#This Row],[Precio Final]]</f>
        <v>10</v>
      </c>
      <c r="I1127" s="76">
        <f>STOCK[[#This Row],[Precio Venta Ideal (x1.5)]]</f>
        <v>8.59125</v>
      </c>
      <c r="J1127" s="91">
        <v>3</v>
      </c>
      <c r="K1127" s="91">
        <f>SUMIFS(VENTAS[Cantidad],VENTAS[Código del producto Vendido],STOCK[[#This Row],[Code]])</f>
        <v>1</v>
      </c>
      <c r="L1127" s="91">
        <f>STOCK[[#This Row],[Entradas]]-STOCK[[#This Row],[Salidas]]</f>
        <v>2</v>
      </c>
      <c r="M1127" s="76">
        <f>STOCK[[#This Row],[Precio Final]]*10%</f>
        <v>1</v>
      </c>
      <c r="N1127" s="76">
        <v>53.08</v>
      </c>
      <c r="O1127" s="76">
        <v>16</v>
      </c>
      <c r="P1127" s="76">
        <v>3.3175</v>
      </c>
      <c r="Q1127" s="91">
        <v>0</v>
      </c>
      <c r="R1127" s="76">
        <v>0</v>
      </c>
      <c r="S1127" s="76">
        <v>1.41</v>
      </c>
      <c r="T1127" s="76">
        <f>STOCK[[#This Row],[Costo Unitario (USD)]]+STOCK[[#This Row],[Costo Envío (USD)]]+STOCK[[#This Row],[Comisión 10%]]</f>
        <v>5.7275</v>
      </c>
      <c r="U1127" s="76">
        <f>STOCK[[#This Row],[Costo total]]*1.5</f>
        <v>8.59125</v>
      </c>
      <c r="V1127" s="76">
        <v>10</v>
      </c>
      <c r="W1127" s="76">
        <f>STOCK[[#This Row],[Precio Final]]-STOCK[[#This Row],[Costo total]]</f>
        <v>4.2725</v>
      </c>
      <c r="X1127" s="76">
        <f>STOCK[[#This Row],[Ganancia Unitaria]]*STOCK[[#This Row],[Salidas]]</f>
        <v>4.2725</v>
      </c>
      <c r="Y1127" s="76" t="s">
        <v>2384</v>
      </c>
      <c r="AA1127" s="76">
        <f>STOCK[[#This Row],[Costo total]]*STOCK[[#This Row],[Entradas]]</f>
        <v>17.1825</v>
      </c>
      <c r="AB1127" s="76">
        <f>STOCK[[#This Row],[Stock Actual]]*STOCK[[#This Row],[Costo total]]</f>
        <v>11.455</v>
      </c>
    </row>
    <row r="1128" s="77" customFormat="1" ht="50" customHeight="1" spans="1:28">
      <c r="A1128" s="77" t="s">
        <v>2385</v>
      </c>
      <c r="B1128" s="6"/>
      <c r="C1128" s="77" t="s">
        <v>30</v>
      </c>
      <c r="D1128" s="77" t="s">
        <v>514</v>
      </c>
      <c r="E1128" s="77" t="s">
        <v>2386</v>
      </c>
      <c r="F1128" s="77" t="s">
        <v>539</v>
      </c>
      <c r="G1128" s="77" t="s">
        <v>1294</v>
      </c>
      <c r="H1128" s="77">
        <f>STOCK[[#This Row],[Precio Final]]</f>
        <v>30</v>
      </c>
      <c r="I1128" s="77">
        <f>STOCK[[#This Row],[Precio Venta Ideal (x1.5)]]</f>
        <v>23.25</v>
      </c>
      <c r="J1128" s="92">
        <v>1</v>
      </c>
      <c r="K1128" s="92">
        <f>SUMIFS(VENTAS[Cantidad],VENTAS[Código del producto Vendido],STOCK[[#This Row],[Code]])</f>
        <v>1</v>
      </c>
      <c r="L1128" s="92">
        <f>STOCK[[#This Row],[Entradas]]-STOCK[[#This Row],[Salidas]]</f>
        <v>0</v>
      </c>
      <c r="M1128" s="77">
        <f>STOCK[[#This Row],[Precio Final]]*10%</f>
        <v>3</v>
      </c>
      <c r="N1128" s="77">
        <v>200</v>
      </c>
      <c r="O1128" s="77">
        <v>16</v>
      </c>
      <c r="P1128" s="77">
        <v>12.5</v>
      </c>
      <c r="Q1128" s="92"/>
      <c r="S1128" s="77">
        <v>0</v>
      </c>
      <c r="T1128" s="76">
        <f>STOCK[[#This Row],[Costo Unitario (USD)]]+STOCK[[#This Row],[Costo Envío (USD)]]+STOCK[[#This Row],[Comisión 10%]]</f>
        <v>15.5</v>
      </c>
      <c r="U1128" s="77">
        <f>STOCK[[#This Row],[Costo total]]*1.5</f>
        <v>23.25</v>
      </c>
      <c r="V1128" s="77">
        <v>30</v>
      </c>
      <c r="W1128" s="77">
        <f>STOCK[[#This Row],[Precio Final]]-STOCK[[#This Row],[Costo total]]</f>
        <v>14.5</v>
      </c>
      <c r="X1128" s="77">
        <f>STOCK[[#This Row],[Ganancia Unitaria]]*STOCK[[#This Row],[Salidas]]</f>
        <v>14.5</v>
      </c>
      <c r="AA1128" s="77">
        <f>STOCK[[#This Row],[Costo total]]*STOCK[[#This Row],[Entradas]]</f>
        <v>15.5</v>
      </c>
      <c r="AB1128" s="77">
        <f>STOCK[[#This Row],[Stock Actual]]*STOCK[[#This Row],[Costo total]]</f>
        <v>0</v>
      </c>
    </row>
    <row r="1129" s="76" customFormat="1" ht="50" customHeight="1" spans="1:28">
      <c r="A1129" s="76" t="s">
        <v>2387</v>
      </c>
      <c r="B1129" s="13"/>
      <c r="C1129" s="76" t="s">
        <v>30</v>
      </c>
      <c r="D1129" s="76" t="s">
        <v>173</v>
      </c>
      <c r="E1129" s="76" t="s">
        <v>1169</v>
      </c>
      <c r="F1129" s="76" t="s">
        <v>210</v>
      </c>
      <c r="G1129" s="76" t="s">
        <v>34</v>
      </c>
      <c r="H1129" s="76">
        <f>STOCK[[#This Row],[Precio Final]]</f>
        <v>13</v>
      </c>
      <c r="I1129" s="76">
        <f>STOCK[[#This Row],[Precio Venta Ideal (x1.5)]]</f>
        <v>14.865</v>
      </c>
      <c r="J1129" s="91">
        <v>2</v>
      </c>
      <c r="K1129" s="91">
        <f>SUMIFS(VENTAS[Cantidad],VENTAS[Código del producto Vendido],STOCK[[#This Row],[Code]])</f>
        <v>2</v>
      </c>
      <c r="L1129" s="91">
        <f>STOCK[[#This Row],[Entradas]]-STOCK[[#This Row],[Salidas]]</f>
        <v>0</v>
      </c>
      <c r="M1129" s="76">
        <f>STOCK[[#This Row],[Precio Final]]*10%</f>
        <v>1.3</v>
      </c>
      <c r="N1129" s="76">
        <v>4.72</v>
      </c>
      <c r="O1129" s="76">
        <v>0</v>
      </c>
      <c r="P1129" s="76">
        <v>7.61</v>
      </c>
      <c r="Q1129" s="91">
        <v>0</v>
      </c>
      <c r="R1129" s="76">
        <v>0</v>
      </c>
      <c r="S1129" s="76">
        <v>1</v>
      </c>
      <c r="T1129" s="76">
        <f>STOCK[[#This Row],[Costo Unitario (USD)]]+STOCK[[#This Row],[Costo Envío (USD)]]+STOCK[[#This Row],[Comisión 10%]]</f>
        <v>9.91</v>
      </c>
      <c r="U1129" s="76">
        <f>STOCK[[#This Row],[Costo total]]*1.5</f>
        <v>14.865</v>
      </c>
      <c r="V1129" s="76">
        <v>13</v>
      </c>
      <c r="W1129" s="76">
        <f>STOCK[[#This Row],[Precio Final]]-STOCK[[#This Row],[Costo total]]</f>
        <v>3.09</v>
      </c>
      <c r="X1129" s="76">
        <f>STOCK[[#This Row],[Ganancia Unitaria]]*STOCK[[#This Row],[Salidas]]</f>
        <v>6.18</v>
      </c>
      <c r="Y1129" s="76" t="s">
        <v>1157</v>
      </c>
      <c r="AA1129" s="76">
        <f>STOCK[[#This Row],[Costo total]]*STOCK[[#This Row],[Entradas]]</f>
        <v>19.82</v>
      </c>
      <c r="AB1129" s="76">
        <f>STOCK[[#This Row],[Stock Actual]]*STOCK[[#This Row],[Costo total]]</f>
        <v>0</v>
      </c>
    </row>
    <row r="1130" s="77" customFormat="1" ht="50" customHeight="1" spans="1:28">
      <c r="A1130" s="77" t="s">
        <v>2388</v>
      </c>
      <c r="B1130" s="6"/>
      <c r="C1130" s="77" t="s">
        <v>30</v>
      </c>
      <c r="D1130" s="77" t="s">
        <v>173</v>
      </c>
      <c r="E1130" s="77" t="s">
        <v>1498</v>
      </c>
      <c r="F1130" s="77" t="s">
        <v>86</v>
      </c>
      <c r="G1130" s="77" t="s">
        <v>34</v>
      </c>
      <c r="H1130" s="77">
        <f>STOCK[[#This Row],[Precio Final]]</f>
        <v>13</v>
      </c>
      <c r="I1130" s="77">
        <f>STOCK[[#This Row],[Precio Venta Ideal (x1.5)]]</f>
        <v>13.365</v>
      </c>
      <c r="J1130" s="92">
        <v>2</v>
      </c>
      <c r="K1130" s="92">
        <f>SUMIFS(VENTAS[Cantidad],VENTAS[Código del producto Vendido],STOCK[[#This Row],[Code]])</f>
        <v>2</v>
      </c>
      <c r="L1130" s="92">
        <f>STOCK[[#This Row],[Entradas]]-STOCK[[#This Row],[Salidas]]</f>
        <v>0</v>
      </c>
      <c r="M1130" s="77">
        <f>STOCK[[#This Row],[Precio Final]]*10%</f>
        <v>1.3</v>
      </c>
      <c r="N1130" s="77">
        <v>4.72</v>
      </c>
      <c r="O1130" s="77">
        <v>0</v>
      </c>
      <c r="P1130" s="77">
        <v>7.61</v>
      </c>
      <c r="Q1130" s="92">
        <v>0</v>
      </c>
      <c r="R1130" s="77">
        <v>0</v>
      </c>
      <c r="S1130" s="77">
        <v>0</v>
      </c>
      <c r="T1130" s="76">
        <f>STOCK[[#This Row],[Costo Unitario (USD)]]+STOCK[[#This Row],[Costo Envío (USD)]]+STOCK[[#This Row],[Comisión 10%]]</f>
        <v>8.91</v>
      </c>
      <c r="U1130" s="77">
        <f>STOCK[[#This Row],[Costo total]]*1.5</f>
        <v>13.365</v>
      </c>
      <c r="V1130" s="77">
        <v>13</v>
      </c>
      <c r="W1130" s="77">
        <f>STOCK[[#This Row],[Precio Final]]-STOCK[[#This Row],[Costo total]]</f>
        <v>4.09</v>
      </c>
      <c r="X1130" s="77">
        <f>STOCK[[#This Row],[Ganancia Unitaria]]*STOCK[[#This Row],[Salidas]]</f>
        <v>8.18</v>
      </c>
      <c r="AA1130" s="77">
        <f>STOCK[[#This Row],[Costo total]]*STOCK[[#This Row],[Entradas]]</f>
        <v>17.82</v>
      </c>
      <c r="AB1130" s="77">
        <f>STOCK[[#This Row],[Stock Actual]]*STOCK[[#This Row],[Costo total]]</f>
        <v>0</v>
      </c>
    </row>
    <row r="1131" s="76" customFormat="1" ht="50" customHeight="1" spans="1:28">
      <c r="A1131" s="76" t="s">
        <v>2389</v>
      </c>
      <c r="B1131" s="6"/>
      <c r="C1131" s="76" t="s">
        <v>30</v>
      </c>
      <c r="D1131" s="76" t="s">
        <v>2390</v>
      </c>
      <c r="E1131" s="76" t="s">
        <v>2391</v>
      </c>
      <c r="F1131" s="76" t="s">
        <v>516</v>
      </c>
      <c r="G1131" s="76" t="s">
        <v>2392</v>
      </c>
      <c r="H1131" s="76">
        <f>STOCK[[#This Row],[Precio Final]]</f>
        <v>35</v>
      </c>
      <c r="I1131" s="76">
        <f>STOCK[[#This Row],[Precio Venta Ideal (x1.5)]]</f>
        <v>31.1280317273796</v>
      </c>
      <c r="J1131" s="91">
        <v>1</v>
      </c>
      <c r="K1131" s="91">
        <f>SUMIFS(VENTAS[Cantidad],VENTAS[Código del producto Vendido],STOCK[[#This Row],[Code]])</f>
        <v>1</v>
      </c>
      <c r="L1131" s="91">
        <f>STOCK[[#This Row],[Entradas]]-STOCK[[#This Row],[Salidas]]</f>
        <v>0</v>
      </c>
      <c r="M1131" s="76">
        <f>STOCK[[#This Row],[Precio Final]]*10%</f>
        <v>3.5</v>
      </c>
      <c r="N1131" s="76">
        <v>260.1</v>
      </c>
      <c r="O1131" s="76">
        <v>17.02</v>
      </c>
      <c r="P1131" s="76">
        <v>15.2820211515864</v>
      </c>
      <c r="Q1131" s="91">
        <v>0</v>
      </c>
      <c r="R1131" s="76">
        <v>0</v>
      </c>
      <c r="S1131" s="76">
        <v>1.97</v>
      </c>
      <c r="T1131" s="76">
        <f>STOCK[[#This Row],[Costo Unitario (USD)]]+STOCK[[#This Row],[Costo Envío (USD)]]+STOCK[[#This Row],[Comisión 10%]]</f>
        <v>20.7520211515864</v>
      </c>
      <c r="U1131" s="76">
        <f>STOCK[[#This Row],[Costo total]]*1.5</f>
        <v>31.1280317273796</v>
      </c>
      <c r="V1131" s="76">
        <v>35</v>
      </c>
      <c r="W1131" s="76">
        <f>STOCK[[#This Row],[Precio Final]]-STOCK[[#This Row],[Costo total]]</f>
        <v>14.2479788484136</v>
      </c>
      <c r="X1131" s="76">
        <f>STOCK[[#This Row],[Ganancia Unitaria]]*STOCK[[#This Row],[Salidas]]</f>
        <v>14.2479788484136</v>
      </c>
      <c r="Y1131" s="76" t="s">
        <v>2393</v>
      </c>
      <c r="AA1131" s="76">
        <f>STOCK[[#This Row],[Costo total]]*STOCK[[#This Row],[Entradas]]</f>
        <v>20.7520211515864</v>
      </c>
      <c r="AB1131" s="76">
        <f>STOCK[[#This Row],[Stock Actual]]*STOCK[[#This Row],[Costo total]]</f>
        <v>0</v>
      </c>
    </row>
    <row r="1132" s="77" customFormat="1" ht="50" customHeight="1" spans="1:28">
      <c r="A1132" s="77" t="s">
        <v>2394</v>
      </c>
      <c r="B1132" s="6"/>
      <c r="C1132" s="77" t="s">
        <v>30</v>
      </c>
      <c r="D1132" s="76" t="s">
        <v>2390</v>
      </c>
      <c r="E1132" s="77" t="s">
        <v>2395</v>
      </c>
      <c r="F1132" s="77" t="s">
        <v>764</v>
      </c>
      <c r="G1132" s="77" t="s">
        <v>2392</v>
      </c>
      <c r="H1132" s="77">
        <f>STOCK[[#This Row],[Precio Final]]</f>
        <v>35</v>
      </c>
      <c r="I1132" s="77">
        <f>STOCK[[#This Row],[Precio Venta Ideal (x1.5)]]</f>
        <v>31.1280317273796</v>
      </c>
      <c r="J1132" s="92">
        <v>1</v>
      </c>
      <c r="K1132" s="92">
        <f>SUMIFS(VENTAS[Cantidad],VENTAS[Código del producto Vendido],STOCK[[#This Row],[Code]])</f>
        <v>1</v>
      </c>
      <c r="L1132" s="92">
        <f>STOCK[[#This Row],[Entradas]]-STOCK[[#This Row],[Salidas]]</f>
        <v>0</v>
      </c>
      <c r="M1132" s="77">
        <f>STOCK[[#This Row],[Precio Final]]*10%</f>
        <v>3.5</v>
      </c>
      <c r="N1132" s="77">
        <v>260.1</v>
      </c>
      <c r="O1132" s="77">
        <v>17.02</v>
      </c>
      <c r="P1132" s="77">
        <v>15.2820211515864</v>
      </c>
      <c r="Q1132" s="92">
        <v>0</v>
      </c>
      <c r="R1132" s="77">
        <v>0</v>
      </c>
      <c r="S1132" s="77">
        <v>1.97</v>
      </c>
      <c r="T1132" s="76">
        <f>STOCK[[#This Row],[Costo Unitario (USD)]]+STOCK[[#This Row],[Costo Envío (USD)]]+STOCK[[#This Row],[Comisión 10%]]</f>
        <v>20.7520211515864</v>
      </c>
      <c r="U1132" s="77">
        <f>STOCK[[#This Row],[Costo total]]*1.5</f>
        <v>31.1280317273796</v>
      </c>
      <c r="V1132" s="77">
        <v>35</v>
      </c>
      <c r="W1132" s="77">
        <f>STOCK[[#This Row],[Precio Final]]-STOCK[[#This Row],[Costo total]]</f>
        <v>14.2479788484136</v>
      </c>
      <c r="X1132" s="77">
        <f>STOCK[[#This Row],[Ganancia Unitaria]]*STOCK[[#This Row],[Salidas]]</f>
        <v>14.2479788484136</v>
      </c>
      <c r="Y1132" s="77" t="s">
        <v>2396</v>
      </c>
      <c r="AA1132" s="77">
        <f>STOCK[[#This Row],[Costo total]]*STOCK[[#This Row],[Entradas]]</f>
        <v>20.7520211515864</v>
      </c>
      <c r="AB1132" s="77">
        <f>STOCK[[#This Row],[Stock Actual]]*STOCK[[#This Row],[Costo total]]</f>
        <v>0</v>
      </c>
    </row>
    <row r="1133" s="76" customFormat="1" ht="50" customHeight="1" spans="1:28">
      <c r="A1133" s="76" t="s">
        <v>2397</v>
      </c>
      <c r="B1133" s="6"/>
      <c r="C1133" s="76" t="s">
        <v>30</v>
      </c>
      <c r="D1133" s="76" t="s">
        <v>2390</v>
      </c>
      <c r="E1133" s="76" t="s">
        <v>2395</v>
      </c>
      <c r="F1133" s="76" t="s">
        <v>539</v>
      </c>
      <c r="G1133" s="76" t="s">
        <v>2392</v>
      </c>
      <c r="H1133" s="76">
        <f>STOCK[[#This Row],[Precio Final]]</f>
        <v>35</v>
      </c>
      <c r="I1133" s="76">
        <f>STOCK[[#This Row],[Precio Venta Ideal (x1.5)]]</f>
        <v>31.1280317273796</v>
      </c>
      <c r="J1133" s="91">
        <v>1</v>
      </c>
      <c r="K1133" s="91">
        <f>SUMIFS(VENTAS[Cantidad],VENTAS[Código del producto Vendido],STOCK[[#This Row],[Code]])</f>
        <v>1</v>
      </c>
      <c r="L1133" s="91">
        <f>STOCK[[#This Row],[Entradas]]-STOCK[[#This Row],[Salidas]]</f>
        <v>0</v>
      </c>
      <c r="M1133" s="76">
        <f>STOCK[[#This Row],[Precio Final]]*10%</f>
        <v>3.5</v>
      </c>
      <c r="N1133" s="76">
        <v>260.1</v>
      </c>
      <c r="O1133" s="76">
        <v>17.02</v>
      </c>
      <c r="P1133" s="76">
        <v>15.2820211515864</v>
      </c>
      <c r="Q1133" s="91">
        <v>0</v>
      </c>
      <c r="R1133" s="76">
        <v>0</v>
      </c>
      <c r="S1133" s="76">
        <v>1.97</v>
      </c>
      <c r="T1133" s="76">
        <f>STOCK[[#This Row],[Costo Unitario (USD)]]+STOCK[[#This Row],[Costo Envío (USD)]]+STOCK[[#This Row],[Comisión 10%]]</f>
        <v>20.7520211515864</v>
      </c>
      <c r="U1133" s="76">
        <f>STOCK[[#This Row],[Costo total]]*1.5</f>
        <v>31.1280317273796</v>
      </c>
      <c r="V1133" s="76">
        <v>35</v>
      </c>
      <c r="W1133" s="76">
        <f>STOCK[[#This Row],[Precio Final]]-STOCK[[#This Row],[Costo total]]</f>
        <v>14.2479788484136</v>
      </c>
      <c r="X1133" s="76">
        <f>STOCK[[#This Row],[Ganancia Unitaria]]*STOCK[[#This Row],[Salidas]]</f>
        <v>14.2479788484136</v>
      </c>
      <c r="Y1133" s="76" t="s">
        <v>2398</v>
      </c>
      <c r="AA1133" s="76">
        <f>STOCK[[#This Row],[Costo total]]*STOCK[[#This Row],[Entradas]]</f>
        <v>20.7520211515864</v>
      </c>
      <c r="AB1133" s="76">
        <f>STOCK[[#This Row],[Stock Actual]]*STOCK[[#This Row],[Costo total]]</f>
        <v>0</v>
      </c>
    </row>
    <row r="1134" s="77" customFormat="1" ht="50" customHeight="1" spans="1:28">
      <c r="A1134" s="77" t="s">
        <v>2399</v>
      </c>
      <c r="B1134" s="6"/>
      <c r="C1134" s="77" t="s">
        <v>30</v>
      </c>
      <c r="D1134" s="76" t="s">
        <v>2390</v>
      </c>
      <c r="E1134" s="77" t="s">
        <v>2395</v>
      </c>
      <c r="F1134" s="77" t="s">
        <v>762</v>
      </c>
      <c r="G1134" s="77" t="s">
        <v>2392</v>
      </c>
      <c r="H1134" s="77">
        <f>STOCK[[#This Row],[Precio Final]]</f>
        <v>35</v>
      </c>
      <c r="I1134" s="77">
        <f>STOCK[[#This Row],[Precio Venta Ideal (x1.5)]]</f>
        <v>31.1280317273796</v>
      </c>
      <c r="J1134" s="92">
        <v>1</v>
      </c>
      <c r="K1134" s="92">
        <f>SUMIFS(VENTAS[Cantidad],VENTAS[Código del producto Vendido],STOCK[[#This Row],[Code]])</f>
        <v>1</v>
      </c>
      <c r="L1134" s="92">
        <f>STOCK[[#This Row],[Entradas]]-STOCK[[#This Row],[Salidas]]</f>
        <v>0</v>
      </c>
      <c r="M1134" s="77">
        <f>STOCK[[#This Row],[Precio Final]]*10%</f>
        <v>3.5</v>
      </c>
      <c r="N1134" s="77">
        <v>260.1</v>
      </c>
      <c r="O1134" s="77">
        <v>17.02</v>
      </c>
      <c r="P1134" s="77">
        <v>15.2820211515864</v>
      </c>
      <c r="Q1134" s="92">
        <v>0</v>
      </c>
      <c r="R1134" s="77">
        <v>0</v>
      </c>
      <c r="S1134" s="77">
        <v>1.97</v>
      </c>
      <c r="T1134" s="76">
        <f>STOCK[[#This Row],[Costo Unitario (USD)]]+STOCK[[#This Row],[Costo Envío (USD)]]+STOCK[[#This Row],[Comisión 10%]]</f>
        <v>20.7520211515864</v>
      </c>
      <c r="U1134" s="77">
        <f>STOCK[[#This Row],[Costo total]]*1.5</f>
        <v>31.1280317273796</v>
      </c>
      <c r="V1134" s="77">
        <v>35</v>
      </c>
      <c r="W1134" s="77">
        <f>STOCK[[#This Row],[Precio Final]]-STOCK[[#This Row],[Costo total]]</f>
        <v>14.2479788484136</v>
      </c>
      <c r="X1134" s="77">
        <f>STOCK[[#This Row],[Ganancia Unitaria]]*STOCK[[#This Row],[Salidas]]</f>
        <v>14.2479788484136</v>
      </c>
      <c r="Y1134" s="77" t="s">
        <v>2400</v>
      </c>
      <c r="AA1134" s="77">
        <f>STOCK[[#This Row],[Costo total]]*STOCK[[#This Row],[Entradas]]</f>
        <v>20.7520211515864</v>
      </c>
      <c r="AB1134" s="77">
        <f>STOCK[[#This Row],[Stock Actual]]*STOCK[[#This Row],[Costo total]]</f>
        <v>0</v>
      </c>
    </row>
    <row r="1135" s="76" customFormat="1" ht="50" customHeight="1" spans="1:28">
      <c r="A1135" s="76" t="s">
        <v>2401</v>
      </c>
      <c r="B1135" s="6"/>
      <c r="C1135" s="76" t="s">
        <v>30</v>
      </c>
      <c r="D1135" s="76" t="s">
        <v>2390</v>
      </c>
      <c r="E1135" s="76" t="s">
        <v>2395</v>
      </c>
      <c r="F1135" s="76" t="s">
        <v>757</v>
      </c>
      <c r="G1135" s="76" t="s">
        <v>2392</v>
      </c>
      <c r="H1135" s="76">
        <f>STOCK[[#This Row],[Precio Final]]</f>
        <v>35</v>
      </c>
      <c r="I1135" s="76">
        <f>STOCK[[#This Row],[Precio Venta Ideal (x1.5)]]</f>
        <v>31.1280317273796</v>
      </c>
      <c r="J1135" s="91">
        <v>1</v>
      </c>
      <c r="K1135" s="91">
        <f>SUMIFS(VENTAS[Cantidad],VENTAS[Código del producto Vendido],STOCK[[#This Row],[Code]])</f>
        <v>1</v>
      </c>
      <c r="L1135" s="91">
        <f>STOCK[[#This Row],[Entradas]]-STOCK[[#This Row],[Salidas]]</f>
        <v>0</v>
      </c>
      <c r="M1135" s="76">
        <f>STOCK[[#This Row],[Precio Final]]*10%</f>
        <v>3.5</v>
      </c>
      <c r="N1135" s="76">
        <v>260.1</v>
      </c>
      <c r="O1135" s="76">
        <v>17.02</v>
      </c>
      <c r="P1135" s="76">
        <v>15.2820211515864</v>
      </c>
      <c r="Q1135" s="91">
        <v>0</v>
      </c>
      <c r="R1135" s="76">
        <v>0</v>
      </c>
      <c r="S1135" s="76">
        <v>1.97</v>
      </c>
      <c r="T1135" s="76">
        <f>STOCK[[#This Row],[Costo Unitario (USD)]]+STOCK[[#This Row],[Costo Envío (USD)]]+STOCK[[#This Row],[Comisión 10%]]</f>
        <v>20.7520211515864</v>
      </c>
      <c r="U1135" s="76">
        <f>STOCK[[#This Row],[Costo total]]*1.5</f>
        <v>31.1280317273796</v>
      </c>
      <c r="V1135" s="76">
        <v>35</v>
      </c>
      <c r="W1135" s="76">
        <f>STOCK[[#This Row],[Precio Final]]-STOCK[[#This Row],[Costo total]]</f>
        <v>14.2479788484136</v>
      </c>
      <c r="X1135" s="76">
        <f>STOCK[[#This Row],[Ganancia Unitaria]]*STOCK[[#This Row],[Salidas]]</f>
        <v>14.2479788484136</v>
      </c>
      <c r="Y1135" s="76" t="s">
        <v>2402</v>
      </c>
      <c r="AA1135" s="76">
        <f>STOCK[[#This Row],[Costo total]]*STOCK[[#This Row],[Entradas]]</f>
        <v>20.7520211515864</v>
      </c>
      <c r="AB1135" s="76">
        <f>STOCK[[#This Row],[Stock Actual]]*STOCK[[#This Row],[Costo total]]</f>
        <v>0</v>
      </c>
    </row>
    <row r="1136" s="77" customFormat="1" ht="50" customHeight="1" spans="1:28">
      <c r="A1136" s="77" t="s">
        <v>2403</v>
      </c>
      <c r="B1136" s="6"/>
      <c r="C1136" s="77" t="s">
        <v>30</v>
      </c>
      <c r="D1136" s="76" t="s">
        <v>1386</v>
      </c>
      <c r="E1136" s="77" t="s">
        <v>2404</v>
      </c>
      <c r="F1136" s="77" t="s">
        <v>38</v>
      </c>
      <c r="G1136" s="77" t="s">
        <v>2392</v>
      </c>
      <c r="H1136" s="77">
        <f>STOCK[[#This Row],[Precio Final]]</f>
        <v>35</v>
      </c>
      <c r="I1136" s="77">
        <f>STOCK[[#This Row],[Precio Venta Ideal (x1.5)]]</f>
        <v>31.1280317273796</v>
      </c>
      <c r="J1136" s="92">
        <v>2</v>
      </c>
      <c r="K1136" s="92">
        <f>SUMIFS(VENTAS[Cantidad],VENTAS[Código del producto Vendido],STOCK[[#This Row],[Code]])</f>
        <v>1</v>
      </c>
      <c r="L1136" s="92">
        <f>STOCK[[#This Row],[Entradas]]-STOCK[[#This Row],[Salidas]]</f>
        <v>1</v>
      </c>
      <c r="M1136" s="77">
        <f>STOCK[[#This Row],[Precio Final]]*10%</f>
        <v>3.5</v>
      </c>
      <c r="N1136" s="77">
        <v>260.1</v>
      </c>
      <c r="O1136" s="77">
        <v>17.02</v>
      </c>
      <c r="P1136" s="77">
        <v>15.2820211515864</v>
      </c>
      <c r="Q1136" s="92">
        <v>0</v>
      </c>
      <c r="R1136" s="77">
        <v>0</v>
      </c>
      <c r="S1136" s="77">
        <v>1.97</v>
      </c>
      <c r="T1136" s="76">
        <f>STOCK[[#This Row],[Costo Unitario (USD)]]+STOCK[[#This Row],[Costo Envío (USD)]]+STOCK[[#This Row],[Comisión 10%]]</f>
        <v>20.7520211515864</v>
      </c>
      <c r="U1136" s="77">
        <f>STOCK[[#This Row],[Costo total]]*1.5</f>
        <v>31.1280317273796</v>
      </c>
      <c r="V1136" s="77">
        <v>35</v>
      </c>
      <c r="W1136" s="77">
        <f>STOCK[[#This Row],[Precio Final]]-STOCK[[#This Row],[Costo total]]</f>
        <v>14.2479788484136</v>
      </c>
      <c r="X1136" s="77">
        <f>STOCK[[#This Row],[Ganancia Unitaria]]*STOCK[[#This Row],[Salidas]]</f>
        <v>14.2479788484136</v>
      </c>
      <c r="Y1136" s="77" t="s">
        <v>2405</v>
      </c>
      <c r="AA1136" s="77">
        <f>STOCK[[#This Row],[Costo total]]*STOCK[[#This Row],[Entradas]]</f>
        <v>41.5040423031728</v>
      </c>
      <c r="AB1136" s="77">
        <f>STOCK[[#This Row],[Stock Actual]]*STOCK[[#This Row],[Costo total]]</f>
        <v>20.7520211515864</v>
      </c>
    </row>
    <row r="1137" s="76" customFormat="1" ht="50" customHeight="1" spans="1:28">
      <c r="A1137" s="76" t="s">
        <v>2406</v>
      </c>
      <c r="B1137" s="6"/>
      <c r="C1137" s="76" t="s">
        <v>30</v>
      </c>
      <c r="D1137" s="76" t="s">
        <v>1386</v>
      </c>
      <c r="E1137" s="76" t="s">
        <v>2404</v>
      </c>
      <c r="F1137" s="76" t="s">
        <v>60</v>
      </c>
      <c r="G1137" s="76" t="s">
        <v>2392</v>
      </c>
      <c r="H1137" s="76">
        <f>STOCK[[#This Row],[Precio Final]]</f>
        <v>35</v>
      </c>
      <c r="I1137" s="76">
        <f>STOCK[[#This Row],[Precio Venta Ideal (x1.5)]]</f>
        <v>31.1280317273796</v>
      </c>
      <c r="J1137" s="91">
        <v>2</v>
      </c>
      <c r="K1137" s="91">
        <f>SUMIFS(VENTAS[Cantidad],VENTAS[Código del producto Vendido],STOCK[[#This Row],[Code]])</f>
        <v>1</v>
      </c>
      <c r="L1137" s="91">
        <f>STOCK[[#This Row],[Entradas]]-STOCK[[#This Row],[Salidas]]</f>
        <v>1</v>
      </c>
      <c r="M1137" s="76">
        <f>STOCK[[#This Row],[Precio Final]]*10%</f>
        <v>3.5</v>
      </c>
      <c r="N1137" s="76">
        <v>260.1</v>
      </c>
      <c r="O1137" s="76">
        <v>17.02</v>
      </c>
      <c r="P1137" s="76">
        <v>15.2820211515864</v>
      </c>
      <c r="Q1137" s="91">
        <v>0</v>
      </c>
      <c r="R1137" s="76">
        <v>0</v>
      </c>
      <c r="S1137" s="76">
        <v>1.97</v>
      </c>
      <c r="T1137" s="76">
        <f>STOCK[[#This Row],[Costo Unitario (USD)]]+STOCK[[#This Row],[Costo Envío (USD)]]+STOCK[[#This Row],[Comisión 10%]]</f>
        <v>20.7520211515864</v>
      </c>
      <c r="U1137" s="76">
        <f>STOCK[[#This Row],[Costo total]]*1.5</f>
        <v>31.1280317273796</v>
      </c>
      <c r="V1137" s="76">
        <v>35</v>
      </c>
      <c r="W1137" s="76">
        <f>STOCK[[#This Row],[Precio Final]]-STOCK[[#This Row],[Costo total]]</f>
        <v>14.2479788484136</v>
      </c>
      <c r="X1137" s="76">
        <f>STOCK[[#This Row],[Ganancia Unitaria]]*STOCK[[#This Row],[Salidas]]</f>
        <v>14.2479788484136</v>
      </c>
      <c r="Y1137" s="76" t="s">
        <v>2407</v>
      </c>
      <c r="AA1137" s="76">
        <f>STOCK[[#This Row],[Costo total]]*STOCK[[#This Row],[Entradas]]</f>
        <v>41.5040423031728</v>
      </c>
      <c r="AB1137" s="76">
        <f>STOCK[[#This Row],[Stock Actual]]*STOCK[[#This Row],[Costo total]]</f>
        <v>20.7520211515864</v>
      </c>
    </row>
    <row r="1138" s="77" customFormat="1" ht="50" customHeight="1" spans="1:28">
      <c r="A1138" s="77" t="s">
        <v>2408</v>
      </c>
      <c r="B1138" s="6"/>
      <c r="C1138" s="77" t="s">
        <v>30</v>
      </c>
      <c r="D1138" s="76" t="s">
        <v>1386</v>
      </c>
      <c r="E1138" s="77" t="s">
        <v>2404</v>
      </c>
      <c r="F1138" s="77" t="s">
        <v>47</v>
      </c>
      <c r="G1138" s="77" t="s">
        <v>2392</v>
      </c>
      <c r="H1138" s="77">
        <f>STOCK[[#This Row],[Precio Final]]</f>
        <v>35</v>
      </c>
      <c r="I1138" s="77">
        <f>STOCK[[#This Row],[Precio Venta Ideal (x1.5)]]</f>
        <v>31.1280317273796</v>
      </c>
      <c r="J1138" s="92">
        <v>3</v>
      </c>
      <c r="K1138" s="92">
        <f>SUMIFS(VENTAS[Cantidad],VENTAS[Código del producto Vendido],STOCK[[#This Row],[Code]])</f>
        <v>1</v>
      </c>
      <c r="L1138" s="92">
        <f>STOCK[[#This Row],[Entradas]]-STOCK[[#This Row],[Salidas]]</f>
        <v>2</v>
      </c>
      <c r="M1138" s="77">
        <f>STOCK[[#This Row],[Precio Final]]*10%</f>
        <v>3.5</v>
      </c>
      <c r="N1138" s="77">
        <v>260.1</v>
      </c>
      <c r="O1138" s="77">
        <v>17.02</v>
      </c>
      <c r="P1138" s="77">
        <v>15.2820211515864</v>
      </c>
      <c r="Q1138" s="92">
        <v>0</v>
      </c>
      <c r="R1138" s="77">
        <v>0</v>
      </c>
      <c r="S1138" s="77">
        <v>1.97</v>
      </c>
      <c r="T1138" s="76">
        <f>STOCK[[#This Row],[Costo Unitario (USD)]]+STOCK[[#This Row],[Costo Envío (USD)]]+STOCK[[#This Row],[Comisión 10%]]</f>
        <v>20.7520211515864</v>
      </c>
      <c r="U1138" s="77">
        <f>STOCK[[#This Row],[Costo total]]*1.5</f>
        <v>31.1280317273796</v>
      </c>
      <c r="V1138" s="77">
        <v>35</v>
      </c>
      <c r="W1138" s="77">
        <f>STOCK[[#This Row],[Precio Final]]-STOCK[[#This Row],[Costo total]]</f>
        <v>14.2479788484136</v>
      </c>
      <c r="X1138" s="77">
        <f>STOCK[[#This Row],[Ganancia Unitaria]]*STOCK[[#This Row],[Salidas]]</f>
        <v>14.2479788484136</v>
      </c>
      <c r="Y1138" s="77" t="s">
        <v>2409</v>
      </c>
      <c r="AA1138" s="77">
        <f>STOCK[[#This Row],[Costo total]]*STOCK[[#This Row],[Entradas]]</f>
        <v>62.2560634547592</v>
      </c>
      <c r="AB1138" s="77">
        <f>STOCK[[#This Row],[Stock Actual]]*STOCK[[#This Row],[Costo total]]</f>
        <v>41.5040423031728</v>
      </c>
    </row>
    <row r="1139" s="76" customFormat="1" ht="50" customHeight="1" spans="1:28">
      <c r="A1139" s="76" t="s">
        <v>2410</v>
      </c>
      <c r="B1139" s="6"/>
      <c r="C1139" s="76" t="s">
        <v>30</v>
      </c>
      <c r="D1139" s="76" t="s">
        <v>1386</v>
      </c>
      <c r="E1139" s="76" t="s">
        <v>2404</v>
      </c>
      <c r="F1139" s="76" t="s">
        <v>44</v>
      </c>
      <c r="G1139" s="76" t="s">
        <v>2392</v>
      </c>
      <c r="H1139" s="76">
        <f>STOCK[[#This Row],[Precio Final]]</f>
        <v>35</v>
      </c>
      <c r="I1139" s="76">
        <f>STOCK[[#This Row],[Precio Venta Ideal (x1.5)]]</f>
        <v>31.1280317273796</v>
      </c>
      <c r="J1139" s="91">
        <v>1</v>
      </c>
      <c r="K1139" s="91">
        <f>SUMIFS(VENTAS[Cantidad],VENTAS[Código del producto Vendido],STOCK[[#This Row],[Code]])</f>
        <v>0</v>
      </c>
      <c r="L1139" s="91">
        <f>STOCK[[#This Row],[Entradas]]-STOCK[[#This Row],[Salidas]]</f>
        <v>1</v>
      </c>
      <c r="M1139" s="76">
        <f>STOCK[[#This Row],[Precio Final]]*10%</f>
        <v>3.5</v>
      </c>
      <c r="N1139" s="76">
        <v>260.1</v>
      </c>
      <c r="O1139" s="76">
        <v>17.02</v>
      </c>
      <c r="P1139" s="76">
        <v>15.2820211515864</v>
      </c>
      <c r="Q1139" s="91">
        <v>0</v>
      </c>
      <c r="R1139" s="76">
        <v>0</v>
      </c>
      <c r="S1139" s="76">
        <v>1.97</v>
      </c>
      <c r="T1139" s="76">
        <f>STOCK[[#This Row],[Costo Unitario (USD)]]+STOCK[[#This Row],[Costo Envío (USD)]]+STOCK[[#This Row],[Comisión 10%]]</f>
        <v>20.7520211515864</v>
      </c>
      <c r="U1139" s="76">
        <f>STOCK[[#This Row],[Costo total]]*1.5</f>
        <v>31.1280317273796</v>
      </c>
      <c r="V1139" s="76">
        <v>35</v>
      </c>
      <c r="W1139" s="76">
        <f>STOCK[[#This Row],[Precio Final]]-STOCK[[#This Row],[Costo total]]</f>
        <v>14.2479788484136</v>
      </c>
      <c r="X1139" s="76">
        <f>STOCK[[#This Row],[Ganancia Unitaria]]*STOCK[[#This Row],[Salidas]]</f>
        <v>0</v>
      </c>
      <c r="Y1139" s="76" t="s">
        <v>2411</v>
      </c>
      <c r="AA1139" s="76">
        <f>STOCK[[#This Row],[Costo total]]*STOCK[[#This Row],[Entradas]]</f>
        <v>20.7520211515864</v>
      </c>
      <c r="AB1139" s="76">
        <f>STOCK[[#This Row],[Stock Actual]]*STOCK[[#This Row],[Costo total]]</f>
        <v>20.7520211515864</v>
      </c>
    </row>
    <row r="1140" s="77" customFormat="1" ht="50" customHeight="1" spans="1:28">
      <c r="A1140" s="77" t="s">
        <v>2412</v>
      </c>
      <c r="B1140" s="6"/>
      <c r="C1140" s="77" t="s">
        <v>30</v>
      </c>
      <c r="D1140" s="77" t="s">
        <v>2413</v>
      </c>
      <c r="E1140" s="77" t="s">
        <v>2404</v>
      </c>
      <c r="F1140" s="77" t="s">
        <v>40</v>
      </c>
      <c r="G1140" s="77" t="s">
        <v>2392</v>
      </c>
      <c r="H1140" s="77">
        <f>STOCK[[#This Row],[Precio Final]]</f>
        <v>35</v>
      </c>
      <c r="I1140" s="77">
        <f>STOCK[[#This Row],[Precio Venta Ideal (x1.5)]]</f>
        <v>31.1280317273796</v>
      </c>
      <c r="J1140" s="92">
        <v>1</v>
      </c>
      <c r="K1140" s="92">
        <f>SUMIFS(VENTAS[Cantidad],VENTAS[Código del producto Vendido],STOCK[[#This Row],[Code]])</f>
        <v>1</v>
      </c>
      <c r="L1140" s="92">
        <f>STOCK[[#This Row],[Entradas]]-STOCK[[#This Row],[Salidas]]</f>
        <v>0</v>
      </c>
      <c r="M1140" s="77">
        <f>STOCK[[#This Row],[Precio Final]]*10%</f>
        <v>3.5</v>
      </c>
      <c r="N1140" s="77">
        <v>260.1</v>
      </c>
      <c r="O1140" s="77">
        <v>17.02</v>
      </c>
      <c r="P1140" s="77">
        <v>15.2820211515864</v>
      </c>
      <c r="Q1140" s="92">
        <v>0</v>
      </c>
      <c r="R1140" s="77">
        <v>0</v>
      </c>
      <c r="S1140" s="77">
        <v>1.97</v>
      </c>
      <c r="T1140" s="76">
        <f>STOCK[[#This Row],[Costo Unitario (USD)]]+STOCK[[#This Row],[Costo Envío (USD)]]+STOCK[[#This Row],[Comisión 10%]]</f>
        <v>20.7520211515864</v>
      </c>
      <c r="U1140" s="77">
        <f>STOCK[[#This Row],[Costo total]]*1.5</f>
        <v>31.1280317273796</v>
      </c>
      <c r="V1140" s="77">
        <v>35</v>
      </c>
      <c r="W1140" s="77">
        <f>STOCK[[#This Row],[Precio Final]]-STOCK[[#This Row],[Costo total]]</f>
        <v>14.2479788484136</v>
      </c>
      <c r="X1140" s="77">
        <f>STOCK[[#This Row],[Ganancia Unitaria]]*STOCK[[#This Row],[Salidas]]</f>
        <v>14.2479788484136</v>
      </c>
      <c r="Y1140" s="77" t="s">
        <v>2414</v>
      </c>
      <c r="AA1140" s="77">
        <f>STOCK[[#This Row],[Costo total]]*STOCK[[#This Row],[Entradas]]</f>
        <v>20.7520211515864</v>
      </c>
      <c r="AB1140" s="77">
        <f>STOCK[[#This Row],[Stock Actual]]*STOCK[[#This Row],[Costo total]]</f>
        <v>0</v>
      </c>
    </row>
    <row r="1141" s="76" customFormat="1" ht="50" customHeight="1" spans="1:28">
      <c r="A1141" s="76" t="s">
        <v>2415</v>
      </c>
      <c r="B1141" s="6"/>
      <c r="C1141" s="76" t="s">
        <v>30</v>
      </c>
      <c r="D1141" s="76" t="s">
        <v>778</v>
      </c>
      <c r="E1141" s="76" t="s">
        <v>2416</v>
      </c>
      <c r="F1141" s="76" t="s">
        <v>60</v>
      </c>
      <c r="G1141" s="76" t="s">
        <v>2392</v>
      </c>
      <c r="H1141" s="76">
        <f>STOCK[[#This Row],[Precio Final]]</f>
        <v>25</v>
      </c>
      <c r="I1141" s="76">
        <f>STOCK[[#This Row],[Precio Venta Ideal (x1.5)]]</f>
        <v>30.4212162162162</v>
      </c>
      <c r="J1141" s="91">
        <v>2</v>
      </c>
      <c r="K1141" s="91">
        <f>SUMIFS(VENTAS[Cantidad],VENTAS[Código del producto Vendido],STOCK[[#This Row],[Code]])</f>
        <v>2</v>
      </c>
      <c r="L1141" s="91">
        <f>STOCK[[#This Row],[Entradas]]-STOCK[[#This Row],[Salidas]]</f>
        <v>0</v>
      </c>
      <c r="M1141" s="76">
        <f>STOCK[[#This Row],[Precio Final]]*10%</f>
        <v>2.5</v>
      </c>
      <c r="N1141" s="76">
        <v>269.1</v>
      </c>
      <c r="O1141" s="76">
        <v>17.02</v>
      </c>
      <c r="P1141" s="76">
        <v>15.8108108108108</v>
      </c>
      <c r="Q1141" s="91">
        <v>0</v>
      </c>
      <c r="R1141" s="76">
        <v>0</v>
      </c>
      <c r="S1141" s="76">
        <v>1.97</v>
      </c>
      <c r="T1141" s="76">
        <f>STOCK[[#This Row],[Costo Unitario (USD)]]+STOCK[[#This Row],[Costo Envío (USD)]]+STOCK[[#This Row],[Comisión 10%]]</f>
        <v>20.2808108108108</v>
      </c>
      <c r="U1141" s="76">
        <f>STOCK[[#This Row],[Costo total]]*1.5</f>
        <v>30.4212162162162</v>
      </c>
      <c r="V1141" s="76">
        <v>25</v>
      </c>
      <c r="W1141" s="76">
        <f>STOCK[[#This Row],[Precio Final]]-STOCK[[#This Row],[Costo total]]</f>
        <v>4.7191891891892</v>
      </c>
      <c r="X1141" s="76">
        <f>STOCK[[#This Row],[Ganancia Unitaria]]*STOCK[[#This Row],[Salidas]]</f>
        <v>9.4383783783784</v>
      </c>
      <c r="Y1141" s="76" t="s">
        <v>2417</v>
      </c>
      <c r="AA1141" s="76">
        <f>STOCK[[#This Row],[Costo total]]*STOCK[[#This Row],[Entradas]]</f>
        <v>40.5616216216216</v>
      </c>
      <c r="AB1141" s="76">
        <f>STOCK[[#This Row],[Stock Actual]]*STOCK[[#This Row],[Costo total]]</f>
        <v>0</v>
      </c>
    </row>
    <row r="1142" s="77" customFormat="1" ht="50" customHeight="1" spans="1:28">
      <c r="A1142" s="77" t="s">
        <v>2418</v>
      </c>
      <c r="B1142" s="6"/>
      <c r="C1142" s="77" t="s">
        <v>30</v>
      </c>
      <c r="D1142" s="76" t="s">
        <v>778</v>
      </c>
      <c r="E1142" s="77" t="s">
        <v>2416</v>
      </c>
      <c r="F1142" s="77" t="s">
        <v>47</v>
      </c>
      <c r="G1142" s="77" t="s">
        <v>2392</v>
      </c>
      <c r="H1142" s="77">
        <f>STOCK[[#This Row],[Precio Final]]</f>
        <v>25</v>
      </c>
      <c r="I1142" s="77">
        <f>STOCK[[#This Row],[Precio Venta Ideal (x1.5)]]</f>
        <v>30.4212162162162</v>
      </c>
      <c r="J1142" s="92">
        <v>3</v>
      </c>
      <c r="K1142" s="92">
        <f>SUMIFS(VENTAS[Cantidad],VENTAS[Código del producto Vendido],STOCK[[#This Row],[Code]])</f>
        <v>3</v>
      </c>
      <c r="L1142" s="92">
        <f>STOCK[[#This Row],[Entradas]]-STOCK[[#This Row],[Salidas]]</f>
        <v>0</v>
      </c>
      <c r="M1142" s="77">
        <f>STOCK[[#This Row],[Precio Final]]*10%</f>
        <v>2.5</v>
      </c>
      <c r="N1142" s="77">
        <v>269.1</v>
      </c>
      <c r="O1142" s="77">
        <v>17.02</v>
      </c>
      <c r="P1142" s="77">
        <v>15.8108108108108</v>
      </c>
      <c r="Q1142" s="92">
        <v>0</v>
      </c>
      <c r="R1142" s="77">
        <v>0</v>
      </c>
      <c r="S1142" s="77">
        <v>1.97</v>
      </c>
      <c r="T1142" s="76">
        <f>STOCK[[#This Row],[Costo Unitario (USD)]]+STOCK[[#This Row],[Costo Envío (USD)]]+STOCK[[#This Row],[Comisión 10%]]</f>
        <v>20.2808108108108</v>
      </c>
      <c r="U1142" s="77">
        <f>STOCK[[#This Row],[Costo total]]*1.5</f>
        <v>30.4212162162162</v>
      </c>
      <c r="V1142" s="77">
        <v>25</v>
      </c>
      <c r="W1142" s="77">
        <f>STOCK[[#This Row],[Precio Final]]-STOCK[[#This Row],[Costo total]]</f>
        <v>4.7191891891892</v>
      </c>
      <c r="X1142" s="77">
        <f>STOCK[[#This Row],[Ganancia Unitaria]]*STOCK[[#This Row],[Salidas]]</f>
        <v>14.1575675675676</v>
      </c>
      <c r="Y1142" s="77" t="s">
        <v>2419</v>
      </c>
      <c r="AA1142" s="77">
        <f>STOCK[[#This Row],[Costo total]]*STOCK[[#This Row],[Entradas]]</f>
        <v>60.8424324324324</v>
      </c>
      <c r="AB1142" s="77">
        <f>STOCK[[#This Row],[Stock Actual]]*STOCK[[#This Row],[Costo total]]</f>
        <v>0</v>
      </c>
    </row>
    <row r="1143" s="76" customFormat="1" ht="50" customHeight="1" spans="1:28">
      <c r="A1143" s="76" t="s">
        <v>2420</v>
      </c>
      <c r="B1143" s="6"/>
      <c r="C1143" s="76" t="s">
        <v>30</v>
      </c>
      <c r="D1143" s="76" t="s">
        <v>778</v>
      </c>
      <c r="E1143" s="76" t="s">
        <v>2416</v>
      </c>
      <c r="F1143" s="76" t="s">
        <v>44</v>
      </c>
      <c r="G1143" s="76" t="s">
        <v>2392</v>
      </c>
      <c r="H1143" s="76">
        <f>STOCK[[#This Row],[Precio Final]]</f>
        <v>25</v>
      </c>
      <c r="I1143" s="76">
        <f>STOCK[[#This Row],[Precio Venta Ideal (x1.5)]]</f>
        <v>30.4212162162162</v>
      </c>
      <c r="J1143" s="91">
        <v>3</v>
      </c>
      <c r="K1143" s="91">
        <f>SUMIFS(VENTAS[Cantidad],VENTAS[Código del producto Vendido],STOCK[[#This Row],[Code]])</f>
        <v>0</v>
      </c>
      <c r="L1143" s="91">
        <f>STOCK[[#This Row],[Entradas]]-STOCK[[#This Row],[Salidas]]</f>
        <v>3</v>
      </c>
      <c r="M1143" s="76">
        <f>STOCK[[#This Row],[Precio Final]]*10%</f>
        <v>2.5</v>
      </c>
      <c r="N1143" s="76">
        <v>269.1</v>
      </c>
      <c r="O1143" s="76">
        <v>17.02</v>
      </c>
      <c r="P1143" s="76">
        <v>15.8108108108108</v>
      </c>
      <c r="Q1143" s="91">
        <v>0</v>
      </c>
      <c r="R1143" s="76">
        <v>0</v>
      </c>
      <c r="S1143" s="76">
        <v>1.97</v>
      </c>
      <c r="T1143" s="76">
        <f>STOCK[[#This Row],[Costo Unitario (USD)]]+STOCK[[#This Row],[Costo Envío (USD)]]+STOCK[[#This Row],[Comisión 10%]]</f>
        <v>20.2808108108108</v>
      </c>
      <c r="U1143" s="76">
        <f>STOCK[[#This Row],[Costo total]]*1.5</f>
        <v>30.4212162162162</v>
      </c>
      <c r="V1143" s="76">
        <v>25</v>
      </c>
      <c r="W1143" s="76">
        <f>STOCK[[#This Row],[Precio Final]]-STOCK[[#This Row],[Costo total]]</f>
        <v>4.7191891891892</v>
      </c>
      <c r="X1143" s="76">
        <f>STOCK[[#This Row],[Ganancia Unitaria]]*STOCK[[#This Row],[Salidas]]</f>
        <v>0</v>
      </c>
      <c r="Y1143" s="76" t="s">
        <v>2421</v>
      </c>
      <c r="AA1143" s="76">
        <f>STOCK[[#This Row],[Costo total]]*STOCK[[#This Row],[Entradas]]</f>
        <v>60.8424324324324</v>
      </c>
      <c r="AB1143" s="76">
        <f>STOCK[[#This Row],[Stock Actual]]*STOCK[[#This Row],[Costo total]]</f>
        <v>60.8424324324324</v>
      </c>
    </row>
    <row r="1144" s="77" customFormat="1" ht="50" customHeight="1" spans="1:28">
      <c r="A1144" s="77" t="s">
        <v>2422</v>
      </c>
      <c r="B1144" s="6"/>
      <c r="C1144" s="77" t="s">
        <v>30</v>
      </c>
      <c r="D1144" s="76" t="s">
        <v>1386</v>
      </c>
      <c r="E1144" s="77" t="s">
        <v>2423</v>
      </c>
      <c r="F1144" s="77" t="s">
        <v>38</v>
      </c>
      <c r="G1144" s="77" t="s">
        <v>2392</v>
      </c>
      <c r="H1144" s="77">
        <f>STOCK[[#This Row],[Precio Final]]</f>
        <v>23</v>
      </c>
      <c r="I1144" s="77">
        <f>STOCK[[#This Row],[Precio Venta Ideal (x1.5)]]</f>
        <v>20.6030023501763</v>
      </c>
      <c r="J1144" s="92">
        <v>2</v>
      </c>
      <c r="K1144" s="92">
        <f>SUMIFS(VENTAS[Cantidad],VENTAS[Código del producto Vendido],STOCK[[#This Row],[Code]])</f>
        <v>2</v>
      </c>
      <c r="L1144" s="92">
        <f>STOCK[[#This Row],[Entradas]]-STOCK[[#This Row],[Salidas]]</f>
        <v>0</v>
      </c>
      <c r="M1144" s="77">
        <f>STOCK[[#This Row],[Precio Final]]*10%</f>
        <v>2.3</v>
      </c>
      <c r="N1144" s="77">
        <v>161.1</v>
      </c>
      <c r="O1144" s="77">
        <v>17.02</v>
      </c>
      <c r="P1144" s="77">
        <v>9.46533490011751</v>
      </c>
      <c r="Q1144" s="92">
        <v>0</v>
      </c>
      <c r="R1144" s="77">
        <v>0</v>
      </c>
      <c r="S1144" s="77">
        <v>1.97</v>
      </c>
      <c r="T1144" s="76">
        <f>STOCK[[#This Row],[Costo Unitario (USD)]]+STOCK[[#This Row],[Costo Envío (USD)]]+STOCK[[#This Row],[Comisión 10%]]</f>
        <v>13.7353349001175</v>
      </c>
      <c r="U1144" s="77">
        <f>STOCK[[#This Row],[Costo total]]*1.5</f>
        <v>20.6030023501763</v>
      </c>
      <c r="V1144" s="77">
        <v>23</v>
      </c>
      <c r="W1144" s="77">
        <f>STOCK[[#This Row],[Precio Final]]-STOCK[[#This Row],[Costo total]]</f>
        <v>9.26466509988249</v>
      </c>
      <c r="X1144" s="77">
        <f>STOCK[[#This Row],[Ganancia Unitaria]]*STOCK[[#This Row],[Salidas]]</f>
        <v>18.529330199765</v>
      </c>
      <c r="Y1144" s="77" t="s">
        <v>2424</v>
      </c>
      <c r="AA1144" s="77">
        <f>STOCK[[#This Row],[Costo total]]*STOCK[[#This Row],[Entradas]]</f>
        <v>27.470669800235</v>
      </c>
      <c r="AB1144" s="77">
        <f>STOCK[[#This Row],[Stock Actual]]*STOCK[[#This Row],[Costo total]]</f>
        <v>0</v>
      </c>
    </row>
    <row r="1145" s="76" customFormat="1" ht="50" customHeight="1" spans="1:28">
      <c r="A1145" s="76" t="s">
        <v>2425</v>
      </c>
      <c r="B1145" s="6"/>
      <c r="C1145" s="76" t="s">
        <v>30</v>
      </c>
      <c r="D1145" s="76" t="s">
        <v>1386</v>
      </c>
      <c r="E1145" s="76" t="s">
        <v>2423</v>
      </c>
      <c r="F1145" s="76" t="s">
        <v>60</v>
      </c>
      <c r="G1145" s="76" t="s">
        <v>2392</v>
      </c>
      <c r="H1145" s="76">
        <f>STOCK[[#This Row],[Precio Final]]</f>
        <v>23</v>
      </c>
      <c r="I1145" s="76">
        <f>STOCK[[#This Row],[Precio Venta Ideal (x1.5)]]</f>
        <v>20.6030023501763</v>
      </c>
      <c r="J1145" s="91">
        <v>1</v>
      </c>
      <c r="K1145" s="91">
        <f>SUMIFS(VENTAS[Cantidad],VENTAS[Código del producto Vendido],STOCK[[#This Row],[Code]])</f>
        <v>0</v>
      </c>
      <c r="L1145" s="91">
        <f>STOCK[[#This Row],[Entradas]]-STOCK[[#This Row],[Salidas]]</f>
        <v>1</v>
      </c>
      <c r="M1145" s="76">
        <f>STOCK[[#This Row],[Precio Final]]*10%</f>
        <v>2.3</v>
      </c>
      <c r="N1145" s="76">
        <v>161.1</v>
      </c>
      <c r="O1145" s="76">
        <v>17.02</v>
      </c>
      <c r="P1145" s="76">
        <v>9.46533490011751</v>
      </c>
      <c r="Q1145" s="91">
        <v>0</v>
      </c>
      <c r="R1145" s="76">
        <v>0</v>
      </c>
      <c r="S1145" s="76">
        <v>1.97</v>
      </c>
      <c r="T1145" s="76">
        <f>STOCK[[#This Row],[Costo Unitario (USD)]]+STOCK[[#This Row],[Costo Envío (USD)]]+STOCK[[#This Row],[Comisión 10%]]</f>
        <v>13.7353349001175</v>
      </c>
      <c r="U1145" s="76">
        <f>STOCK[[#This Row],[Costo total]]*1.5</f>
        <v>20.6030023501763</v>
      </c>
      <c r="V1145" s="76">
        <v>23</v>
      </c>
      <c r="W1145" s="76">
        <f>STOCK[[#This Row],[Precio Final]]-STOCK[[#This Row],[Costo total]]</f>
        <v>9.26466509988249</v>
      </c>
      <c r="X1145" s="76">
        <f>STOCK[[#This Row],[Ganancia Unitaria]]*STOCK[[#This Row],[Salidas]]</f>
        <v>0</v>
      </c>
      <c r="Y1145" s="76" t="s">
        <v>2426</v>
      </c>
      <c r="AA1145" s="76">
        <f>STOCK[[#This Row],[Costo total]]*STOCK[[#This Row],[Entradas]]</f>
        <v>13.7353349001175</v>
      </c>
      <c r="AB1145" s="76">
        <f>STOCK[[#This Row],[Stock Actual]]*STOCK[[#This Row],[Costo total]]</f>
        <v>13.7353349001175</v>
      </c>
    </row>
    <row r="1146" s="77" customFormat="1" ht="50" customHeight="1" spans="1:28">
      <c r="A1146" s="77" t="s">
        <v>2427</v>
      </c>
      <c r="B1146" s="6"/>
      <c r="C1146" s="77" t="s">
        <v>30</v>
      </c>
      <c r="D1146" s="76" t="s">
        <v>1386</v>
      </c>
      <c r="E1146" s="77" t="s">
        <v>2423</v>
      </c>
      <c r="F1146" s="77" t="s">
        <v>47</v>
      </c>
      <c r="G1146" s="77" t="s">
        <v>2392</v>
      </c>
      <c r="H1146" s="77">
        <f>STOCK[[#This Row],[Precio Final]]</f>
        <v>23</v>
      </c>
      <c r="I1146" s="77">
        <f>STOCK[[#This Row],[Precio Venta Ideal (x1.5)]]</f>
        <v>20.6030023501763</v>
      </c>
      <c r="J1146" s="92">
        <v>2</v>
      </c>
      <c r="K1146" s="92">
        <f>SUMIFS(VENTAS[Cantidad],VENTAS[Código del producto Vendido],STOCK[[#This Row],[Code]])</f>
        <v>1</v>
      </c>
      <c r="L1146" s="92">
        <f>STOCK[[#This Row],[Entradas]]-STOCK[[#This Row],[Salidas]]</f>
        <v>1</v>
      </c>
      <c r="M1146" s="77">
        <f>STOCK[[#This Row],[Precio Final]]*10%</f>
        <v>2.3</v>
      </c>
      <c r="N1146" s="77">
        <v>161.1</v>
      </c>
      <c r="O1146" s="77">
        <v>17.02</v>
      </c>
      <c r="P1146" s="77">
        <v>9.46533490011751</v>
      </c>
      <c r="Q1146" s="92">
        <v>0</v>
      </c>
      <c r="R1146" s="77">
        <v>0</v>
      </c>
      <c r="S1146" s="77">
        <v>1.97</v>
      </c>
      <c r="T1146" s="76">
        <f>STOCK[[#This Row],[Costo Unitario (USD)]]+STOCK[[#This Row],[Costo Envío (USD)]]+STOCK[[#This Row],[Comisión 10%]]</f>
        <v>13.7353349001175</v>
      </c>
      <c r="U1146" s="77">
        <f>STOCK[[#This Row],[Costo total]]*1.5</f>
        <v>20.6030023501763</v>
      </c>
      <c r="V1146" s="77">
        <v>23</v>
      </c>
      <c r="W1146" s="77">
        <f>STOCK[[#This Row],[Precio Final]]-STOCK[[#This Row],[Costo total]]</f>
        <v>9.26466509988249</v>
      </c>
      <c r="X1146" s="77">
        <f>STOCK[[#This Row],[Ganancia Unitaria]]*STOCK[[#This Row],[Salidas]]</f>
        <v>9.26466509988249</v>
      </c>
      <c r="Y1146" s="77" t="s">
        <v>2428</v>
      </c>
      <c r="AA1146" s="77">
        <f>STOCK[[#This Row],[Costo total]]*STOCK[[#This Row],[Entradas]]</f>
        <v>27.470669800235</v>
      </c>
      <c r="AB1146" s="77">
        <f>STOCK[[#This Row],[Stock Actual]]*STOCK[[#This Row],[Costo total]]</f>
        <v>13.7353349001175</v>
      </c>
    </row>
    <row r="1147" s="76" customFormat="1" ht="50" customHeight="1" spans="1:28">
      <c r="A1147" s="76" t="s">
        <v>2429</v>
      </c>
      <c r="B1147" s="6"/>
      <c r="C1147" s="76" t="s">
        <v>30</v>
      </c>
      <c r="D1147" s="76" t="s">
        <v>1386</v>
      </c>
      <c r="E1147" s="76" t="s">
        <v>2423</v>
      </c>
      <c r="F1147" s="76" t="s">
        <v>44</v>
      </c>
      <c r="G1147" s="76" t="s">
        <v>2392</v>
      </c>
      <c r="H1147" s="76">
        <f>STOCK[[#This Row],[Precio Final]]</f>
        <v>23</v>
      </c>
      <c r="I1147" s="76">
        <f>STOCK[[#This Row],[Precio Venta Ideal (x1.5)]]</f>
        <v>20.6030023501763</v>
      </c>
      <c r="J1147" s="91">
        <v>2</v>
      </c>
      <c r="K1147" s="91">
        <f>SUMIFS(VENTAS[Cantidad],VENTAS[Código del producto Vendido],STOCK[[#This Row],[Code]])</f>
        <v>2</v>
      </c>
      <c r="L1147" s="91">
        <f>STOCK[[#This Row],[Entradas]]-STOCK[[#This Row],[Salidas]]</f>
        <v>0</v>
      </c>
      <c r="M1147" s="76">
        <f>STOCK[[#This Row],[Precio Final]]*10%</f>
        <v>2.3</v>
      </c>
      <c r="N1147" s="76">
        <v>161.1</v>
      </c>
      <c r="O1147" s="76">
        <v>17.02</v>
      </c>
      <c r="P1147" s="76">
        <v>9.46533490011751</v>
      </c>
      <c r="Q1147" s="91">
        <v>0</v>
      </c>
      <c r="R1147" s="76">
        <v>0</v>
      </c>
      <c r="S1147" s="76">
        <v>1.97</v>
      </c>
      <c r="T1147" s="76">
        <f>STOCK[[#This Row],[Costo Unitario (USD)]]+STOCK[[#This Row],[Costo Envío (USD)]]+STOCK[[#This Row],[Comisión 10%]]</f>
        <v>13.7353349001175</v>
      </c>
      <c r="U1147" s="76">
        <f>STOCK[[#This Row],[Costo total]]*1.5</f>
        <v>20.6030023501763</v>
      </c>
      <c r="V1147" s="76">
        <v>23</v>
      </c>
      <c r="W1147" s="76">
        <f>STOCK[[#This Row],[Precio Final]]-STOCK[[#This Row],[Costo total]]</f>
        <v>9.26466509988249</v>
      </c>
      <c r="X1147" s="76">
        <f>STOCK[[#This Row],[Ganancia Unitaria]]*STOCK[[#This Row],[Salidas]]</f>
        <v>18.529330199765</v>
      </c>
      <c r="Y1147" s="76" t="s">
        <v>2430</v>
      </c>
      <c r="AA1147" s="76">
        <f>STOCK[[#This Row],[Costo total]]*STOCK[[#This Row],[Entradas]]</f>
        <v>27.470669800235</v>
      </c>
      <c r="AB1147" s="76">
        <f>STOCK[[#This Row],[Stock Actual]]*STOCK[[#This Row],[Costo total]]</f>
        <v>0</v>
      </c>
    </row>
    <row r="1148" s="77" customFormat="1" ht="50" customHeight="1" spans="1:28">
      <c r="A1148" s="77" t="s">
        <v>2431</v>
      </c>
      <c r="B1148" s="6"/>
      <c r="C1148" s="77" t="s">
        <v>30</v>
      </c>
      <c r="D1148" s="76" t="s">
        <v>1386</v>
      </c>
      <c r="E1148" s="77" t="s">
        <v>2423</v>
      </c>
      <c r="F1148" s="77" t="s">
        <v>40</v>
      </c>
      <c r="G1148" s="77" t="s">
        <v>2392</v>
      </c>
      <c r="H1148" s="77">
        <f>STOCK[[#This Row],[Precio Final]]</f>
        <v>23</v>
      </c>
      <c r="I1148" s="77">
        <f>STOCK[[#This Row],[Precio Venta Ideal (x1.5)]]</f>
        <v>20.6030023501763</v>
      </c>
      <c r="J1148" s="92">
        <v>2</v>
      </c>
      <c r="K1148" s="92">
        <f>SUMIFS(VENTAS[Cantidad],VENTAS[Código del producto Vendido],STOCK[[#This Row],[Code]])</f>
        <v>0</v>
      </c>
      <c r="L1148" s="92">
        <f>STOCK[[#This Row],[Entradas]]-STOCK[[#This Row],[Salidas]]</f>
        <v>2</v>
      </c>
      <c r="M1148" s="77">
        <f>STOCK[[#This Row],[Precio Final]]*10%</f>
        <v>2.3</v>
      </c>
      <c r="N1148" s="77">
        <v>161.1</v>
      </c>
      <c r="O1148" s="77">
        <v>17.02</v>
      </c>
      <c r="P1148" s="77">
        <v>9.46533490011751</v>
      </c>
      <c r="Q1148" s="92">
        <v>0</v>
      </c>
      <c r="R1148" s="77">
        <v>0</v>
      </c>
      <c r="S1148" s="77">
        <v>1.97</v>
      </c>
      <c r="T1148" s="76">
        <f>STOCK[[#This Row],[Costo Unitario (USD)]]+STOCK[[#This Row],[Costo Envío (USD)]]+STOCK[[#This Row],[Comisión 10%]]</f>
        <v>13.7353349001175</v>
      </c>
      <c r="U1148" s="77">
        <f>STOCK[[#This Row],[Costo total]]*1.5</f>
        <v>20.6030023501763</v>
      </c>
      <c r="V1148" s="77">
        <v>23</v>
      </c>
      <c r="W1148" s="77">
        <f>STOCK[[#This Row],[Precio Final]]-STOCK[[#This Row],[Costo total]]</f>
        <v>9.26466509988249</v>
      </c>
      <c r="X1148" s="77">
        <f>STOCK[[#This Row],[Ganancia Unitaria]]*STOCK[[#This Row],[Salidas]]</f>
        <v>0</v>
      </c>
      <c r="Y1148" s="77" t="s">
        <v>2432</v>
      </c>
      <c r="AA1148" s="77">
        <f>STOCK[[#This Row],[Costo total]]*STOCK[[#This Row],[Entradas]]</f>
        <v>27.470669800235</v>
      </c>
      <c r="AB1148" s="77">
        <f>STOCK[[#This Row],[Stock Actual]]*STOCK[[#This Row],[Costo total]]</f>
        <v>27.470669800235</v>
      </c>
    </row>
    <row r="1149" s="76" customFormat="1" ht="50" customHeight="1" spans="1:28">
      <c r="A1149" s="76" t="s">
        <v>2433</v>
      </c>
      <c r="B1149" s="6"/>
      <c r="C1149" s="76" t="s">
        <v>30</v>
      </c>
      <c r="D1149" s="76" t="s">
        <v>1386</v>
      </c>
      <c r="E1149" s="76" t="s">
        <v>2434</v>
      </c>
      <c r="F1149" s="76" t="s">
        <v>47</v>
      </c>
      <c r="G1149" s="76" t="s">
        <v>2392</v>
      </c>
      <c r="H1149" s="76">
        <f>STOCK[[#This Row],[Precio Final]]</f>
        <v>35</v>
      </c>
      <c r="I1149" s="76">
        <f>STOCK[[#This Row],[Precio Venta Ideal (x1.5)]]</f>
        <v>29.5416627497062</v>
      </c>
      <c r="J1149" s="91">
        <v>3</v>
      </c>
      <c r="K1149" s="91">
        <f>SUMIFS(VENTAS[Cantidad],VENTAS[Código del producto Vendido],STOCK[[#This Row],[Code]])</f>
        <v>1</v>
      </c>
      <c r="L1149" s="91">
        <f>STOCK[[#This Row],[Entradas]]-STOCK[[#This Row],[Salidas]]</f>
        <v>2</v>
      </c>
      <c r="M1149" s="76">
        <f>STOCK[[#This Row],[Precio Final]]*10%</f>
        <v>3.5</v>
      </c>
      <c r="N1149" s="76">
        <v>242.1</v>
      </c>
      <c r="O1149" s="76">
        <v>17.02</v>
      </c>
      <c r="P1149" s="76">
        <v>14.2244418331375</v>
      </c>
      <c r="Q1149" s="91">
        <v>0</v>
      </c>
      <c r="R1149" s="76">
        <v>0</v>
      </c>
      <c r="S1149" s="76">
        <v>1.97</v>
      </c>
      <c r="T1149" s="76">
        <f>STOCK[[#This Row],[Costo Unitario (USD)]]+STOCK[[#This Row],[Costo Envío (USD)]]+STOCK[[#This Row],[Comisión 10%]]</f>
        <v>19.6944418331375</v>
      </c>
      <c r="U1149" s="76">
        <f>STOCK[[#This Row],[Costo total]]*1.5</f>
        <v>29.5416627497062</v>
      </c>
      <c r="V1149" s="76">
        <v>35</v>
      </c>
      <c r="W1149" s="76">
        <f>STOCK[[#This Row],[Precio Final]]-STOCK[[#This Row],[Costo total]]</f>
        <v>15.3055581668625</v>
      </c>
      <c r="X1149" s="76">
        <f>STOCK[[#This Row],[Ganancia Unitaria]]*STOCK[[#This Row],[Salidas]]</f>
        <v>15.3055581668625</v>
      </c>
      <c r="Y1149" s="76" t="s">
        <v>2435</v>
      </c>
      <c r="AA1149" s="76">
        <f>STOCK[[#This Row],[Costo total]]*STOCK[[#This Row],[Entradas]]</f>
        <v>59.0833254994125</v>
      </c>
      <c r="AB1149" s="76">
        <f>STOCK[[#This Row],[Stock Actual]]*STOCK[[#This Row],[Costo total]]</f>
        <v>39.388883666275</v>
      </c>
    </row>
    <row r="1150" s="77" customFormat="1" ht="50" customHeight="1" spans="1:28">
      <c r="A1150" s="77" t="s">
        <v>2436</v>
      </c>
      <c r="B1150" s="6"/>
      <c r="C1150" s="77" t="s">
        <v>30</v>
      </c>
      <c r="D1150" s="76" t="s">
        <v>1386</v>
      </c>
      <c r="E1150" s="77" t="s">
        <v>2434</v>
      </c>
      <c r="F1150" s="77" t="s">
        <v>60</v>
      </c>
      <c r="G1150" s="77" t="s">
        <v>2392</v>
      </c>
      <c r="H1150" s="77">
        <f>STOCK[[#This Row],[Precio Final]]</f>
        <v>35</v>
      </c>
      <c r="I1150" s="77">
        <f>STOCK[[#This Row],[Precio Venta Ideal (x1.5)]]</f>
        <v>29.5416627497062</v>
      </c>
      <c r="J1150" s="92">
        <v>3</v>
      </c>
      <c r="K1150" s="92">
        <f>SUMIFS(VENTAS[Cantidad],VENTAS[Código del producto Vendido],STOCK[[#This Row],[Code]])</f>
        <v>0</v>
      </c>
      <c r="L1150" s="92">
        <f>STOCK[[#This Row],[Entradas]]-STOCK[[#This Row],[Salidas]]</f>
        <v>3</v>
      </c>
      <c r="M1150" s="77">
        <f>STOCK[[#This Row],[Precio Final]]*10%</f>
        <v>3.5</v>
      </c>
      <c r="N1150" s="77">
        <v>242.1</v>
      </c>
      <c r="O1150" s="77">
        <v>17.02</v>
      </c>
      <c r="P1150" s="77">
        <v>14.2244418331375</v>
      </c>
      <c r="Q1150" s="92">
        <v>0</v>
      </c>
      <c r="R1150" s="77">
        <v>0</v>
      </c>
      <c r="S1150" s="77">
        <v>1.97</v>
      </c>
      <c r="T1150" s="76">
        <f>STOCK[[#This Row],[Costo Unitario (USD)]]+STOCK[[#This Row],[Costo Envío (USD)]]+STOCK[[#This Row],[Comisión 10%]]</f>
        <v>19.6944418331375</v>
      </c>
      <c r="U1150" s="77">
        <f>STOCK[[#This Row],[Costo total]]*1.5</f>
        <v>29.5416627497062</v>
      </c>
      <c r="V1150" s="77">
        <v>35</v>
      </c>
      <c r="W1150" s="77">
        <f>STOCK[[#This Row],[Precio Final]]-STOCK[[#This Row],[Costo total]]</f>
        <v>15.3055581668625</v>
      </c>
      <c r="X1150" s="77">
        <f>STOCK[[#This Row],[Ganancia Unitaria]]*STOCK[[#This Row],[Salidas]]</f>
        <v>0</v>
      </c>
      <c r="Y1150" s="77" t="s">
        <v>2437</v>
      </c>
      <c r="AA1150" s="77">
        <f>STOCK[[#This Row],[Costo total]]*STOCK[[#This Row],[Entradas]]</f>
        <v>59.0833254994125</v>
      </c>
      <c r="AB1150" s="77">
        <f>STOCK[[#This Row],[Stock Actual]]*STOCK[[#This Row],[Costo total]]</f>
        <v>59.0833254994125</v>
      </c>
    </row>
    <row r="1151" s="76" customFormat="1" ht="50" customHeight="1" spans="1:28">
      <c r="A1151" s="76" t="s">
        <v>2438</v>
      </c>
      <c r="B1151" s="6"/>
      <c r="C1151" s="76" t="s">
        <v>30</v>
      </c>
      <c r="D1151" s="76" t="s">
        <v>1386</v>
      </c>
      <c r="E1151" s="76" t="s">
        <v>2439</v>
      </c>
      <c r="F1151" s="76" t="s">
        <v>47</v>
      </c>
      <c r="G1151" s="76" t="s">
        <v>2392</v>
      </c>
      <c r="H1151" s="76">
        <f>STOCK[[#This Row],[Precio Final]]</f>
        <v>35</v>
      </c>
      <c r="I1151" s="76">
        <f>STOCK[[#This Row],[Precio Venta Ideal (x1.5)]]</f>
        <v>28.1730317273796</v>
      </c>
      <c r="J1151" s="91">
        <v>2</v>
      </c>
      <c r="K1151" s="91">
        <f>SUMIFS(VENTAS[Cantidad],VENTAS[Código del producto Vendido],STOCK[[#This Row],[Code]])</f>
        <v>1</v>
      </c>
      <c r="L1151" s="91">
        <f>STOCK[[#This Row],[Entradas]]-STOCK[[#This Row],[Salidas]]</f>
        <v>1</v>
      </c>
      <c r="M1151" s="76">
        <f>STOCK[[#This Row],[Precio Final]]*10%</f>
        <v>3.5</v>
      </c>
      <c r="N1151" s="76">
        <v>260.1</v>
      </c>
      <c r="O1151" s="76">
        <v>17.02</v>
      </c>
      <c r="P1151" s="76">
        <v>15.2820211515864</v>
      </c>
      <c r="Q1151" s="91">
        <v>0</v>
      </c>
      <c r="R1151" s="76">
        <v>0</v>
      </c>
      <c r="S1151" s="76">
        <v>0</v>
      </c>
      <c r="T1151" s="76">
        <f>STOCK[[#This Row],[Costo Unitario (USD)]]+STOCK[[#This Row],[Costo Envío (USD)]]+STOCK[[#This Row],[Comisión 10%]]</f>
        <v>18.7820211515864</v>
      </c>
      <c r="U1151" s="76">
        <f>STOCK[[#This Row],[Costo total]]*1.5</f>
        <v>28.1730317273796</v>
      </c>
      <c r="V1151" s="76">
        <v>35</v>
      </c>
      <c r="W1151" s="76">
        <f>STOCK[[#This Row],[Precio Final]]-STOCK[[#This Row],[Costo total]]</f>
        <v>16.2179788484136</v>
      </c>
      <c r="X1151" s="76">
        <f>STOCK[[#This Row],[Ganancia Unitaria]]*STOCK[[#This Row],[Salidas]]</f>
        <v>16.2179788484136</v>
      </c>
      <c r="Y1151" s="76" t="s">
        <v>2440</v>
      </c>
      <c r="AA1151" s="76">
        <f>STOCK[[#This Row],[Costo total]]*STOCK[[#This Row],[Entradas]]</f>
        <v>37.5640423031728</v>
      </c>
      <c r="AB1151" s="76">
        <f>STOCK[[#This Row],[Stock Actual]]*STOCK[[#This Row],[Costo total]]</f>
        <v>18.7820211515864</v>
      </c>
    </row>
    <row r="1152" s="77" customFormat="1" ht="50" customHeight="1" spans="1:28">
      <c r="A1152" s="77" t="s">
        <v>2441</v>
      </c>
      <c r="B1152" s="6"/>
      <c r="C1152" s="77" t="s">
        <v>30</v>
      </c>
      <c r="D1152" s="76" t="s">
        <v>1386</v>
      </c>
      <c r="E1152" s="76" t="s">
        <v>2439</v>
      </c>
      <c r="F1152" s="77" t="s">
        <v>40</v>
      </c>
      <c r="G1152" s="77" t="s">
        <v>2392</v>
      </c>
      <c r="H1152" s="77">
        <f>STOCK[[#This Row],[Precio Final]]</f>
        <v>35</v>
      </c>
      <c r="I1152" s="77">
        <f>STOCK[[#This Row],[Precio Venta Ideal (x1.5)]]</f>
        <v>28.1730317273796</v>
      </c>
      <c r="J1152" s="92">
        <v>2</v>
      </c>
      <c r="K1152" s="92">
        <f>SUMIFS(VENTAS[Cantidad],VENTAS[Código del producto Vendido],STOCK[[#This Row],[Code]])</f>
        <v>0</v>
      </c>
      <c r="L1152" s="92">
        <f>STOCK[[#This Row],[Entradas]]-STOCK[[#This Row],[Salidas]]</f>
        <v>2</v>
      </c>
      <c r="M1152" s="77">
        <f>STOCK[[#This Row],[Precio Final]]*10%</f>
        <v>3.5</v>
      </c>
      <c r="N1152" s="77">
        <v>260.1</v>
      </c>
      <c r="O1152" s="77">
        <v>17.02</v>
      </c>
      <c r="P1152" s="77">
        <v>15.2820211515864</v>
      </c>
      <c r="Q1152" s="92">
        <v>0</v>
      </c>
      <c r="R1152" s="77">
        <v>0</v>
      </c>
      <c r="S1152" s="77">
        <v>0</v>
      </c>
      <c r="T1152" s="76">
        <f>STOCK[[#This Row],[Costo Unitario (USD)]]+STOCK[[#This Row],[Costo Envío (USD)]]+STOCK[[#This Row],[Comisión 10%]]</f>
        <v>18.7820211515864</v>
      </c>
      <c r="U1152" s="77">
        <f>STOCK[[#This Row],[Costo total]]*1.5</f>
        <v>28.1730317273796</v>
      </c>
      <c r="V1152" s="77">
        <v>35</v>
      </c>
      <c r="W1152" s="77">
        <f>STOCK[[#This Row],[Precio Final]]-STOCK[[#This Row],[Costo total]]</f>
        <v>16.2179788484136</v>
      </c>
      <c r="X1152" s="77">
        <f>STOCK[[#This Row],[Ganancia Unitaria]]*STOCK[[#This Row],[Salidas]]</f>
        <v>0</v>
      </c>
      <c r="Y1152" s="77" t="s">
        <v>2442</v>
      </c>
      <c r="AA1152" s="77">
        <f>STOCK[[#This Row],[Costo total]]*STOCK[[#This Row],[Entradas]]</f>
        <v>37.5640423031728</v>
      </c>
      <c r="AB1152" s="77">
        <f>STOCK[[#This Row],[Stock Actual]]*STOCK[[#This Row],[Costo total]]</f>
        <v>37.5640423031728</v>
      </c>
    </row>
    <row r="1153" s="76" customFormat="1" ht="50" customHeight="1" spans="1:28">
      <c r="A1153" s="76" t="s">
        <v>2443</v>
      </c>
      <c r="B1153" s="6"/>
      <c r="C1153" s="76" t="s">
        <v>30</v>
      </c>
      <c r="D1153" s="76" t="s">
        <v>1386</v>
      </c>
      <c r="E1153" s="76" t="s">
        <v>2439</v>
      </c>
      <c r="F1153" s="76" t="s">
        <v>44</v>
      </c>
      <c r="G1153" s="76" t="s">
        <v>2392</v>
      </c>
      <c r="H1153" s="76">
        <f>STOCK[[#This Row],[Precio Final]]</f>
        <v>35</v>
      </c>
      <c r="I1153" s="76">
        <f>STOCK[[#This Row],[Precio Venta Ideal (x1.5)]]</f>
        <v>28.1730317273796</v>
      </c>
      <c r="J1153" s="91">
        <v>2</v>
      </c>
      <c r="K1153" s="91">
        <f>SUMIFS(VENTAS[Cantidad],VENTAS[Código del producto Vendido],STOCK[[#This Row],[Code]])</f>
        <v>0</v>
      </c>
      <c r="L1153" s="91">
        <f>STOCK[[#This Row],[Entradas]]-STOCK[[#This Row],[Salidas]]</f>
        <v>2</v>
      </c>
      <c r="M1153" s="76">
        <f>STOCK[[#This Row],[Precio Final]]*10%</f>
        <v>3.5</v>
      </c>
      <c r="N1153" s="76">
        <v>260.1</v>
      </c>
      <c r="O1153" s="76">
        <v>17.02</v>
      </c>
      <c r="P1153" s="76">
        <v>15.2820211515864</v>
      </c>
      <c r="Q1153" s="91">
        <v>0</v>
      </c>
      <c r="R1153" s="76">
        <v>0</v>
      </c>
      <c r="S1153" s="76">
        <v>0</v>
      </c>
      <c r="T1153" s="76">
        <f>STOCK[[#This Row],[Costo Unitario (USD)]]+STOCK[[#This Row],[Costo Envío (USD)]]+STOCK[[#This Row],[Comisión 10%]]</f>
        <v>18.7820211515864</v>
      </c>
      <c r="U1153" s="76">
        <f>STOCK[[#This Row],[Costo total]]*1.5</f>
        <v>28.1730317273796</v>
      </c>
      <c r="V1153" s="76">
        <v>35</v>
      </c>
      <c r="W1153" s="76">
        <f>STOCK[[#This Row],[Precio Final]]-STOCK[[#This Row],[Costo total]]</f>
        <v>16.2179788484136</v>
      </c>
      <c r="X1153" s="76">
        <f>STOCK[[#This Row],[Ganancia Unitaria]]*STOCK[[#This Row],[Salidas]]</f>
        <v>0</v>
      </c>
      <c r="Y1153" s="76" t="s">
        <v>2444</v>
      </c>
      <c r="AA1153" s="76">
        <f>STOCK[[#This Row],[Costo total]]*STOCK[[#This Row],[Entradas]]</f>
        <v>37.5640423031728</v>
      </c>
      <c r="AB1153" s="76">
        <f>STOCK[[#This Row],[Stock Actual]]*STOCK[[#This Row],[Costo total]]</f>
        <v>37.5640423031728</v>
      </c>
    </row>
    <row r="1154" s="77" customFormat="1" ht="50" customHeight="1" spans="1:29">
      <c r="A1154" s="76" t="s">
        <v>2445</v>
      </c>
      <c r="B1154" s="6"/>
      <c r="C1154" s="76" t="s">
        <v>30</v>
      </c>
      <c r="D1154" s="76" t="s">
        <v>1480</v>
      </c>
      <c r="E1154" s="77" t="s">
        <v>2446</v>
      </c>
      <c r="F1154" s="76" t="s">
        <v>2447</v>
      </c>
      <c r="G1154" s="76" t="s">
        <v>2448</v>
      </c>
      <c r="H1154" s="76">
        <f>STOCK[[#This Row],[Precio Final]]</f>
        <v>35</v>
      </c>
      <c r="I1154" s="76">
        <f>STOCK[[#This Row],[Precio Venta Ideal (x1.5)]]</f>
        <v>34.455</v>
      </c>
      <c r="J1154" s="91">
        <v>3</v>
      </c>
      <c r="K1154" s="91">
        <f>SUMIFS(VENTAS[Cantidad],VENTAS[Código del producto Vendido],STOCK[[#This Row],[Code]])</f>
        <v>2</v>
      </c>
      <c r="L1154" s="91">
        <f>STOCK[[#This Row],[Entradas]]-STOCK[[#This Row],[Salidas]]</f>
        <v>1</v>
      </c>
      <c r="M1154" s="76">
        <f>STOCK[[#This Row],[Precio Final]]*10%</f>
        <v>3.5</v>
      </c>
      <c r="N1154" s="76">
        <v>0</v>
      </c>
      <c r="O1154" s="76">
        <v>0</v>
      </c>
      <c r="P1154" s="76">
        <v>17.5</v>
      </c>
      <c r="Q1154" s="91">
        <v>730</v>
      </c>
      <c r="R1154" s="76">
        <v>7.81</v>
      </c>
      <c r="S1154" s="76">
        <v>1.97</v>
      </c>
      <c r="T1154" s="76">
        <f>STOCK[[#This Row],[Costo Unitario (USD)]]+STOCK[[#This Row],[Costo Envío (USD)]]+STOCK[[#This Row],[Comisión 10%]]</f>
        <v>22.97</v>
      </c>
      <c r="U1154" s="76">
        <f>STOCK[[#This Row],[Costo total]]*1.5</f>
        <v>34.455</v>
      </c>
      <c r="V1154" s="76">
        <v>35</v>
      </c>
      <c r="W1154" s="76">
        <f>STOCK[[#This Row],[Precio Final]]-STOCK[[#This Row],[Costo total]]</f>
        <v>12.03</v>
      </c>
      <c r="X1154" s="76">
        <f>STOCK[[#This Row],[Ganancia Unitaria]]*STOCK[[#This Row],[Salidas]]</f>
        <v>24.06</v>
      </c>
      <c r="Y1154" s="76" t="s">
        <v>2449</v>
      </c>
      <c r="Z1154" s="76"/>
      <c r="AA1154" s="76">
        <f>STOCK[[#This Row],[Costo total]]*STOCK[[#This Row],[Entradas]]</f>
        <v>68.91</v>
      </c>
      <c r="AB1154" s="76">
        <f>STOCK[[#This Row],[Stock Actual]]*STOCK[[#This Row],[Costo total]]</f>
        <v>22.97</v>
      </c>
      <c r="AC1154" s="76"/>
    </row>
    <row r="1155" s="76" customFormat="1" ht="50" customHeight="1" spans="1:28">
      <c r="A1155" s="76" t="s">
        <v>2450</v>
      </c>
      <c r="B1155" s="6"/>
      <c r="C1155" s="76" t="s">
        <v>30</v>
      </c>
      <c r="D1155" s="76" t="s">
        <v>1480</v>
      </c>
      <c r="E1155" s="77" t="s">
        <v>2446</v>
      </c>
      <c r="F1155" s="76" t="s">
        <v>2451</v>
      </c>
      <c r="G1155" s="76" t="s">
        <v>2448</v>
      </c>
      <c r="H1155" s="76">
        <f>STOCK[[#This Row],[Precio Final]]</f>
        <v>36</v>
      </c>
      <c r="I1155" s="76">
        <f>STOCK[[#This Row],[Precio Venta Ideal (x1.5)]]</f>
        <v>34.605</v>
      </c>
      <c r="J1155" s="91">
        <v>3</v>
      </c>
      <c r="K1155" s="91">
        <f>SUMIFS(VENTAS[Cantidad],VENTAS[Código del producto Vendido],STOCK[[#This Row],[Code]])</f>
        <v>3</v>
      </c>
      <c r="L1155" s="91">
        <f>STOCK[[#This Row],[Entradas]]-STOCK[[#This Row],[Salidas]]</f>
        <v>0</v>
      </c>
      <c r="M1155" s="76">
        <f>STOCK[[#This Row],[Precio Final]]*10%</f>
        <v>3.6</v>
      </c>
      <c r="N1155" s="76">
        <v>0</v>
      </c>
      <c r="O1155" s="76">
        <v>0</v>
      </c>
      <c r="P1155" s="76">
        <v>17.5</v>
      </c>
      <c r="Q1155" s="91">
        <v>730</v>
      </c>
      <c r="R1155" s="76">
        <v>7.81</v>
      </c>
      <c r="S1155" s="76">
        <v>1.97</v>
      </c>
      <c r="T1155" s="76">
        <f>STOCK[[#This Row],[Costo Unitario (USD)]]+STOCK[[#This Row],[Costo Envío (USD)]]+STOCK[[#This Row],[Comisión 10%]]</f>
        <v>23.07</v>
      </c>
      <c r="U1155" s="76">
        <f>STOCK[[#This Row],[Costo total]]*1.5</f>
        <v>34.605</v>
      </c>
      <c r="V1155" s="76">
        <v>36</v>
      </c>
      <c r="W1155" s="76">
        <f>STOCK[[#This Row],[Precio Final]]-STOCK[[#This Row],[Costo total]]</f>
        <v>12.93</v>
      </c>
      <c r="X1155" s="76">
        <f>STOCK[[#This Row],[Ganancia Unitaria]]*STOCK[[#This Row],[Salidas]]</f>
        <v>38.79</v>
      </c>
      <c r="Y1155" s="76" t="s">
        <v>2449</v>
      </c>
      <c r="AA1155" s="76">
        <f>STOCK[[#This Row],[Costo total]]*STOCK[[#This Row],[Entradas]]</f>
        <v>69.21</v>
      </c>
      <c r="AB1155" s="76">
        <f>STOCK[[#This Row],[Stock Actual]]*STOCK[[#This Row],[Costo total]]</f>
        <v>0</v>
      </c>
    </row>
    <row r="1156" s="76" customFormat="1" ht="50" customHeight="1" spans="1:29">
      <c r="A1156" s="77" t="s">
        <v>2452</v>
      </c>
      <c r="B1156" s="6"/>
      <c r="C1156" s="77" t="s">
        <v>30</v>
      </c>
      <c r="D1156" s="76" t="s">
        <v>1480</v>
      </c>
      <c r="E1156" s="77" t="s">
        <v>2453</v>
      </c>
      <c r="F1156" s="77" t="s">
        <v>539</v>
      </c>
      <c r="G1156" s="77" t="s">
        <v>2448</v>
      </c>
      <c r="H1156" s="77">
        <f>STOCK[[#This Row],[Precio Final]]</f>
        <v>35</v>
      </c>
      <c r="I1156" s="77">
        <f>STOCK[[#This Row],[Precio Venta Ideal (x1.5)]]</f>
        <v>38.205</v>
      </c>
      <c r="J1156" s="92">
        <v>3</v>
      </c>
      <c r="K1156" s="92">
        <f>SUMIFS(VENTAS[Cantidad],VENTAS[Código del producto Vendido],STOCK[[#This Row],[Code]])</f>
        <v>3</v>
      </c>
      <c r="L1156" s="92">
        <f>STOCK[[#This Row],[Entradas]]-STOCK[[#This Row],[Salidas]]</f>
        <v>0</v>
      </c>
      <c r="M1156" s="77">
        <f>STOCK[[#This Row],[Precio Final]]*10%</f>
        <v>3.5</v>
      </c>
      <c r="N1156" s="77">
        <v>0</v>
      </c>
      <c r="O1156" s="77">
        <v>0</v>
      </c>
      <c r="P1156" s="77">
        <v>20</v>
      </c>
      <c r="Q1156" s="92">
        <v>540</v>
      </c>
      <c r="R1156" s="77">
        <v>7.81</v>
      </c>
      <c r="S1156" s="76">
        <v>1.97</v>
      </c>
      <c r="T1156" s="76">
        <f>STOCK[[#This Row],[Costo Unitario (USD)]]+STOCK[[#This Row],[Costo Envío (USD)]]+STOCK[[#This Row],[Comisión 10%]]</f>
        <v>25.47</v>
      </c>
      <c r="U1156" s="77">
        <f>STOCK[[#This Row],[Costo total]]*1.5</f>
        <v>38.205</v>
      </c>
      <c r="V1156" s="77">
        <v>35</v>
      </c>
      <c r="W1156" s="77">
        <f>STOCK[[#This Row],[Precio Final]]-STOCK[[#This Row],[Costo total]]</f>
        <v>9.53</v>
      </c>
      <c r="X1156" s="77">
        <f>STOCK[[#This Row],[Ganancia Unitaria]]*STOCK[[#This Row],[Salidas]]</f>
        <v>28.59</v>
      </c>
      <c r="Y1156" s="77" t="s">
        <v>2449</v>
      </c>
      <c r="Z1156" s="77"/>
      <c r="AA1156" s="77">
        <f>STOCK[[#This Row],[Costo total]]*STOCK[[#This Row],[Entradas]]</f>
        <v>76.41</v>
      </c>
      <c r="AB1156" s="77">
        <f>STOCK[[#This Row],[Stock Actual]]*STOCK[[#This Row],[Costo total]]</f>
        <v>0</v>
      </c>
      <c r="AC1156" s="77"/>
    </row>
    <row r="1157" s="77" customFormat="1" ht="50" customHeight="1" spans="1:29">
      <c r="A1157" s="76" t="s">
        <v>2454</v>
      </c>
      <c r="B1157" s="6"/>
      <c r="C1157" s="76" t="s">
        <v>30</v>
      </c>
      <c r="D1157" s="76" t="s">
        <v>1480</v>
      </c>
      <c r="E1157" s="76" t="s">
        <v>2453</v>
      </c>
      <c r="F1157" s="76" t="s">
        <v>764</v>
      </c>
      <c r="G1157" s="76" t="s">
        <v>2448</v>
      </c>
      <c r="H1157" s="76">
        <f>STOCK[[#This Row],[Precio Final]]</f>
        <v>35</v>
      </c>
      <c r="I1157" s="76">
        <f>STOCK[[#This Row],[Precio Venta Ideal (x1.5)]]</f>
        <v>38.205</v>
      </c>
      <c r="J1157" s="91">
        <v>2</v>
      </c>
      <c r="K1157" s="91">
        <f>SUMIFS(VENTAS[Cantidad],VENTAS[Código del producto Vendido],STOCK[[#This Row],[Code]])</f>
        <v>2</v>
      </c>
      <c r="L1157" s="91">
        <f>STOCK[[#This Row],[Entradas]]-STOCK[[#This Row],[Salidas]]</f>
        <v>0</v>
      </c>
      <c r="M1157" s="76">
        <f>STOCK[[#This Row],[Precio Final]]*10%</f>
        <v>3.5</v>
      </c>
      <c r="N1157" s="76">
        <v>0</v>
      </c>
      <c r="O1157" s="76">
        <v>0</v>
      </c>
      <c r="P1157" s="76">
        <v>20</v>
      </c>
      <c r="Q1157" s="91">
        <v>540</v>
      </c>
      <c r="R1157" s="76">
        <v>7.81</v>
      </c>
      <c r="S1157" s="76">
        <v>1.97</v>
      </c>
      <c r="T1157" s="76">
        <f>STOCK[[#This Row],[Costo Unitario (USD)]]+STOCK[[#This Row],[Costo Envío (USD)]]+STOCK[[#This Row],[Comisión 10%]]</f>
        <v>25.47</v>
      </c>
      <c r="U1157" s="76">
        <f>STOCK[[#This Row],[Costo total]]*1.5</f>
        <v>38.205</v>
      </c>
      <c r="V1157" s="76">
        <v>35</v>
      </c>
      <c r="W1157" s="76">
        <f>STOCK[[#This Row],[Precio Final]]-STOCK[[#This Row],[Costo total]]</f>
        <v>9.53</v>
      </c>
      <c r="X1157" s="76">
        <f>STOCK[[#This Row],[Ganancia Unitaria]]*STOCK[[#This Row],[Salidas]]</f>
        <v>19.06</v>
      </c>
      <c r="Y1157" s="76" t="s">
        <v>2449</v>
      </c>
      <c r="Z1157" s="76"/>
      <c r="AA1157" s="76">
        <f>STOCK[[#This Row],[Costo total]]*STOCK[[#This Row],[Entradas]]</f>
        <v>50.94</v>
      </c>
      <c r="AB1157" s="76">
        <f>STOCK[[#This Row],[Stock Actual]]*STOCK[[#This Row],[Costo total]]</f>
        <v>0</v>
      </c>
      <c r="AC1157" s="76"/>
    </row>
    <row r="1158" s="76" customFormat="1" ht="50" customHeight="1" spans="1:29">
      <c r="A1158" s="77" t="s">
        <v>2455</v>
      </c>
      <c r="B1158" s="6"/>
      <c r="C1158" s="77" t="s">
        <v>30</v>
      </c>
      <c r="D1158" s="76" t="s">
        <v>1480</v>
      </c>
      <c r="E1158" s="77" t="s">
        <v>2453</v>
      </c>
      <c r="F1158" s="77" t="s">
        <v>516</v>
      </c>
      <c r="G1158" s="77" t="s">
        <v>2448</v>
      </c>
      <c r="H1158" s="77">
        <f>STOCK[[#This Row],[Precio Final]]</f>
        <v>35</v>
      </c>
      <c r="I1158" s="77">
        <f>STOCK[[#This Row],[Precio Venta Ideal (x1.5)]]</f>
        <v>38.205</v>
      </c>
      <c r="J1158" s="92">
        <v>2</v>
      </c>
      <c r="K1158" s="92">
        <f>SUMIFS(VENTAS[Cantidad],VENTAS[Código del producto Vendido],STOCK[[#This Row],[Code]])</f>
        <v>2</v>
      </c>
      <c r="L1158" s="92">
        <f>STOCK[[#This Row],[Entradas]]-STOCK[[#This Row],[Salidas]]</f>
        <v>0</v>
      </c>
      <c r="M1158" s="77">
        <f>STOCK[[#This Row],[Precio Final]]*10%</f>
        <v>3.5</v>
      </c>
      <c r="N1158" s="77">
        <v>0</v>
      </c>
      <c r="O1158" s="77">
        <v>0</v>
      </c>
      <c r="P1158" s="77">
        <v>20</v>
      </c>
      <c r="Q1158" s="92">
        <v>540</v>
      </c>
      <c r="R1158" s="77">
        <v>7.81</v>
      </c>
      <c r="S1158" s="76">
        <v>1.97</v>
      </c>
      <c r="T1158" s="76">
        <f>STOCK[[#This Row],[Costo Unitario (USD)]]+STOCK[[#This Row],[Costo Envío (USD)]]+STOCK[[#This Row],[Comisión 10%]]</f>
        <v>25.47</v>
      </c>
      <c r="U1158" s="77">
        <f>STOCK[[#This Row],[Costo total]]*1.5</f>
        <v>38.205</v>
      </c>
      <c r="V1158" s="77">
        <v>35</v>
      </c>
      <c r="W1158" s="77">
        <f>STOCK[[#This Row],[Precio Final]]-STOCK[[#This Row],[Costo total]]</f>
        <v>9.53</v>
      </c>
      <c r="X1158" s="77">
        <f>STOCK[[#This Row],[Ganancia Unitaria]]*STOCK[[#This Row],[Salidas]]</f>
        <v>19.06</v>
      </c>
      <c r="Y1158" s="77" t="s">
        <v>2449</v>
      </c>
      <c r="Z1158" s="77"/>
      <c r="AA1158" s="77">
        <f>STOCK[[#This Row],[Costo total]]*STOCK[[#This Row],[Entradas]]</f>
        <v>50.94</v>
      </c>
      <c r="AB1158" s="77">
        <f>STOCK[[#This Row],[Stock Actual]]*STOCK[[#This Row],[Costo total]]</f>
        <v>0</v>
      </c>
      <c r="AC1158" s="77"/>
    </row>
    <row r="1159" s="77" customFormat="1" ht="50" customHeight="1" spans="1:29">
      <c r="A1159" s="76" t="s">
        <v>2456</v>
      </c>
      <c r="B1159" s="6"/>
      <c r="C1159" s="76" t="s">
        <v>30</v>
      </c>
      <c r="D1159" s="76" t="s">
        <v>1480</v>
      </c>
      <c r="E1159" s="76" t="s">
        <v>2453</v>
      </c>
      <c r="F1159" s="76" t="s">
        <v>762</v>
      </c>
      <c r="G1159" s="76" t="s">
        <v>2448</v>
      </c>
      <c r="H1159" s="76">
        <f>STOCK[[#This Row],[Precio Final]]</f>
        <v>35</v>
      </c>
      <c r="I1159" s="76">
        <f>STOCK[[#This Row],[Precio Venta Ideal (x1.5)]]</f>
        <v>38.205</v>
      </c>
      <c r="J1159" s="91">
        <v>2</v>
      </c>
      <c r="K1159" s="91">
        <f>SUMIFS(VENTAS[Cantidad],VENTAS[Código del producto Vendido],STOCK[[#This Row],[Code]])</f>
        <v>2</v>
      </c>
      <c r="L1159" s="91">
        <f>STOCK[[#This Row],[Entradas]]-STOCK[[#This Row],[Salidas]]</f>
        <v>0</v>
      </c>
      <c r="M1159" s="76">
        <f>STOCK[[#This Row],[Precio Final]]*10%</f>
        <v>3.5</v>
      </c>
      <c r="N1159" s="76">
        <v>0</v>
      </c>
      <c r="O1159" s="76">
        <v>0</v>
      </c>
      <c r="P1159" s="76">
        <v>20</v>
      </c>
      <c r="Q1159" s="91">
        <v>540</v>
      </c>
      <c r="R1159" s="76">
        <v>7.81</v>
      </c>
      <c r="S1159" s="76">
        <v>1.97</v>
      </c>
      <c r="T1159" s="76">
        <f>STOCK[[#This Row],[Costo Unitario (USD)]]+STOCK[[#This Row],[Costo Envío (USD)]]+STOCK[[#This Row],[Comisión 10%]]</f>
        <v>25.47</v>
      </c>
      <c r="U1159" s="76">
        <f>STOCK[[#This Row],[Costo total]]*1.5</f>
        <v>38.205</v>
      </c>
      <c r="V1159" s="76">
        <v>35</v>
      </c>
      <c r="W1159" s="76">
        <f>STOCK[[#This Row],[Precio Final]]-STOCK[[#This Row],[Costo total]]</f>
        <v>9.53</v>
      </c>
      <c r="X1159" s="76">
        <f>STOCK[[#This Row],[Ganancia Unitaria]]*STOCK[[#This Row],[Salidas]]</f>
        <v>19.06</v>
      </c>
      <c r="Y1159" s="76" t="s">
        <v>2449</v>
      </c>
      <c r="Z1159" s="76"/>
      <c r="AA1159" s="76">
        <f>STOCK[[#This Row],[Costo total]]*STOCK[[#This Row],[Entradas]]</f>
        <v>50.94</v>
      </c>
      <c r="AB1159" s="76">
        <f>STOCK[[#This Row],[Stock Actual]]*STOCK[[#This Row],[Costo total]]</f>
        <v>0</v>
      </c>
      <c r="AC1159" s="76"/>
    </row>
    <row r="1160" s="76" customFormat="1" ht="50" customHeight="1" spans="1:28">
      <c r="A1160" s="76" t="s">
        <v>2457</v>
      </c>
      <c r="B1160" s="6"/>
      <c r="C1160" s="76" t="s">
        <v>30</v>
      </c>
      <c r="D1160" s="76" t="s">
        <v>1480</v>
      </c>
      <c r="E1160" s="76" t="s">
        <v>2458</v>
      </c>
      <c r="F1160" s="76" t="s">
        <v>762</v>
      </c>
      <c r="G1160" s="76" t="s">
        <v>2448</v>
      </c>
      <c r="H1160" s="76">
        <f>STOCK[[#This Row],[Precio Final]]</f>
        <v>45</v>
      </c>
      <c r="I1160" s="76">
        <f>STOCK[[#This Row],[Precio Venta Ideal (x1.5)]]</f>
        <v>43.455</v>
      </c>
      <c r="J1160" s="91">
        <v>2</v>
      </c>
      <c r="K1160" s="91">
        <f>SUMIFS(VENTAS[Cantidad],VENTAS[Código del producto Vendido],STOCK[[#This Row],[Code]])</f>
        <v>0</v>
      </c>
      <c r="L1160" s="91">
        <f>STOCK[[#This Row],[Entradas]]-STOCK[[#This Row],[Salidas]]</f>
        <v>2</v>
      </c>
      <c r="M1160" s="76">
        <f>STOCK[[#This Row],[Precio Final]]*10%</f>
        <v>4.5</v>
      </c>
      <c r="N1160" s="76">
        <v>0</v>
      </c>
      <c r="O1160" s="76">
        <v>0</v>
      </c>
      <c r="P1160" s="76">
        <v>22.5</v>
      </c>
      <c r="Q1160" s="91">
        <v>0</v>
      </c>
      <c r="R1160" s="76">
        <v>7.81</v>
      </c>
      <c r="S1160" s="76">
        <v>1.97</v>
      </c>
      <c r="T1160" s="76">
        <f>STOCK[[#This Row],[Costo Unitario (USD)]]+STOCK[[#This Row],[Costo Envío (USD)]]+STOCK[[#This Row],[Comisión 10%]]</f>
        <v>28.97</v>
      </c>
      <c r="U1160" s="76">
        <f>STOCK[[#This Row],[Costo total]]*1.5</f>
        <v>43.455</v>
      </c>
      <c r="V1160" s="76">
        <v>45</v>
      </c>
      <c r="W1160" s="76">
        <f>STOCK[[#This Row],[Precio Final]]-STOCK[[#This Row],[Costo total]]</f>
        <v>16.03</v>
      </c>
      <c r="X1160" s="76">
        <f>STOCK[[#This Row],[Ganancia Unitaria]]*STOCK[[#This Row],[Salidas]]</f>
        <v>0</v>
      </c>
      <c r="Y1160" s="76" t="s">
        <v>2449</v>
      </c>
      <c r="AA1160" s="76">
        <f>STOCK[[#This Row],[Costo total]]*STOCK[[#This Row],[Entradas]]</f>
        <v>57.94</v>
      </c>
      <c r="AB1160" s="76">
        <f>STOCK[[#This Row],[Stock Actual]]*STOCK[[#This Row],[Costo total]]</f>
        <v>57.94</v>
      </c>
    </row>
    <row r="1161" s="77" customFormat="1" ht="50" customHeight="1" spans="1:28">
      <c r="A1161" s="77" t="s">
        <v>2459</v>
      </c>
      <c r="B1161" s="6"/>
      <c r="C1161" s="77" t="s">
        <v>30</v>
      </c>
      <c r="D1161" s="76" t="s">
        <v>1480</v>
      </c>
      <c r="E1161" s="77" t="s">
        <v>2458</v>
      </c>
      <c r="F1161" s="77" t="s">
        <v>757</v>
      </c>
      <c r="G1161" s="77" t="s">
        <v>2448</v>
      </c>
      <c r="H1161" s="77">
        <f>STOCK[[#This Row],[Precio Final]]</f>
        <v>45</v>
      </c>
      <c r="I1161" s="77">
        <f>STOCK[[#This Row],[Precio Venta Ideal (x1.5)]]</f>
        <v>43.455</v>
      </c>
      <c r="J1161" s="92">
        <v>2</v>
      </c>
      <c r="K1161" s="92">
        <f>SUMIFS(VENTAS[Cantidad],VENTAS[Código del producto Vendido],STOCK[[#This Row],[Code]])</f>
        <v>0</v>
      </c>
      <c r="L1161" s="92">
        <f>STOCK[[#This Row],[Entradas]]-STOCK[[#This Row],[Salidas]]</f>
        <v>2</v>
      </c>
      <c r="M1161" s="77">
        <f>STOCK[[#This Row],[Precio Final]]*10%</f>
        <v>4.5</v>
      </c>
      <c r="N1161" s="77">
        <v>0</v>
      </c>
      <c r="O1161" s="77">
        <v>0</v>
      </c>
      <c r="P1161" s="77">
        <v>22.5</v>
      </c>
      <c r="Q1161" s="92">
        <v>0</v>
      </c>
      <c r="R1161" s="77">
        <v>7.81</v>
      </c>
      <c r="S1161" s="76">
        <v>1.97</v>
      </c>
      <c r="T1161" s="76">
        <f>STOCK[[#This Row],[Costo Unitario (USD)]]+STOCK[[#This Row],[Costo Envío (USD)]]+STOCK[[#This Row],[Comisión 10%]]</f>
        <v>28.97</v>
      </c>
      <c r="U1161" s="77">
        <f>STOCK[[#This Row],[Costo total]]*1.5</f>
        <v>43.455</v>
      </c>
      <c r="V1161" s="77">
        <v>45</v>
      </c>
      <c r="W1161" s="77">
        <f>STOCK[[#This Row],[Precio Final]]-STOCK[[#This Row],[Costo total]]</f>
        <v>16.03</v>
      </c>
      <c r="X1161" s="77">
        <f>STOCK[[#This Row],[Ganancia Unitaria]]*STOCK[[#This Row],[Salidas]]</f>
        <v>0</v>
      </c>
      <c r="Y1161" s="77" t="s">
        <v>2449</v>
      </c>
      <c r="AA1161" s="77">
        <f>STOCK[[#This Row],[Costo total]]*STOCK[[#This Row],[Entradas]]</f>
        <v>57.94</v>
      </c>
      <c r="AB1161" s="77">
        <f>STOCK[[#This Row],[Stock Actual]]*STOCK[[#This Row],[Costo total]]</f>
        <v>57.94</v>
      </c>
    </row>
    <row r="1162" s="76" customFormat="1" ht="50" customHeight="1" spans="1:28">
      <c r="A1162" s="76" t="s">
        <v>2460</v>
      </c>
      <c r="B1162" s="6"/>
      <c r="C1162" s="76" t="s">
        <v>30</v>
      </c>
      <c r="D1162" s="76" t="s">
        <v>1480</v>
      </c>
      <c r="E1162" s="76" t="s">
        <v>2461</v>
      </c>
      <c r="F1162" s="76" t="s">
        <v>762</v>
      </c>
      <c r="G1162" s="76" t="s">
        <v>2448</v>
      </c>
      <c r="H1162" s="76">
        <f>STOCK[[#This Row],[Precio Final]]</f>
        <v>35</v>
      </c>
      <c r="I1162" s="76">
        <f>STOCK[[#This Row],[Precio Venta Ideal (x1.5)]]</f>
        <v>38.205</v>
      </c>
      <c r="J1162" s="91">
        <v>2</v>
      </c>
      <c r="K1162" s="91">
        <f>SUMIFS(VENTAS[Cantidad],VENTAS[Código del producto Vendido],STOCK[[#This Row],[Code]])</f>
        <v>2</v>
      </c>
      <c r="L1162" s="91">
        <f>STOCK[[#This Row],[Entradas]]-STOCK[[#This Row],[Salidas]]</f>
        <v>0</v>
      </c>
      <c r="M1162" s="76">
        <f>STOCK[[#This Row],[Precio Final]]*10%</f>
        <v>3.5</v>
      </c>
      <c r="N1162" s="76">
        <v>0</v>
      </c>
      <c r="O1162" s="76">
        <v>0</v>
      </c>
      <c r="P1162" s="76">
        <v>20</v>
      </c>
      <c r="Q1162" s="91">
        <v>0</v>
      </c>
      <c r="R1162" s="76">
        <v>7.81</v>
      </c>
      <c r="S1162" s="76">
        <v>1.97</v>
      </c>
      <c r="T1162" s="76">
        <f>STOCK[[#This Row],[Costo Unitario (USD)]]+STOCK[[#This Row],[Costo Envío (USD)]]+STOCK[[#This Row],[Comisión 10%]]</f>
        <v>25.47</v>
      </c>
      <c r="U1162" s="76">
        <f>STOCK[[#This Row],[Costo total]]*1.5</f>
        <v>38.205</v>
      </c>
      <c r="V1162" s="76">
        <v>35</v>
      </c>
      <c r="W1162" s="76">
        <f>STOCK[[#This Row],[Precio Final]]-STOCK[[#This Row],[Costo total]]</f>
        <v>9.53</v>
      </c>
      <c r="X1162" s="76">
        <f>STOCK[[#This Row],[Ganancia Unitaria]]*STOCK[[#This Row],[Salidas]]</f>
        <v>19.06</v>
      </c>
      <c r="Y1162" s="76" t="s">
        <v>2449</v>
      </c>
      <c r="AA1162" s="76">
        <f>STOCK[[#This Row],[Costo total]]*STOCK[[#This Row],[Entradas]]</f>
        <v>50.94</v>
      </c>
      <c r="AB1162" s="76">
        <f>STOCK[[#This Row],[Stock Actual]]*STOCK[[#This Row],[Costo total]]</f>
        <v>0</v>
      </c>
    </row>
    <row r="1163" s="77" customFormat="1" ht="50" customHeight="1" spans="1:28">
      <c r="A1163" s="77" t="s">
        <v>2462</v>
      </c>
      <c r="B1163" s="6"/>
      <c r="C1163" s="77" t="s">
        <v>30</v>
      </c>
      <c r="D1163" s="76" t="s">
        <v>1480</v>
      </c>
      <c r="E1163" s="77" t="s">
        <v>2461</v>
      </c>
      <c r="F1163" s="77" t="s">
        <v>516</v>
      </c>
      <c r="G1163" s="77" t="s">
        <v>2448</v>
      </c>
      <c r="H1163" s="77">
        <f>STOCK[[#This Row],[Precio Final]]</f>
        <v>35</v>
      </c>
      <c r="I1163" s="77">
        <f>STOCK[[#This Row],[Precio Venta Ideal (x1.5)]]</f>
        <v>38.205</v>
      </c>
      <c r="J1163" s="92">
        <v>2</v>
      </c>
      <c r="K1163" s="92">
        <f>SUMIFS(VENTAS[Cantidad],VENTAS[Código del producto Vendido],STOCK[[#This Row],[Code]])</f>
        <v>2</v>
      </c>
      <c r="L1163" s="92">
        <f>STOCK[[#This Row],[Entradas]]-STOCK[[#This Row],[Salidas]]</f>
        <v>0</v>
      </c>
      <c r="M1163" s="77">
        <f>STOCK[[#This Row],[Precio Final]]*10%</f>
        <v>3.5</v>
      </c>
      <c r="N1163" s="77">
        <v>0</v>
      </c>
      <c r="O1163" s="77">
        <v>0</v>
      </c>
      <c r="P1163" s="77">
        <v>20</v>
      </c>
      <c r="Q1163" s="92">
        <v>0</v>
      </c>
      <c r="R1163" s="77">
        <v>7.81</v>
      </c>
      <c r="S1163" s="77">
        <v>1.97</v>
      </c>
      <c r="T1163" s="76">
        <f>STOCK[[#This Row],[Costo Unitario (USD)]]+STOCK[[#This Row],[Costo Envío (USD)]]+STOCK[[#This Row],[Comisión 10%]]</f>
        <v>25.47</v>
      </c>
      <c r="U1163" s="77">
        <f>STOCK[[#This Row],[Costo total]]*1.5</f>
        <v>38.205</v>
      </c>
      <c r="V1163" s="77">
        <v>35</v>
      </c>
      <c r="W1163" s="77">
        <f>STOCK[[#This Row],[Precio Final]]-STOCK[[#This Row],[Costo total]]</f>
        <v>9.53</v>
      </c>
      <c r="X1163" s="77">
        <f>STOCK[[#This Row],[Ganancia Unitaria]]*STOCK[[#This Row],[Salidas]]</f>
        <v>19.06</v>
      </c>
      <c r="Y1163" s="77" t="s">
        <v>2449</v>
      </c>
      <c r="AA1163" s="77">
        <f>STOCK[[#This Row],[Costo total]]*STOCK[[#This Row],[Entradas]]</f>
        <v>50.94</v>
      </c>
      <c r="AB1163" s="77">
        <f>STOCK[[#This Row],[Stock Actual]]*STOCK[[#This Row],[Costo total]]</f>
        <v>0</v>
      </c>
    </row>
    <row r="1164" s="76" customFormat="1" ht="50" customHeight="1" spans="1:28">
      <c r="A1164" s="76" t="s">
        <v>2463</v>
      </c>
      <c r="B1164" s="6"/>
      <c r="C1164" s="76" t="s">
        <v>30</v>
      </c>
      <c r="D1164" s="76" t="s">
        <v>1480</v>
      </c>
      <c r="E1164" s="76" t="s">
        <v>2461</v>
      </c>
      <c r="F1164" s="76" t="s">
        <v>539</v>
      </c>
      <c r="G1164" s="76" t="s">
        <v>2448</v>
      </c>
      <c r="H1164" s="76">
        <f>STOCK[[#This Row],[Precio Final]]</f>
        <v>35</v>
      </c>
      <c r="I1164" s="76">
        <f>STOCK[[#This Row],[Precio Venta Ideal (x1.5)]]</f>
        <v>38.205</v>
      </c>
      <c r="J1164" s="91">
        <v>2</v>
      </c>
      <c r="K1164" s="91">
        <f>SUMIFS(VENTAS[Cantidad],VENTAS[Código del producto Vendido],STOCK[[#This Row],[Code]])</f>
        <v>2</v>
      </c>
      <c r="L1164" s="91">
        <f>STOCK[[#This Row],[Entradas]]-STOCK[[#This Row],[Salidas]]</f>
        <v>0</v>
      </c>
      <c r="M1164" s="76">
        <f>STOCK[[#This Row],[Precio Final]]*10%</f>
        <v>3.5</v>
      </c>
      <c r="N1164" s="76">
        <v>0</v>
      </c>
      <c r="O1164" s="76">
        <v>0</v>
      </c>
      <c r="P1164" s="76">
        <v>20</v>
      </c>
      <c r="Q1164" s="91">
        <v>0</v>
      </c>
      <c r="R1164" s="76">
        <v>7.81</v>
      </c>
      <c r="S1164" s="76">
        <v>1.97</v>
      </c>
      <c r="T1164" s="76">
        <f>STOCK[[#This Row],[Costo Unitario (USD)]]+STOCK[[#This Row],[Costo Envío (USD)]]+STOCK[[#This Row],[Comisión 10%]]</f>
        <v>25.47</v>
      </c>
      <c r="U1164" s="76">
        <f>STOCK[[#This Row],[Costo total]]*1.5</f>
        <v>38.205</v>
      </c>
      <c r="V1164" s="76">
        <v>35</v>
      </c>
      <c r="W1164" s="76">
        <f>STOCK[[#This Row],[Precio Final]]-STOCK[[#This Row],[Costo total]]</f>
        <v>9.53</v>
      </c>
      <c r="X1164" s="76">
        <f>STOCK[[#This Row],[Ganancia Unitaria]]*STOCK[[#This Row],[Salidas]]</f>
        <v>19.06</v>
      </c>
      <c r="Y1164" s="76" t="s">
        <v>2449</v>
      </c>
      <c r="AA1164" s="76">
        <f>STOCK[[#This Row],[Costo total]]*STOCK[[#This Row],[Entradas]]</f>
        <v>50.94</v>
      </c>
      <c r="AB1164" s="76">
        <f>STOCK[[#This Row],[Stock Actual]]*STOCK[[#This Row],[Costo total]]</f>
        <v>0</v>
      </c>
    </row>
    <row r="1165" s="77" customFormat="1" ht="50" customHeight="1" spans="1:28">
      <c r="A1165" s="77" t="s">
        <v>2464</v>
      </c>
      <c r="B1165" s="6"/>
      <c r="C1165" s="77" t="s">
        <v>30</v>
      </c>
      <c r="D1165" s="76" t="s">
        <v>1480</v>
      </c>
      <c r="E1165" s="77" t="s">
        <v>2461</v>
      </c>
      <c r="F1165" s="77" t="s">
        <v>764</v>
      </c>
      <c r="G1165" s="77" t="s">
        <v>2448</v>
      </c>
      <c r="H1165" s="77">
        <f>STOCK[[#This Row],[Precio Final]]</f>
        <v>35</v>
      </c>
      <c r="I1165" s="77">
        <f>STOCK[[#This Row],[Precio Venta Ideal (x1.5)]]</f>
        <v>38.205</v>
      </c>
      <c r="J1165" s="92">
        <v>2</v>
      </c>
      <c r="K1165" s="92">
        <f>SUMIFS(VENTAS[Cantidad],VENTAS[Código del producto Vendido],STOCK[[#This Row],[Code]])</f>
        <v>2</v>
      </c>
      <c r="L1165" s="92">
        <f>STOCK[[#This Row],[Entradas]]-STOCK[[#This Row],[Salidas]]</f>
        <v>0</v>
      </c>
      <c r="M1165" s="77">
        <f>STOCK[[#This Row],[Precio Final]]*10%</f>
        <v>3.5</v>
      </c>
      <c r="N1165" s="77">
        <v>0</v>
      </c>
      <c r="O1165" s="77">
        <v>0</v>
      </c>
      <c r="P1165" s="77">
        <v>20</v>
      </c>
      <c r="Q1165" s="92">
        <v>0</v>
      </c>
      <c r="R1165" s="77">
        <v>7.81</v>
      </c>
      <c r="S1165" s="77">
        <v>1.97</v>
      </c>
      <c r="T1165" s="76">
        <f>STOCK[[#This Row],[Costo Unitario (USD)]]+STOCK[[#This Row],[Costo Envío (USD)]]+STOCK[[#This Row],[Comisión 10%]]</f>
        <v>25.47</v>
      </c>
      <c r="U1165" s="77">
        <f>STOCK[[#This Row],[Costo total]]*1.5</f>
        <v>38.205</v>
      </c>
      <c r="V1165" s="77">
        <v>35</v>
      </c>
      <c r="W1165" s="77">
        <f>STOCK[[#This Row],[Precio Final]]-STOCK[[#This Row],[Costo total]]</f>
        <v>9.53</v>
      </c>
      <c r="X1165" s="77">
        <f>STOCK[[#This Row],[Ganancia Unitaria]]*STOCK[[#This Row],[Salidas]]</f>
        <v>19.06</v>
      </c>
      <c r="Y1165" s="77" t="s">
        <v>2449</v>
      </c>
      <c r="AA1165" s="77">
        <f>STOCK[[#This Row],[Costo total]]*STOCK[[#This Row],[Entradas]]</f>
        <v>50.94</v>
      </c>
      <c r="AB1165" s="77">
        <f>STOCK[[#This Row],[Stock Actual]]*STOCK[[#This Row],[Costo total]]</f>
        <v>0</v>
      </c>
    </row>
    <row r="1166" s="76" customFormat="1" ht="50" customHeight="1" spans="1:28">
      <c r="A1166" s="76" t="s">
        <v>2465</v>
      </c>
      <c r="B1166" s="6"/>
      <c r="C1166" s="76" t="s">
        <v>30</v>
      </c>
      <c r="D1166" s="76" t="s">
        <v>1480</v>
      </c>
      <c r="E1166" s="76" t="s">
        <v>2466</v>
      </c>
      <c r="F1166" s="76" t="s">
        <v>764</v>
      </c>
      <c r="G1166" s="76" t="s">
        <v>2448</v>
      </c>
      <c r="H1166" s="76">
        <f>STOCK[[#This Row],[Precio Final]]</f>
        <v>40</v>
      </c>
      <c r="I1166" s="76">
        <f>STOCK[[#This Row],[Precio Venta Ideal (x1.5)]]</f>
        <v>35.13105</v>
      </c>
      <c r="J1166" s="91">
        <v>1</v>
      </c>
      <c r="K1166" s="91">
        <f>SUMIFS(VENTAS[Cantidad],VENTAS[Código del producto Vendido],STOCK[[#This Row],[Code]])</f>
        <v>0</v>
      </c>
      <c r="L1166" s="91">
        <f>STOCK[[#This Row],[Entradas]]-STOCK[[#This Row],[Salidas]]</f>
        <v>1</v>
      </c>
      <c r="M1166" s="76">
        <f>STOCK[[#This Row],[Precio Final]]*10%</f>
        <v>4</v>
      </c>
      <c r="N1166" s="76">
        <v>0</v>
      </c>
      <c r="O1166" s="76">
        <v>0</v>
      </c>
      <c r="P1166" s="76">
        <v>15.75</v>
      </c>
      <c r="Q1166" s="91">
        <v>470</v>
      </c>
      <c r="R1166" s="76">
        <v>7.81</v>
      </c>
      <c r="S1166" s="76">
        <v>3.6707</v>
      </c>
      <c r="T1166" s="76">
        <f>STOCK[[#This Row],[Costo Unitario (USD)]]+STOCK[[#This Row],[Costo Envío (USD)]]+STOCK[[#This Row],[Comisión 10%]]</f>
        <v>23.4207</v>
      </c>
      <c r="U1166" s="76">
        <f>STOCK[[#This Row],[Costo total]]*1.5</f>
        <v>35.13105</v>
      </c>
      <c r="V1166" s="76">
        <v>40</v>
      </c>
      <c r="W1166" s="76">
        <f>STOCK[[#This Row],[Precio Final]]-STOCK[[#This Row],[Costo total]]</f>
        <v>16.5793</v>
      </c>
      <c r="X1166" s="76">
        <f>STOCK[[#This Row],[Ganancia Unitaria]]*STOCK[[#This Row],[Salidas]]</f>
        <v>0</v>
      </c>
      <c r="Y1166" s="76" t="s">
        <v>2449</v>
      </c>
      <c r="AA1166" s="76">
        <f>STOCK[[#This Row],[Costo total]]*STOCK[[#This Row],[Entradas]]</f>
        <v>23.4207</v>
      </c>
      <c r="AB1166" s="76">
        <f>STOCK[[#This Row],[Stock Actual]]*STOCK[[#This Row],[Costo total]]</f>
        <v>23.4207</v>
      </c>
    </row>
    <row r="1167" s="77" customFormat="1" ht="50" customHeight="1" spans="1:28">
      <c r="A1167" s="77" t="s">
        <v>2467</v>
      </c>
      <c r="B1167" s="6"/>
      <c r="C1167" s="77" t="s">
        <v>30</v>
      </c>
      <c r="D1167" s="76" t="s">
        <v>1480</v>
      </c>
      <c r="E1167" s="77" t="s">
        <v>2468</v>
      </c>
      <c r="F1167" s="77" t="s">
        <v>764</v>
      </c>
      <c r="G1167" s="77" t="s">
        <v>2448</v>
      </c>
      <c r="H1167" s="77">
        <f>STOCK[[#This Row],[Precio Final]]</f>
        <v>35</v>
      </c>
      <c r="I1167" s="77">
        <f>STOCK[[#This Row],[Precio Venta Ideal (x1.5)]]</f>
        <v>36.947475</v>
      </c>
      <c r="J1167" s="92">
        <v>1</v>
      </c>
      <c r="K1167" s="92">
        <f>SUMIFS(VENTAS[Cantidad],VENTAS[Código del producto Vendido],STOCK[[#This Row],[Code]])</f>
        <v>0</v>
      </c>
      <c r="L1167" s="92">
        <f>STOCK[[#This Row],[Entradas]]-STOCK[[#This Row],[Salidas]]</f>
        <v>1</v>
      </c>
      <c r="M1167" s="77">
        <f>STOCK[[#This Row],[Precio Final]]*10%</f>
        <v>3.5</v>
      </c>
      <c r="N1167" s="77">
        <v>0</v>
      </c>
      <c r="O1167" s="77">
        <v>0</v>
      </c>
      <c r="P1167" s="77">
        <v>17.5</v>
      </c>
      <c r="Q1167" s="92">
        <v>465</v>
      </c>
      <c r="R1167" s="77">
        <v>7.81</v>
      </c>
      <c r="S1167" s="77">
        <v>3.63165</v>
      </c>
      <c r="T1167" s="76">
        <f>STOCK[[#This Row],[Costo Unitario (USD)]]+STOCK[[#This Row],[Costo Envío (USD)]]+STOCK[[#This Row],[Comisión 10%]]</f>
        <v>24.63165</v>
      </c>
      <c r="U1167" s="77">
        <f>STOCK[[#This Row],[Costo total]]*1.5</f>
        <v>36.947475</v>
      </c>
      <c r="V1167" s="77">
        <v>35</v>
      </c>
      <c r="W1167" s="77">
        <f>STOCK[[#This Row],[Precio Final]]-STOCK[[#This Row],[Costo total]]</f>
        <v>10.36835</v>
      </c>
      <c r="X1167" s="77">
        <f>STOCK[[#This Row],[Ganancia Unitaria]]*STOCK[[#This Row],[Salidas]]</f>
        <v>0</v>
      </c>
      <c r="Y1167" s="77" t="s">
        <v>2449</v>
      </c>
      <c r="AA1167" s="77">
        <f>STOCK[[#This Row],[Costo total]]*STOCK[[#This Row],[Entradas]]</f>
        <v>24.63165</v>
      </c>
      <c r="AB1167" s="77">
        <f>STOCK[[#This Row],[Stock Actual]]*STOCK[[#This Row],[Costo total]]</f>
        <v>24.63165</v>
      </c>
    </row>
    <row r="1168" s="76" customFormat="1" ht="50" customHeight="1" spans="1:28">
      <c r="A1168" s="76" t="s">
        <v>2469</v>
      </c>
      <c r="B1168" s="6"/>
      <c r="C1168" s="76" t="s">
        <v>30</v>
      </c>
      <c r="D1168" s="76" t="s">
        <v>1480</v>
      </c>
      <c r="E1168" s="76" t="s">
        <v>2468</v>
      </c>
      <c r="F1168" s="76" t="s">
        <v>516</v>
      </c>
      <c r="G1168" s="76" t="s">
        <v>2448</v>
      </c>
      <c r="H1168" s="76">
        <f>STOCK[[#This Row],[Precio Final]]</f>
        <v>35</v>
      </c>
      <c r="I1168" s="76">
        <f>STOCK[[#This Row],[Precio Venta Ideal (x1.5)]]</f>
        <v>36.947475</v>
      </c>
      <c r="J1168" s="91">
        <v>1</v>
      </c>
      <c r="K1168" s="91">
        <f>SUMIFS(VENTAS[Cantidad],VENTAS[Código del producto Vendido],STOCK[[#This Row],[Code]])</f>
        <v>0</v>
      </c>
      <c r="L1168" s="91">
        <f>STOCK[[#This Row],[Entradas]]-STOCK[[#This Row],[Salidas]]</f>
        <v>1</v>
      </c>
      <c r="M1168" s="76">
        <f>STOCK[[#This Row],[Precio Final]]*10%</f>
        <v>3.5</v>
      </c>
      <c r="N1168" s="76">
        <v>0</v>
      </c>
      <c r="O1168" s="76">
        <v>0</v>
      </c>
      <c r="P1168" s="76">
        <v>17.5</v>
      </c>
      <c r="Q1168" s="91">
        <v>465</v>
      </c>
      <c r="R1168" s="76">
        <v>7.81</v>
      </c>
      <c r="S1168" s="76">
        <v>3.63165</v>
      </c>
      <c r="T1168" s="76">
        <f>STOCK[[#This Row],[Costo Unitario (USD)]]+STOCK[[#This Row],[Costo Envío (USD)]]+STOCK[[#This Row],[Comisión 10%]]</f>
        <v>24.63165</v>
      </c>
      <c r="U1168" s="76">
        <f>STOCK[[#This Row],[Costo total]]*1.5</f>
        <v>36.947475</v>
      </c>
      <c r="V1168" s="76">
        <v>35</v>
      </c>
      <c r="W1168" s="76">
        <f>STOCK[[#This Row],[Precio Final]]-STOCK[[#This Row],[Costo total]]</f>
        <v>10.36835</v>
      </c>
      <c r="X1168" s="76">
        <f>STOCK[[#This Row],[Ganancia Unitaria]]*STOCK[[#This Row],[Salidas]]</f>
        <v>0</v>
      </c>
      <c r="Y1168" s="76" t="s">
        <v>2449</v>
      </c>
      <c r="AA1168" s="76">
        <f>STOCK[[#This Row],[Costo total]]*STOCK[[#This Row],[Entradas]]</f>
        <v>24.63165</v>
      </c>
      <c r="AB1168" s="76">
        <f>STOCK[[#This Row],[Stock Actual]]*STOCK[[#This Row],[Costo total]]</f>
        <v>24.63165</v>
      </c>
    </row>
    <row r="1169" s="77" customFormat="1" ht="50" customHeight="1" spans="1:28">
      <c r="A1169" s="77" t="s">
        <v>2470</v>
      </c>
      <c r="B1169" s="6"/>
      <c r="C1169" s="77" t="s">
        <v>30</v>
      </c>
      <c r="D1169" s="76" t="s">
        <v>1480</v>
      </c>
      <c r="E1169" s="77" t="s">
        <v>2471</v>
      </c>
      <c r="F1169" s="77" t="s">
        <v>539</v>
      </c>
      <c r="G1169" s="77" t="s">
        <v>2448</v>
      </c>
      <c r="H1169" s="77">
        <f>STOCK[[#This Row],[Precio Final]]</f>
        <v>30</v>
      </c>
      <c r="I1169" s="77">
        <f>STOCK[[#This Row],[Precio Venta Ideal (x1.5)]]</f>
        <v>50</v>
      </c>
      <c r="J1169" s="92">
        <v>1</v>
      </c>
      <c r="K1169" s="92">
        <f>SUMIFS(VENTAS[Cantidad],VENTAS[Código del producto Vendido],STOCK[[#This Row],[Code]])</f>
        <v>1</v>
      </c>
      <c r="L1169" s="92">
        <f>STOCK[[#This Row],[Entradas]]-STOCK[[#This Row],[Salidas]]</f>
        <v>0</v>
      </c>
      <c r="M1169" s="77">
        <f>STOCK[[#This Row],[Precio Final]]*10%</f>
        <v>3</v>
      </c>
      <c r="N1169" s="77">
        <v>0</v>
      </c>
      <c r="O1169" s="77">
        <v>0</v>
      </c>
      <c r="P1169" s="77">
        <v>27.5</v>
      </c>
      <c r="Q1169" s="92">
        <v>0</v>
      </c>
      <c r="R1169" s="77">
        <v>7.81</v>
      </c>
      <c r="S1169" s="77">
        <v>1.97</v>
      </c>
      <c r="T1169" s="76">
        <f>STOCK[[#This Row],[Costo Unitario (USD)]]+STOCK[[#This Row],[Costo Envío (USD)]]+STOCK[[#This Row],[Comisión 10%]]</f>
        <v>32.47</v>
      </c>
      <c r="U1169" s="77">
        <v>50</v>
      </c>
      <c r="V1169" s="77">
        <v>30</v>
      </c>
      <c r="W1169" s="77">
        <f>STOCK[[#This Row],[Precio Final]]-STOCK[[#This Row],[Costo total]]</f>
        <v>-2.47</v>
      </c>
      <c r="X1169" s="77">
        <f>STOCK[[#This Row],[Ganancia Unitaria]]*STOCK[[#This Row],[Salidas]]</f>
        <v>-2.47</v>
      </c>
      <c r="Y1169" s="77" t="s">
        <v>2449</v>
      </c>
      <c r="AA1169" s="77">
        <f>STOCK[[#This Row],[Costo total]]*STOCK[[#This Row],[Entradas]]</f>
        <v>32.47</v>
      </c>
      <c r="AB1169" s="77">
        <f>STOCK[[#This Row],[Stock Actual]]*STOCK[[#This Row],[Costo total]]</f>
        <v>0</v>
      </c>
    </row>
    <row r="1170" s="76" customFormat="1" ht="50" customHeight="1" spans="1:28">
      <c r="A1170" s="76" t="s">
        <v>2472</v>
      </c>
      <c r="B1170" s="6"/>
      <c r="C1170" s="76" t="s">
        <v>30</v>
      </c>
      <c r="D1170" s="76" t="s">
        <v>1480</v>
      </c>
      <c r="E1170" s="76" t="s">
        <v>2473</v>
      </c>
      <c r="F1170" s="76" t="s">
        <v>764</v>
      </c>
      <c r="G1170" s="76" t="s">
        <v>2448</v>
      </c>
      <c r="H1170" s="76">
        <f>STOCK[[#This Row],[Precio Final]]</f>
        <v>45</v>
      </c>
      <c r="I1170" s="76">
        <f>STOCK[[#This Row],[Precio Venta Ideal (x1.5)]]</f>
        <v>54.67755</v>
      </c>
      <c r="J1170" s="91">
        <v>1</v>
      </c>
      <c r="K1170" s="91">
        <f>SUMIFS(VENTAS[Cantidad],VENTAS[Código del producto Vendido],STOCK[[#This Row],[Code]])</f>
        <v>1</v>
      </c>
      <c r="L1170" s="91">
        <f>STOCK[[#This Row],[Entradas]]-STOCK[[#This Row],[Salidas]]</f>
        <v>0</v>
      </c>
      <c r="M1170" s="76">
        <f>STOCK[[#This Row],[Precio Final]]*10%</f>
        <v>4.5</v>
      </c>
      <c r="N1170" s="76">
        <v>0</v>
      </c>
      <c r="O1170" s="76">
        <v>0</v>
      </c>
      <c r="P1170" s="76">
        <v>27.5</v>
      </c>
      <c r="Q1170" s="91">
        <v>570</v>
      </c>
      <c r="R1170" s="76">
        <v>7.81</v>
      </c>
      <c r="S1170" s="76">
        <v>4.4517</v>
      </c>
      <c r="T1170" s="76">
        <f>STOCK[[#This Row],[Costo Unitario (USD)]]+STOCK[[#This Row],[Costo Envío (USD)]]+STOCK[[#This Row],[Comisión 10%]]</f>
        <v>36.4517</v>
      </c>
      <c r="U1170" s="76">
        <f>STOCK[[#This Row],[Costo total]]*1.5</f>
        <v>54.67755</v>
      </c>
      <c r="V1170" s="76">
        <v>45</v>
      </c>
      <c r="W1170" s="76">
        <f>STOCK[[#This Row],[Precio Final]]-STOCK[[#This Row],[Costo total]]</f>
        <v>8.5483</v>
      </c>
      <c r="X1170" s="76">
        <f>STOCK[[#This Row],[Ganancia Unitaria]]*STOCK[[#This Row],[Salidas]]</f>
        <v>8.5483</v>
      </c>
      <c r="Y1170" s="76" t="s">
        <v>2449</v>
      </c>
      <c r="AA1170" s="76">
        <f>STOCK[[#This Row],[Costo total]]*STOCK[[#This Row],[Entradas]]</f>
        <v>36.4517</v>
      </c>
      <c r="AB1170" s="76">
        <f>STOCK[[#This Row],[Stock Actual]]*STOCK[[#This Row],[Costo total]]</f>
        <v>0</v>
      </c>
    </row>
    <row r="1171" s="77" customFormat="1" ht="50" customHeight="1" spans="1:28">
      <c r="A1171" s="77" t="s">
        <v>2474</v>
      </c>
      <c r="B1171" s="6"/>
      <c r="C1171" s="77" t="s">
        <v>30</v>
      </c>
      <c r="D1171" s="76" t="s">
        <v>1480</v>
      </c>
      <c r="E1171" s="77" t="s">
        <v>2473</v>
      </c>
      <c r="F1171" s="77" t="s">
        <v>539</v>
      </c>
      <c r="G1171" s="77" t="s">
        <v>2448</v>
      </c>
      <c r="H1171" s="77">
        <f>STOCK[[#This Row],[Precio Final]]</f>
        <v>45</v>
      </c>
      <c r="I1171" s="77">
        <f>STOCK[[#This Row],[Precio Venta Ideal (x1.5)]]</f>
        <v>54.67755</v>
      </c>
      <c r="J1171" s="92">
        <v>2</v>
      </c>
      <c r="K1171" s="92">
        <f>SUMIFS(VENTAS[Cantidad],VENTAS[Código del producto Vendido],STOCK[[#This Row],[Code]])</f>
        <v>2</v>
      </c>
      <c r="L1171" s="92">
        <f>STOCK[[#This Row],[Entradas]]-STOCK[[#This Row],[Salidas]]</f>
        <v>0</v>
      </c>
      <c r="M1171" s="77">
        <f>STOCK[[#This Row],[Precio Final]]*10%</f>
        <v>4.5</v>
      </c>
      <c r="N1171" s="77">
        <v>0</v>
      </c>
      <c r="O1171" s="77">
        <v>0</v>
      </c>
      <c r="P1171" s="77">
        <v>27.5</v>
      </c>
      <c r="Q1171" s="92">
        <v>570</v>
      </c>
      <c r="R1171" s="77">
        <v>7.81</v>
      </c>
      <c r="S1171" s="77">
        <v>4.4517</v>
      </c>
      <c r="T1171" s="76">
        <f>STOCK[[#This Row],[Costo Unitario (USD)]]+STOCK[[#This Row],[Costo Envío (USD)]]+STOCK[[#This Row],[Comisión 10%]]</f>
        <v>36.4517</v>
      </c>
      <c r="U1171" s="77">
        <f>STOCK[[#This Row],[Costo total]]*1.5</f>
        <v>54.67755</v>
      </c>
      <c r="V1171" s="77">
        <v>45</v>
      </c>
      <c r="W1171" s="77">
        <f>STOCK[[#This Row],[Precio Final]]-STOCK[[#This Row],[Costo total]]</f>
        <v>8.5483</v>
      </c>
      <c r="X1171" s="77">
        <f>STOCK[[#This Row],[Ganancia Unitaria]]*STOCK[[#This Row],[Salidas]]</f>
        <v>17.0966</v>
      </c>
      <c r="Y1171" s="77" t="s">
        <v>2449</v>
      </c>
      <c r="AA1171" s="77">
        <f>STOCK[[#This Row],[Costo total]]*STOCK[[#This Row],[Entradas]]</f>
        <v>72.9034</v>
      </c>
      <c r="AB1171" s="77">
        <f>STOCK[[#This Row],[Stock Actual]]*STOCK[[#This Row],[Costo total]]</f>
        <v>0</v>
      </c>
    </row>
    <row r="1172" s="76" customFormat="1" ht="50" customHeight="1" spans="1:28">
      <c r="A1172" s="76" t="s">
        <v>2475</v>
      </c>
      <c r="B1172" s="6"/>
      <c r="C1172" s="76" t="s">
        <v>30</v>
      </c>
      <c r="D1172" s="76" t="s">
        <v>1480</v>
      </c>
      <c r="E1172" s="76" t="s">
        <v>2476</v>
      </c>
      <c r="F1172" s="76" t="s">
        <v>539</v>
      </c>
      <c r="G1172" s="76" t="s">
        <v>2448</v>
      </c>
      <c r="H1172" s="76">
        <f>STOCK[[#This Row],[Precio Final]]</f>
        <v>35</v>
      </c>
      <c r="I1172" s="76">
        <f>STOCK[[#This Row],[Precio Venta Ideal (x1.5)]]</f>
        <v>27.279</v>
      </c>
      <c r="J1172" s="91">
        <v>1</v>
      </c>
      <c r="K1172" s="91">
        <f>SUMIFS(VENTAS[Cantidad],VENTAS[Código del producto Vendido],STOCK[[#This Row],[Code]])</f>
        <v>0</v>
      </c>
      <c r="L1172" s="91">
        <f>STOCK[[#This Row],[Entradas]]-STOCK[[#This Row],[Salidas]]</f>
        <v>1</v>
      </c>
      <c r="M1172" s="76">
        <f>STOCK[[#This Row],[Precio Final]]*10%</f>
        <v>3.5</v>
      </c>
      <c r="N1172" s="76">
        <v>0</v>
      </c>
      <c r="O1172" s="76">
        <v>0</v>
      </c>
      <c r="P1172" s="76">
        <v>10</v>
      </c>
      <c r="Q1172" s="91">
        <v>600</v>
      </c>
      <c r="R1172" s="76">
        <v>7.81</v>
      </c>
      <c r="S1172" s="76">
        <v>4.686</v>
      </c>
      <c r="T1172" s="76">
        <f>STOCK[[#This Row],[Costo Unitario (USD)]]+STOCK[[#This Row],[Costo Envío (USD)]]+STOCK[[#This Row],[Comisión 10%]]</f>
        <v>18.186</v>
      </c>
      <c r="U1172" s="76">
        <f>STOCK[[#This Row],[Costo total]]*1.5</f>
        <v>27.279</v>
      </c>
      <c r="V1172" s="76">
        <v>35</v>
      </c>
      <c r="W1172" s="76">
        <f>STOCK[[#This Row],[Precio Final]]-STOCK[[#This Row],[Costo total]]</f>
        <v>16.814</v>
      </c>
      <c r="X1172" s="76">
        <f>STOCK[[#This Row],[Ganancia Unitaria]]*STOCK[[#This Row],[Salidas]]</f>
        <v>0</v>
      </c>
      <c r="Y1172" s="76" t="s">
        <v>2449</v>
      </c>
      <c r="AA1172" s="76">
        <f>STOCK[[#This Row],[Costo total]]*STOCK[[#This Row],[Entradas]]</f>
        <v>18.186</v>
      </c>
      <c r="AB1172" s="76">
        <f>STOCK[[#This Row],[Stock Actual]]*STOCK[[#This Row],[Costo total]]</f>
        <v>18.186</v>
      </c>
    </row>
    <row r="1173" s="77" customFormat="1" ht="50" customHeight="1" spans="1:28">
      <c r="A1173" s="77" t="s">
        <v>2477</v>
      </c>
      <c r="B1173" s="6"/>
      <c r="C1173" s="77" t="s">
        <v>30</v>
      </c>
      <c r="D1173" s="76" t="s">
        <v>1480</v>
      </c>
      <c r="E1173" s="77" t="s">
        <v>2478</v>
      </c>
      <c r="F1173" s="77" t="s">
        <v>516</v>
      </c>
      <c r="G1173" s="77" t="s">
        <v>2448</v>
      </c>
      <c r="H1173" s="77">
        <f>STOCK[[#This Row],[Precio Final]]</f>
        <v>40</v>
      </c>
      <c r="I1173" s="77">
        <f>STOCK[[#This Row],[Precio Venta Ideal (x1.5)]]</f>
        <v>37.228875</v>
      </c>
      <c r="J1173" s="92">
        <v>1</v>
      </c>
      <c r="K1173" s="92">
        <f>SUMIFS(VENTAS[Cantidad],VENTAS[Código del producto Vendido],STOCK[[#This Row],[Code]])</f>
        <v>1</v>
      </c>
      <c r="L1173" s="92">
        <f>STOCK[[#This Row],[Entradas]]-STOCK[[#This Row],[Salidas]]</f>
        <v>0</v>
      </c>
      <c r="M1173" s="77">
        <f>STOCK[[#This Row],[Precio Final]]*10%</f>
        <v>4</v>
      </c>
      <c r="N1173" s="77">
        <v>0</v>
      </c>
      <c r="O1173" s="77">
        <v>0</v>
      </c>
      <c r="P1173" s="77">
        <v>17.5</v>
      </c>
      <c r="Q1173" s="92">
        <v>425</v>
      </c>
      <c r="R1173" s="77">
        <v>7.81</v>
      </c>
      <c r="S1173" s="77">
        <v>3.31925</v>
      </c>
      <c r="T1173" s="76">
        <f>STOCK[[#This Row],[Costo Unitario (USD)]]+STOCK[[#This Row],[Costo Envío (USD)]]+STOCK[[#This Row],[Comisión 10%]]</f>
        <v>24.81925</v>
      </c>
      <c r="U1173" s="77">
        <f>STOCK[[#This Row],[Costo total]]*1.5</f>
        <v>37.228875</v>
      </c>
      <c r="V1173" s="77">
        <v>40</v>
      </c>
      <c r="W1173" s="77">
        <f>STOCK[[#This Row],[Precio Final]]-STOCK[[#This Row],[Costo total]]</f>
        <v>15.18075</v>
      </c>
      <c r="X1173" s="77">
        <f>STOCK[[#This Row],[Ganancia Unitaria]]*STOCK[[#This Row],[Salidas]]</f>
        <v>15.18075</v>
      </c>
      <c r="Y1173" s="77" t="s">
        <v>2449</v>
      </c>
      <c r="AA1173" s="77">
        <f>STOCK[[#This Row],[Costo total]]*STOCK[[#This Row],[Entradas]]</f>
        <v>24.81925</v>
      </c>
      <c r="AB1173" s="77">
        <f>STOCK[[#This Row],[Stock Actual]]*STOCK[[#This Row],[Costo total]]</f>
        <v>0</v>
      </c>
    </row>
    <row r="1174" s="76" customFormat="1" ht="50" customHeight="1" spans="1:28">
      <c r="A1174" s="76" t="s">
        <v>2479</v>
      </c>
      <c r="B1174" s="6"/>
      <c r="C1174" s="76" t="s">
        <v>30</v>
      </c>
      <c r="D1174" s="76" t="s">
        <v>1480</v>
      </c>
      <c r="E1174" s="76" t="s">
        <v>2478</v>
      </c>
      <c r="F1174" s="76" t="s">
        <v>764</v>
      </c>
      <c r="G1174" s="76" t="s">
        <v>2448</v>
      </c>
      <c r="H1174" s="76">
        <f>STOCK[[#This Row],[Precio Final]]</f>
        <v>40</v>
      </c>
      <c r="I1174" s="76">
        <f>STOCK[[#This Row],[Precio Venta Ideal (x1.5)]]</f>
        <v>37.228875</v>
      </c>
      <c r="J1174" s="91">
        <v>1</v>
      </c>
      <c r="K1174" s="91">
        <f>SUMIFS(VENTAS[Cantidad],VENTAS[Código del producto Vendido],STOCK[[#This Row],[Code]])</f>
        <v>1</v>
      </c>
      <c r="L1174" s="91">
        <f>STOCK[[#This Row],[Entradas]]-STOCK[[#This Row],[Salidas]]</f>
        <v>0</v>
      </c>
      <c r="M1174" s="76">
        <f>STOCK[[#This Row],[Precio Final]]*10%</f>
        <v>4</v>
      </c>
      <c r="N1174" s="76">
        <v>0</v>
      </c>
      <c r="O1174" s="76">
        <v>0</v>
      </c>
      <c r="P1174" s="76">
        <v>17.5</v>
      </c>
      <c r="Q1174" s="91">
        <v>425</v>
      </c>
      <c r="R1174" s="76">
        <v>7.81</v>
      </c>
      <c r="S1174" s="76">
        <v>3.31925</v>
      </c>
      <c r="T1174" s="76">
        <f>STOCK[[#This Row],[Costo Unitario (USD)]]+STOCK[[#This Row],[Costo Envío (USD)]]+STOCK[[#This Row],[Comisión 10%]]</f>
        <v>24.81925</v>
      </c>
      <c r="U1174" s="76">
        <f>STOCK[[#This Row],[Costo total]]*1.5</f>
        <v>37.228875</v>
      </c>
      <c r="V1174" s="76">
        <v>40</v>
      </c>
      <c r="W1174" s="76">
        <f>STOCK[[#This Row],[Precio Final]]-STOCK[[#This Row],[Costo total]]</f>
        <v>15.18075</v>
      </c>
      <c r="X1174" s="76">
        <f>STOCK[[#This Row],[Ganancia Unitaria]]*STOCK[[#This Row],[Salidas]]</f>
        <v>15.18075</v>
      </c>
      <c r="Y1174" s="76" t="s">
        <v>2449</v>
      </c>
      <c r="AA1174" s="76">
        <f>STOCK[[#This Row],[Costo total]]*STOCK[[#This Row],[Entradas]]</f>
        <v>24.81925</v>
      </c>
      <c r="AB1174" s="76">
        <f>STOCK[[#This Row],[Stock Actual]]*STOCK[[#This Row],[Costo total]]</f>
        <v>0</v>
      </c>
    </row>
    <row r="1175" s="77" customFormat="1" ht="50" customHeight="1" spans="1:28">
      <c r="A1175" s="77" t="s">
        <v>2480</v>
      </c>
      <c r="B1175" s="6"/>
      <c r="C1175" s="77" t="s">
        <v>30</v>
      </c>
      <c r="D1175" s="76" t="s">
        <v>1480</v>
      </c>
      <c r="E1175" s="77" t="s">
        <v>2481</v>
      </c>
      <c r="F1175" s="77" t="s">
        <v>539</v>
      </c>
      <c r="G1175" s="77" t="s">
        <v>2448</v>
      </c>
      <c r="H1175" s="77">
        <f>STOCK[[#This Row],[Precio Final]]</f>
        <v>50</v>
      </c>
      <c r="I1175" s="77">
        <f>STOCK[[#This Row],[Precio Venta Ideal (x1.5)]]</f>
        <v>52.416075</v>
      </c>
      <c r="J1175" s="92">
        <v>1</v>
      </c>
      <c r="K1175" s="92">
        <f>SUMIFS(VENTAS[Cantidad],VENTAS[Código del producto Vendido],STOCK[[#This Row],[Code]])</f>
        <v>0</v>
      </c>
      <c r="L1175" s="92">
        <f>STOCK[[#This Row],[Entradas]]-STOCK[[#This Row],[Salidas]]</f>
        <v>1</v>
      </c>
      <c r="M1175" s="77">
        <f>STOCK[[#This Row],[Precio Final]]*10%</f>
        <v>5</v>
      </c>
      <c r="N1175" s="77">
        <v>0</v>
      </c>
      <c r="O1175" s="77">
        <v>0</v>
      </c>
      <c r="P1175" s="77">
        <v>26</v>
      </c>
      <c r="Q1175" s="92">
        <v>505</v>
      </c>
      <c r="R1175" s="77">
        <v>7.81</v>
      </c>
      <c r="S1175" s="77">
        <v>3.94405</v>
      </c>
      <c r="T1175" s="76">
        <f>STOCK[[#This Row],[Costo Unitario (USD)]]+STOCK[[#This Row],[Costo Envío (USD)]]+STOCK[[#This Row],[Comisión 10%]]</f>
        <v>34.94405</v>
      </c>
      <c r="U1175" s="77">
        <f>STOCK[[#This Row],[Costo total]]*1.5</f>
        <v>52.416075</v>
      </c>
      <c r="V1175" s="77">
        <v>50</v>
      </c>
      <c r="W1175" s="77">
        <f>STOCK[[#This Row],[Precio Final]]-STOCK[[#This Row],[Costo total]]</f>
        <v>15.05595</v>
      </c>
      <c r="X1175" s="77">
        <f>STOCK[[#This Row],[Ganancia Unitaria]]*STOCK[[#This Row],[Salidas]]</f>
        <v>0</v>
      </c>
      <c r="Y1175" s="77" t="s">
        <v>2449</v>
      </c>
      <c r="AA1175" s="77">
        <f>STOCK[[#This Row],[Costo total]]*STOCK[[#This Row],[Entradas]]</f>
        <v>34.94405</v>
      </c>
      <c r="AB1175" s="77">
        <f>STOCK[[#This Row],[Stock Actual]]*STOCK[[#This Row],[Costo total]]</f>
        <v>34.94405</v>
      </c>
    </row>
    <row r="1176" s="76" customFormat="1" ht="50" customHeight="1" spans="1:28">
      <c r="A1176" s="76" t="s">
        <v>2482</v>
      </c>
      <c r="B1176" s="6"/>
      <c r="C1176" s="76" t="s">
        <v>30</v>
      </c>
      <c r="D1176" s="76" t="s">
        <v>1480</v>
      </c>
      <c r="E1176" s="76" t="s">
        <v>2483</v>
      </c>
      <c r="F1176" s="76" t="s">
        <v>539</v>
      </c>
      <c r="G1176" s="76" t="s">
        <v>2448</v>
      </c>
      <c r="H1176" s="76">
        <f>STOCK[[#This Row],[Precio Final]]</f>
        <v>40</v>
      </c>
      <c r="I1176" s="76">
        <f>STOCK[[#This Row],[Precio Venta Ideal (x1.5)]]</f>
        <v>37.671075</v>
      </c>
      <c r="J1176" s="91">
        <v>1</v>
      </c>
      <c r="K1176" s="91">
        <f>SUMIFS(VENTAS[Cantidad],VENTAS[Código del producto Vendido],STOCK[[#This Row],[Code]])</f>
        <v>1</v>
      </c>
      <c r="L1176" s="91">
        <f>STOCK[[#This Row],[Entradas]]-STOCK[[#This Row],[Salidas]]</f>
        <v>0</v>
      </c>
      <c r="M1176" s="76">
        <f>STOCK[[#This Row],[Precio Final]]*10%</f>
        <v>4</v>
      </c>
      <c r="N1176" s="76">
        <v>0</v>
      </c>
      <c r="O1176" s="76">
        <v>0</v>
      </c>
      <c r="P1176" s="76">
        <v>17.17</v>
      </c>
      <c r="Q1176" s="91">
        <v>505</v>
      </c>
      <c r="R1176" s="76">
        <v>7.81</v>
      </c>
      <c r="S1176" s="76">
        <v>3.94405</v>
      </c>
      <c r="T1176" s="76">
        <f>STOCK[[#This Row],[Costo Unitario (USD)]]+STOCK[[#This Row],[Costo Envío (USD)]]+STOCK[[#This Row],[Comisión 10%]]</f>
        <v>25.11405</v>
      </c>
      <c r="U1176" s="76">
        <f>STOCK[[#This Row],[Costo total]]*1.5</f>
        <v>37.671075</v>
      </c>
      <c r="V1176" s="76">
        <v>40</v>
      </c>
      <c r="W1176" s="76">
        <f>STOCK[[#This Row],[Precio Final]]-STOCK[[#This Row],[Costo total]]</f>
        <v>14.88595</v>
      </c>
      <c r="X1176" s="76">
        <f>STOCK[[#This Row],[Ganancia Unitaria]]*STOCK[[#This Row],[Salidas]]</f>
        <v>14.88595</v>
      </c>
      <c r="Y1176" s="76" t="s">
        <v>2449</v>
      </c>
      <c r="AA1176" s="76">
        <f>STOCK[[#This Row],[Costo total]]*STOCK[[#This Row],[Entradas]]</f>
        <v>25.11405</v>
      </c>
      <c r="AB1176" s="76">
        <f>STOCK[[#This Row],[Stock Actual]]*STOCK[[#This Row],[Costo total]]</f>
        <v>0</v>
      </c>
    </row>
    <row r="1177" s="77" customFormat="1" ht="50" customHeight="1" spans="1:28">
      <c r="A1177" s="77" t="s">
        <v>2484</v>
      </c>
      <c r="B1177" s="6"/>
      <c r="C1177" s="77" t="s">
        <v>30</v>
      </c>
      <c r="D1177" s="76" t="s">
        <v>1480</v>
      </c>
      <c r="E1177" s="77" t="s">
        <v>2485</v>
      </c>
      <c r="F1177" s="77" t="s">
        <v>516</v>
      </c>
      <c r="G1177" s="77" t="s">
        <v>2448</v>
      </c>
      <c r="H1177" s="77">
        <f>STOCK[[#This Row],[Precio Final]]</f>
        <v>35</v>
      </c>
      <c r="I1177" s="77">
        <f>STOCK[[#This Row],[Precio Venta Ideal (x1.5)]]</f>
        <v>41.5761</v>
      </c>
      <c r="J1177" s="92">
        <v>2</v>
      </c>
      <c r="K1177" s="92">
        <f>SUMIFS(VENTAS[Cantidad],VENTAS[Código del producto Vendido],STOCK[[#This Row],[Code]])</f>
        <v>1</v>
      </c>
      <c r="L1177" s="92">
        <f>STOCK[[#This Row],[Entradas]]-STOCK[[#This Row],[Salidas]]</f>
        <v>1</v>
      </c>
      <c r="M1177" s="77">
        <f>STOCK[[#This Row],[Precio Final]]*10%</f>
        <v>3.5</v>
      </c>
      <c r="N1177" s="77">
        <v>0</v>
      </c>
      <c r="O1177" s="77">
        <v>0</v>
      </c>
      <c r="P1177" s="77">
        <v>20</v>
      </c>
      <c r="Q1177" s="92">
        <v>540</v>
      </c>
      <c r="R1177" s="77">
        <v>7.81</v>
      </c>
      <c r="S1177" s="77">
        <v>4.2174</v>
      </c>
      <c r="T1177" s="76">
        <f>STOCK[[#This Row],[Costo Unitario (USD)]]+STOCK[[#This Row],[Costo Envío (USD)]]+STOCK[[#This Row],[Comisión 10%]]</f>
        <v>27.7174</v>
      </c>
      <c r="U1177" s="77">
        <f>STOCK[[#This Row],[Costo total]]*1.5</f>
        <v>41.5761</v>
      </c>
      <c r="V1177" s="77">
        <v>35</v>
      </c>
      <c r="W1177" s="77">
        <f>STOCK[[#This Row],[Precio Final]]-STOCK[[#This Row],[Costo total]]</f>
        <v>7.2826</v>
      </c>
      <c r="X1177" s="77">
        <f>STOCK[[#This Row],[Ganancia Unitaria]]*STOCK[[#This Row],[Salidas]]</f>
        <v>7.2826</v>
      </c>
      <c r="Y1177" s="77" t="s">
        <v>2449</v>
      </c>
      <c r="AA1177" s="77">
        <f>STOCK[[#This Row],[Costo total]]*STOCK[[#This Row],[Entradas]]</f>
        <v>55.4348</v>
      </c>
      <c r="AB1177" s="77">
        <f>STOCK[[#This Row],[Stock Actual]]*STOCK[[#This Row],[Costo total]]</f>
        <v>27.7174</v>
      </c>
    </row>
    <row r="1178" s="76" customFormat="1" ht="50" customHeight="1" spans="1:28">
      <c r="A1178" s="76" t="s">
        <v>2486</v>
      </c>
      <c r="B1178" s="6"/>
      <c r="C1178" s="76" t="s">
        <v>30</v>
      </c>
      <c r="D1178" s="76" t="s">
        <v>1480</v>
      </c>
      <c r="E1178" s="76" t="s">
        <v>2485</v>
      </c>
      <c r="F1178" s="76" t="s">
        <v>764</v>
      </c>
      <c r="G1178" s="76" t="s">
        <v>2448</v>
      </c>
      <c r="H1178" s="76">
        <f>STOCK[[#This Row],[Precio Final]]</f>
        <v>35</v>
      </c>
      <c r="I1178" s="76">
        <f>STOCK[[#This Row],[Precio Venta Ideal (x1.5)]]</f>
        <v>41.5761</v>
      </c>
      <c r="J1178" s="91">
        <v>2</v>
      </c>
      <c r="K1178" s="91">
        <f>SUMIFS(VENTAS[Cantidad],VENTAS[Código del producto Vendido],STOCK[[#This Row],[Code]])</f>
        <v>2</v>
      </c>
      <c r="L1178" s="91">
        <f>STOCK[[#This Row],[Entradas]]-STOCK[[#This Row],[Salidas]]</f>
        <v>0</v>
      </c>
      <c r="M1178" s="76">
        <f>STOCK[[#This Row],[Precio Final]]*10%</f>
        <v>3.5</v>
      </c>
      <c r="N1178" s="76">
        <v>0</v>
      </c>
      <c r="O1178" s="76">
        <v>0</v>
      </c>
      <c r="P1178" s="76">
        <v>20</v>
      </c>
      <c r="Q1178" s="91">
        <v>540</v>
      </c>
      <c r="R1178" s="76">
        <v>7.81</v>
      </c>
      <c r="S1178" s="76">
        <v>4.2174</v>
      </c>
      <c r="T1178" s="76">
        <f>STOCK[[#This Row],[Costo Unitario (USD)]]+STOCK[[#This Row],[Costo Envío (USD)]]+STOCK[[#This Row],[Comisión 10%]]</f>
        <v>27.7174</v>
      </c>
      <c r="U1178" s="76">
        <f>STOCK[[#This Row],[Costo total]]*1.5</f>
        <v>41.5761</v>
      </c>
      <c r="V1178" s="76">
        <v>35</v>
      </c>
      <c r="W1178" s="76">
        <f>STOCK[[#This Row],[Precio Final]]-STOCK[[#This Row],[Costo total]]</f>
        <v>7.2826</v>
      </c>
      <c r="X1178" s="76">
        <f>STOCK[[#This Row],[Ganancia Unitaria]]*STOCK[[#This Row],[Salidas]]</f>
        <v>14.5652</v>
      </c>
      <c r="Y1178" s="76" t="s">
        <v>2449</v>
      </c>
      <c r="AA1178" s="76">
        <f>STOCK[[#This Row],[Costo total]]*STOCK[[#This Row],[Entradas]]</f>
        <v>55.4348</v>
      </c>
      <c r="AB1178" s="76">
        <f>STOCK[[#This Row],[Stock Actual]]*STOCK[[#This Row],[Costo total]]</f>
        <v>0</v>
      </c>
    </row>
    <row r="1179" s="77" customFormat="1" ht="50" customHeight="1" spans="1:28">
      <c r="A1179" s="77" t="s">
        <v>2487</v>
      </c>
      <c r="B1179" s="6"/>
      <c r="C1179" s="77" t="s">
        <v>30</v>
      </c>
      <c r="D1179" s="76" t="s">
        <v>1480</v>
      </c>
      <c r="E1179" s="77" t="s">
        <v>2485</v>
      </c>
      <c r="F1179" s="77" t="s">
        <v>539</v>
      </c>
      <c r="G1179" s="77" t="s">
        <v>2448</v>
      </c>
      <c r="H1179" s="77">
        <f>STOCK[[#This Row],[Precio Final]]</f>
        <v>35</v>
      </c>
      <c r="I1179" s="77">
        <f>STOCK[[#This Row],[Precio Venta Ideal (x1.5)]]</f>
        <v>41.5761</v>
      </c>
      <c r="J1179" s="92">
        <v>2</v>
      </c>
      <c r="K1179" s="92">
        <f>SUMIFS(VENTAS[Cantidad],VENTAS[Código del producto Vendido],STOCK[[#This Row],[Code]])</f>
        <v>1</v>
      </c>
      <c r="L1179" s="92">
        <f>STOCK[[#This Row],[Entradas]]-STOCK[[#This Row],[Salidas]]</f>
        <v>1</v>
      </c>
      <c r="M1179" s="77">
        <f>STOCK[[#This Row],[Precio Final]]*10%</f>
        <v>3.5</v>
      </c>
      <c r="N1179" s="77">
        <v>0</v>
      </c>
      <c r="O1179" s="77">
        <v>0</v>
      </c>
      <c r="P1179" s="77">
        <v>20</v>
      </c>
      <c r="Q1179" s="92">
        <v>540</v>
      </c>
      <c r="R1179" s="77">
        <v>7.81</v>
      </c>
      <c r="S1179" s="77">
        <v>4.2174</v>
      </c>
      <c r="T1179" s="76">
        <f>STOCK[[#This Row],[Costo Unitario (USD)]]+STOCK[[#This Row],[Costo Envío (USD)]]+STOCK[[#This Row],[Comisión 10%]]</f>
        <v>27.7174</v>
      </c>
      <c r="U1179" s="77">
        <f>STOCK[[#This Row],[Costo total]]*1.5</f>
        <v>41.5761</v>
      </c>
      <c r="V1179" s="77">
        <v>35</v>
      </c>
      <c r="W1179" s="77">
        <f>STOCK[[#This Row],[Precio Final]]-STOCK[[#This Row],[Costo total]]</f>
        <v>7.2826</v>
      </c>
      <c r="X1179" s="77">
        <f>STOCK[[#This Row],[Ganancia Unitaria]]*STOCK[[#This Row],[Salidas]]</f>
        <v>7.2826</v>
      </c>
      <c r="Y1179" s="77" t="s">
        <v>2449</v>
      </c>
      <c r="AA1179" s="77">
        <f>STOCK[[#This Row],[Costo total]]*STOCK[[#This Row],[Entradas]]</f>
        <v>55.4348</v>
      </c>
      <c r="AB1179" s="77">
        <f>STOCK[[#This Row],[Stock Actual]]*STOCK[[#This Row],[Costo total]]</f>
        <v>27.7174</v>
      </c>
    </row>
    <row r="1180" s="76" customFormat="1" ht="50" customHeight="1" spans="1:28">
      <c r="A1180" s="76" t="s">
        <v>2488</v>
      </c>
      <c r="B1180" s="6"/>
      <c r="C1180" s="76" t="s">
        <v>30</v>
      </c>
      <c r="D1180" s="76" t="s">
        <v>1480</v>
      </c>
      <c r="E1180" s="76" t="s">
        <v>2485</v>
      </c>
      <c r="F1180" s="76" t="s">
        <v>762</v>
      </c>
      <c r="G1180" s="76" t="s">
        <v>2448</v>
      </c>
      <c r="H1180" s="76">
        <f>STOCK[[#This Row],[Precio Final]]</f>
        <v>35</v>
      </c>
      <c r="I1180" s="76">
        <f>STOCK[[#This Row],[Precio Venta Ideal (x1.5)]]</f>
        <v>41.5761</v>
      </c>
      <c r="J1180" s="91">
        <v>2</v>
      </c>
      <c r="K1180" s="91">
        <f>SUMIFS(VENTAS[Cantidad],VENTAS[Código del producto Vendido],STOCK[[#This Row],[Code]])</f>
        <v>1</v>
      </c>
      <c r="L1180" s="91">
        <f>STOCK[[#This Row],[Entradas]]-STOCK[[#This Row],[Salidas]]</f>
        <v>1</v>
      </c>
      <c r="M1180" s="76">
        <f>STOCK[[#This Row],[Precio Final]]*10%</f>
        <v>3.5</v>
      </c>
      <c r="N1180" s="76">
        <v>0</v>
      </c>
      <c r="O1180" s="76">
        <v>0</v>
      </c>
      <c r="P1180" s="76">
        <v>20</v>
      </c>
      <c r="Q1180" s="91">
        <v>540</v>
      </c>
      <c r="R1180" s="76">
        <v>7.81</v>
      </c>
      <c r="S1180" s="76">
        <v>4.2174</v>
      </c>
      <c r="T1180" s="76">
        <f>STOCK[[#This Row],[Costo Unitario (USD)]]+STOCK[[#This Row],[Costo Envío (USD)]]+STOCK[[#This Row],[Comisión 10%]]</f>
        <v>27.7174</v>
      </c>
      <c r="U1180" s="76">
        <f>STOCK[[#This Row],[Costo total]]*1.5</f>
        <v>41.5761</v>
      </c>
      <c r="V1180" s="76">
        <v>35</v>
      </c>
      <c r="W1180" s="76">
        <f>STOCK[[#This Row],[Precio Final]]-STOCK[[#This Row],[Costo total]]</f>
        <v>7.2826</v>
      </c>
      <c r="X1180" s="76">
        <f>STOCK[[#This Row],[Ganancia Unitaria]]*STOCK[[#This Row],[Salidas]]</f>
        <v>7.2826</v>
      </c>
      <c r="Y1180" s="76" t="s">
        <v>2449</v>
      </c>
      <c r="AA1180" s="76">
        <f>STOCK[[#This Row],[Costo total]]*STOCK[[#This Row],[Entradas]]</f>
        <v>55.4348</v>
      </c>
      <c r="AB1180" s="76">
        <f>STOCK[[#This Row],[Stock Actual]]*STOCK[[#This Row],[Costo total]]</f>
        <v>27.7174</v>
      </c>
    </row>
    <row r="1181" s="77" customFormat="1" ht="50" customHeight="1" spans="1:28">
      <c r="A1181" s="77" t="s">
        <v>2489</v>
      </c>
      <c r="B1181" s="6"/>
      <c r="C1181" s="77" t="s">
        <v>30</v>
      </c>
      <c r="D1181" s="77" t="s">
        <v>173</v>
      </c>
      <c r="E1181" s="77" t="s">
        <v>2490</v>
      </c>
      <c r="F1181" s="77" t="s">
        <v>38</v>
      </c>
      <c r="G1181" s="77" t="s">
        <v>34</v>
      </c>
      <c r="H1181" s="77">
        <f>STOCK[[#This Row],[Precio Final]]</f>
        <v>18</v>
      </c>
      <c r="I1181" s="77">
        <f>STOCK[[#This Row],[Precio Venta Ideal (x1.5)]]</f>
        <v>19.11</v>
      </c>
      <c r="J1181" s="92">
        <v>2</v>
      </c>
      <c r="K1181" s="92">
        <f>SUMIFS(VENTAS[Cantidad],VENTAS[Código del producto Vendido],STOCK[[#This Row],[Code]])</f>
        <v>0</v>
      </c>
      <c r="L1181" s="92">
        <f>STOCK[[#This Row],[Entradas]]-STOCK[[#This Row],[Salidas]]</f>
        <v>2</v>
      </c>
      <c r="M1181" s="77">
        <f>STOCK[[#This Row],[Precio Final]]*10%</f>
        <v>1.8</v>
      </c>
      <c r="N1181" s="77">
        <v>0</v>
      </c>
      <c r="O1181" s="77">
        <v>0</v>
      </c>
      <c r="P1181" s="77">
        <v>8.97</v>
      </c>
      <c r="Q1181" s="92">
        <v>0</v>
      </c>
      <c r="R1181" s="77">
        <v>0</v>
      </c>
      <c r="S1181" s="77">
        <v>1.97</v>
      </c>
      <c r="T1181" s="76">
        <f>STOCK[[#This Row],[Costo Unitario (USD)]]+STOCK[[#This Row],[Costo Envío (USD)]]+STOCK[[#This Row],[Comisión 10%]]</f>
        <v>12.74</v>
      </c>
      <c r="U1181" s="77">
        <f>STOCK[[#This Row],[Costo total]]*1.5</f>
        <v>19.11</v>
      </c>
      <c r="V1181" s="77">
        <v>18</v>
      </c>
      <c r="W1181" s="77">
        <f>STOCK[[#This Row],[Precio Final]]-STOCK[[#This Row],[Costo total]]</f>
        <v>5.26</v>
      </c>
      <c r="X1181" s="77">
        <f>STOCK[[#This Row],[Ganancia Unitaria]]*STOCK[[#This Row],[Salidas]]</f>
        <v>0</v>
      </c>
      <c r="AA1181" s="77">
        <f>STOCK[[#This Row],[Costo total]]*STOCK[[#This Row],[Entradas]]</f>
        <v>25.48</v>
      </c>
      <c r="AB1181" s="77">
        <f>STOCK[[#This Row],[Stock Actual]]*STOCK[[#This Row],[Costo total]]</f>
        <v>25.48</v>
      </c>
    </row>
    <row r="1182" s="76" customFormat="1" ht="50" customHeight="1" spans="1:28">
      <c r="A1182" s="76" t="s">
        <v>2491</v>
      </c>
      <c r="B1182" s="6"/>
      <c r="C1182" s="76" t="s">
        <v>30</v>
      </c>
      <c r="D1182" s="76" t="s">
        <v>173</v>
      </c>
      <c r="E1182" s="76" t="s">
        <v>2490</v>
      </c>
      <c r="F1182" s="76" t="s">
        <v>47</v>
      </c>
      <c r="G1182" s="76" t="s">
        <v>34</v>
      </c>
      <c r="H1182" s="76">
        <f>STOCK[[#This Row],[Precio Final]]</f>
        <v>18</v>
      </c>
      <c r="I1182" s="76">
        <f>STOCK[[#This Row],[Precio Venta Ideal (x1.5)]]</f>
        <v>19.11</v>
      </c>
      <c r="J1182" s="91">
        <v>2</v>
      </c>
      <c r="K1182" s="91">
        <f>SUMIFS(VENTAS[Cantidad],VENTAS[Código del producto Vendido],STOCK[[#This Row],[Code]])</f>
        <v>2</v>
      </c>
      <c r="L1182" s="91">
        <f>STOCK[[#This Row],[Entradas]]-STOCK[[#This Row],[Salidas]]</f>
        <v>0</v>
      </c>
      <c r="M1182" s="76">
        <f>STOCK[[#This Row],[Precio Final]]*10%</f>
        <v>1.8</v>
      </c>
      <c r="N1182" s="76">
        <v>0</v>
      </c>
      <c r="O1182" s="76">
        <v>0</v>
      </c>
      <c r="P1182" s="76">
        <v>8.97</v>
      </c>
      <c r="Q1182" s="91">
        <v>0</v>
      </c>
      <c r="R1182" s="76">
        <v>0</v>
      </c>
      <c r="S1182" s="76">
        <v>1.97</v>
      </c>
      <c r="T1182" s="76">
        <f>STOCK[[#This Row],[Costo Unitario (USD)]]+STOCK[[#This Row],[Costo Envío (USD)]]+STOCK[[#This Row],[Comisión 10%]]</f>
        <v>12.74</v>
      </c>
      <c r="U1182" s="76">
        <f>STOCK[[#This Row],[Costo total]]*1.5</f>
        <v>19.11</v>
      </c>
      <c r="V1182" s="76">
        <v>18</v>
      </c>
      <c r="W1182" s="76">
        <f>STOCK[[#This Row],[Precio Final]]-STOCK[[#This Row],[Costo total]]</f>
        <v>5.26</v>
      </c>
      <c r="X1182" s="76">
        <f>STOCK[[#This Row],[Ganancia Unitaria]]*STOCK[[#This Row],[Salidas]]</f>
        <v>10.52</v>
      </c>
      <c r="AA1182" s="76">
        <f>STOCK[[#This Row],[Costo total]]*STOCK[[#This Row],[Entradas]]</f>
        <v>25.48</v>
      </c>
      <c r="AB1182" s="76">
        <f>STOCK[[#This Row],[Stock Actual]]*STOCK[[#This Row],[Costo total]]</f>
        <v>0</v>
      </c>
    </row>
    <row r="1183" s="77" customFormat="1" ht="50" customHeight="1" spans="1:28">
      <c r="A1183" s="77" t="s">
        <v>2492</v>
      </c>
      <c r="B1183" s="6"/>
      <c r="C1183" s="77" t="s">
        <v>30</v>
      </c>
      <c r="D1183" s="77" t="s">
        <v>173</v>
      </c>
      <c r="E1183" s="77" t="s">
        <v>2490</v>
      </c>
      <c r="F1183" s="77" t="s">
        <v>60</v>
      </c>
      <c r="G1183" s="77" t="s">
        <v>34</v>
      </c>
      <c r="H1183" s="77">
        <f>STOCK[[#This Row],[Precio Final]]</f>
        <v>18</v>
      </c>
      <c r="I1183" s="77">
        <f>STOCK[[#This Row],[Precio Venta Ideal (x1.5)]]</f>
        <v>19.11</v>
      </c>
      <c r="J1183" s="92">
        <v>3</v>
      </c>
      <c r="K1183" s="92">
        <f>SUMIFS(VENTAS[Cantidad],VENTAS[Código del producto Vendido],STOCK[[#This Row],[Code]])</f>
        <v>1</v>
      </c>
      <c r="L1183" s="92">
        <f>STOCK[[#This Row],[Entradas]]-STOCK[[#This Row],[Salidas]]</f>
        <v>2</v>
      </c>
      <c r="M1183" s="77">
        <f>STOCK[[#This Row],[Precio Final]]*10%</f>
        <v>1.8</v>
      </c>
      <c r="N1183" s="77">
        <v>0</v>
      </c>
      <c r="O1183" s="77">
        <v>0</v>
      </c>
      <c r="P1183" s="77">
        <v>8.97</v>
      </c>
      <c r="Q1183" s="92">
        <v>0</v>
      </c>
      <c r="R1183" s="77">
        <v>0</v>
      </c>
      <c r="S1183" s="77">
        <v>1.97</v>
      </c>
      <c r="T1183" s="76">
        <f>STOCK[[#This Row],[Costo Unitario (USD)]]+STOCK[[#This Row],[Costo Envío (USD)]]+STOCK[[#This Row],[Comisión 10%]]</f>
        <v>12.74</v>
      </c>
      <c r="U1183" s="77">
        <f>STOCK[[#This Row],[Costo total]]*1.5</f>
        <v>19.11</v>
      </c>
      <c r="V1183" s="77">
        <v>18</v>
      </c>
      <c r="W1183" s="77">
        <f>STOCK[[#This Row],[Precio Final]]-STOCK[[#This Row],[Costo total]]</f>
        <v>5.26</v>
      </c>
      <c r="X1183" s="77">
        <f>STOCK[[#This Row],[Ganancia Unitaria]]*STOCK[[#This Row],[Salidas]]</f>
        <v>5.26</v>
      </c>
      <c r="AA1183" s="77">
        <f>STOCK[[#This Row],[Costo total]]*STOCK[[#This Row],[Entradas]]</f>
        <v>38.22</v>
      </c>
      <c r="AB1183" s="77">
        <f>STOCK[[#This Row],[Stock Actual]]*STOCK[[#This Row],[Costo total]]</f>
        <v>25.48</v>
      </c>
    </row>
    <row r="1184" s="76" customFormat="1" ht="50" customHeight="1" spans="1:28">
      <c r="A1184" s="76" t="s">
        <v>2493</v>
      </c>
      <c r="B1184" s="6"/>
      <c r="C1184" s="76" t="s">
        <v>30</v>
      </c>
      <c r="D1184" s="76" t="s">
        <v>487</v>
      </c>
      <c r="E1184" s="76" t="s">
        <v>2494</v>
      </c>
      <c r="F1184" s="76" t="s">
        <v>2495</v>
      </c>
      <c r="G1184" s="76" t="s">
        <v>34</v>
      </c>
      <c r="H1184" s="76">
        <f>STOCK[[#This Row],[Precio Final]]</f>
        <v>25</v>
      </c>
      <c r="I1184" s="76">
        <f>STOCK[[#This Row],[Precio Venta Ideal (x1.5)]]</f>
        <v>20.835</v>
      </c>
      <c r="J1184" s="91">
        <v>3</v>
      </c>
      <c r="K1184" s="91">
        <f>SUMIFS(VENTAS[Cantidad],VENTAS[Código del producto Vendido],STOCK[[#This Row],[Code]])</f>
        <v>2</v>
      </c>
      <c r="L1184" s="91">
        <f>STOCK[[#This Row],[Entradas]]-STOCK[[#This Row],[Salidas]]</f>
        <v>1</v>
      </c>
      <c r="M1184" s="76">
        <f>STOCK[[#This Row],[Precio Final]]*10%</f>
        <v>2.5</v>
      </c>
      <c r="N1184" s="76">
        <v>0</v>
      </c>
      <c r="O1184" s="76">
        <v>0</v>
      </c>
      <c r="P1184" s="76">
        <v>9.42</v>
      </c>
      <c r="Q1184" s="91">
        <v>0</v>
      </c>
      <c r="R1184" s="76">
        <v>0</v>
      </c>
      <c r="S1184" s="76">
        <v>1.97</v>
      </c>
      <c r="T1184" s="76">
        <f>STOCK[[#This Row],[Costo Unitario (USD)]]+STOCK[[#This Row],[Costo Envío (USD)]]+STOCK[[#This Row],[Comisión 10%]]</f>
        <v>13.89</v>
      </c>
      <c r="U1184" s="76">
        <f>STOCK[[#This Row],[Costo total]]*1.5</f>
        <v>20.835</v>
      </c>
      <c r="V1184" s="76">
        <v>25</v>
      </c>
      <c r="W1184" s="76">
        <f>STOCK[[#This Row],[Precio Final]]-STOCK[[#This Row],[Costo total]]</f>
        <v>11.11</v>
      </c>
      <c r="X1184" s="76">
        <f>STOCK[[#This Row],[Ganancia Unitaria]]*STOCK[[#This Row],[Salidas]]</f>
        <v>22.22</v>
      </c>
      <c r="AA1184" s="76">
        <f>STOCK[[#This Row],[Costo total]]*STOCK[[#This Row],[Entradas]]</f>
        <v>41.67</v>
      </c>
      <c r="AB1184" s="76">
        <f>STOCK[[#This Row],[Stock Actual]]*STOCK[[#This Row],[Costo total]]</f>
        <v>13.89</v>
      </c>
    </row>
    <row r="1185" s="77" customFormat="1" ht="50" customHeight="1" spans="1:28">
      <c r="A1185" s="77" t="s">
        <v>2496</v>
      </c>
      <c r="B1185" s="6"/>
      <c r="C1185" s="77" t="s">
        <v>30</v>
      </c>
      <c r="D1185" s="77" t="s">
        <v>487</v>
      </c>
      <c r="E1185" s="77" t="s">
        <v>2497</v>
      </c>
      <c r="G1185" s="77" t="s">
        <v>34</v>
      </c>
      <c r="H1185" s="77">
        <f>STOCK[[#This Row],[Precio Final]]</f>
        <v>25</v>
      </c>
      <c r="I1185" s="77">
        <f>STOCK[[#This Row],[Precio Venta Ideal (x1.5)]]</f>
        <v>21.255</v>
      </c>
      <c r="J1185" s="92">
        <v>4</v>
      </c>
      <c r="K1185" s="92">
        <f>SUMIFS(VENTAS[Cantidad],VENTAS[Código del producto Vendido],STOCK[[#This Row],[Code]])</f>
        <v>4</v>
      </c>
      <c r="L1185" s="92">
        <f>STOCK[[#This Row],[Entradas]]-STOCK[[#This Row],[Salidas]]</f>
        <v>0</v>
      </c>
      <c r="M1185" s="77">
        <f>STOCK[[#This Row],[Precio Final]]*10%</f>
        <v>2.5</v>
      </c>
      <c r="N1185" s="77">
        <v>0</v>
      </c>
      <c r="O1185" s="77">
        <v>0</v>
      </c>
      <c r="P1185" s="77">
        <v>9.7</v>
      </c>
      <c r="Q1185" s="92">
        <v>0</v>
      </c>
      <c r="R1185" s="77">
        <v>0</v>
      </c>
      <c r="S1185" s="77">
        <v>1.97</v>
      </c>
      <c r="T1185" s="76">
        <f>STOCK[[#This Row],[Costo Unitario (USD)]]+STOCK[[#This Row],[Costo Envío (USD)]]+STOCK[[#This Row],[Comisión 10%]]</f>
        <v>14.17</v>
      </c>
      <c r="U1185" s="77">
        <f>STOCK[[#This Row],[Costo total]]*1.5</f>
        <v>21.255</v>
      </c>
      <c r="V1185" s="77">
        <v>25</v>
      </c>
      <c r="W1185" s="77">
        <f>STOCK[[#This Row],[Precio Final]]-STOCK[[#This Row],[Costo total]]</f>
        <v>10.83</v>
      </c>
      <c r="X1185" s="77">
        <f>STOCK[[#This Row],[Ganancia Unitaria]]*STOCK[[#This Row],[Salidas]]</f>
        <v>43.32</v>
      </c>
      <c r="AA1185" s="77">
        <f>STOCK[[#This Row],[Costo total]]*STOCK[[#This Row],[Entradas]]</f>
        <v>56.68</v>
      </c>
      <c r="AB1185" s="77">
        <f>STOCK[[#This Row],[Stock Actual]]*STOCK[[#This Row],[Costo total]]</f>
        <v>0</v>
      </c>
    </row>
    <row r="1186" s="76" customFormat="1" ht="50" customHeight="1" spans="1:28">
      <c r="A1186" s="76" t="s">
        <v>2498</v>
      </c>
      <c r="B1186" s="6"/>
      <c r="C1186" s="76" t="s">
        <v>30</v>
      </c>
      <c r="D1186" s="76" t="s">
        <v>487</v>
      </c>
      <c r="E1186" s="76" t="s">
        <v>2499</v>
      </c>
      <c r="G1186" s="76" t="s">
        <v>34</v>
      </c>
      <c r="H1186" s="76">
        <f>STOCK[[#This Row],[Precio Final]]</f>
        <v>22</v>
      </c>
      <c r="I1186" s="76">
        <f>STOCK[[#This Row],[Precio Venta Ideal (x1.5)]]</f>
        <v>20.25</v>
      </c>
      <c r="J1186" s="91">
        <v>3</v>
      </c>
      <c r="K1186" s="91">
        <f>SUMIFS(VENTAS[Cantidad],VENTAS[Código del producto Vendido],STOCK[[#This Row],[Code]])</f>
        <v>3</v>
      </c>
      <c r="L1186" s="91">
        <f>STOCK[[#This Row],[Entradas]]-STOCK[[#This Row],[Salidas]]</f>
        <v>0</v>
      </c>
      <c r="M1186" s="76">
        <f>STOCK[[#This Row],[Precio Final]]*10%</f>
        <v>2.2</v>
      </c>
      <c r="N1186" s="76">
        <v>0</v>
      </c>
      <c r="O1186" s="76">
        <v>0</v>
      </c>
      <c r="P1186" s="76">
        <v>9.33</v>
      </c>
      <c r="Q1186" s="91">
        <v>0</v>
      </c>
      <c r="R1186" s="76">
        <v>0</v>
      </c>
      <c r="S1186" s="76">
        <v>1.97</v>
      </c>
      <c r="T1186" s="76">
        <f>STOCK[[#This Row],[Costo Unitario (USD)]]+STOCK[[#This Row],[Costo Envío (USD)]]+STOCK[[#This Row],[Comisión 10%]]</f>
        <v>13.5</v>
      </c>
      <c r="U1186" s="76">
        <f>STOCK[[#This Row],[Costo total]]*1.5</f>
        <v>20.25</v>
      </c>
      <c r="V1186" s="76">
        <v>22</v>
      </c>
      <c r="W1186" s="76">
        <f>STOCK[[#This Row],[Precio Final]]-STOCK[[#This Row],[Costo total]]</f>
        <v>8.5</v>
      </c>
      <c r="X1186" s="76">
        <f>STOCK[[#This Row],[Ganancia Unitaria]]*STOCK[[#This Row],[Salidas]]</f>
        <v>25.5</v>
      </c>
      <c r="AA1186" s="76">
        <f>STOCK[[#This Row],[Costo total]]*STOCK[[#This Row],[Entradas]]</f>
        <v>40.5</v>
      </c>
      <c r="AB1186" s="76">
        <f>STOCK[[#This Row],[Stock Actual]]*STOCK[[#This Row],[Costo total]]</f>
        <v>0</v>
      </c>
    </row>
    <row r="1187" s="77" customFormat="1" ht="50" customHeight="1" spans="1:28">
      <c r="A1187" s="77" t="s">
        <v>2500</v>
      </c>
      <c r="B1187" s="6"/>
      <c r="C1187" s="77" t="s">
        <v>30</v>
      </c>
      <c r="D1187" s="77" t="s">
        <v>173</v>
      </c>
      <c r="E1187" s="77" t="s">
        <v>2501</v>
      </c>
      <c r="F1187" s="77" t="s">
        <v>60</v>
      </c>
      <c r="G1187" s="77" t="s">
        <v>34</v>
      </c>
      <c r="H1187" s="77">
        <f>STOCK[[#This Row],[Precio Final]]</f>
        <v>20</v>
      </c>
      <c r="I1187" s="77">
        <f>STOCK[[#This Row],[Precio Venta Ideal (x1.5)]]</f>
        <v>19.38</v>
      </c>
      <c r="J1187" s="92">
        <v>1</v>
      </c>
      <c r="K1187" s="92">
        <f>SUMIFS(VENTAS[Cantidad],VENTAS[Código del producto Vendido],STOCK[[#This Row],[Code]])</f>
        <v>0</v>
      </c>
      <c r="L1187" s="92">
        <f>STOCK[[#This Row],[Entradas]]-STOCK[[#This Row],[Salidas]]</f>
        <v>1</v>
      </c>
      <c r="M1187" s="77">
        <f>STOCK[[#This Row],[Precio Final]]*10%</f>
        <v>2</v>
      </c>
      <c r="N1187" s="77">
        <v>0</v>
      </c>
      <c r="O1187" s="77">
        <v>0</v>
      </c>
      <c r="P1187" s="77">
        <v>8.95</v>
      </c>
      <c r="Q1187" s="92">
        <v>0</v>
      </c>
      <c r="R1187" s="77">
        <v>0</v>
      </c>
      <c r="S1187" s="77">
        <v>1.97</v>
      </c>
      <c r="T1187" s="76">
        <f>STOCK[[#This Row],[Costo Unitario (USD)]]+STOCK[[#This Row],[Costo Envío (USD)]]+STOCK[[#This Row],[Comisión 10%]]</f>
        <v>12.92</v>
      </c>
      <c r="U1187" s="77">
        <f>STOCK[[#This Row],[Costo total]]*1.5</f>
        <v>19.38</v>
      </c>
      <c r="V1187" s="77">
        <v>20</v>
      </c>
      <c r="W1187" s="77">
        <f>STOCK[[#This Row],[Precio Final]]-STOCK[[#This Row],[Costo total]]</f>
        <v>7.08</v>
      </c>
      <c r="X1187" s="77">
        <f>STOCK[[#This Row],[Ganancia Unitaria]]*STOCK[[#This Row],[Salidas]]</f>
        <v>0</v>
      </c>
      <c r="AA1187" s="77">
        <f>STOCK[[#This Row],[Costo total]]*STOCK[[#This Row],[Entradas]]</f>
        <v>12.92</v>
      </c>
      <c r="AB1187" s="77">
        <f>STOCK[[#This Row],[Stock Actual]]*STOCK[[#This Row],[Costo total]]</f>
        <v>12.92</v>
      </c>
    </row>
    <row r="1188" s="76" customFormat="1" ht="50" customHeight="1" spans="1:28">
      <c r="A1188" s="76" t="s">
        <v>2502</v>
      </c>
      <c r="B1188" s="6"/>
      <c r="C1188" s="76" t="s">
        <v>30</v>
      </c>
      <c r="D1188" s="76" t="s">
        <v>173</v>
      </c>
      <c r="E1188" s="76" t="s">
        <v>2501</v>
      </c>
      <c r="F1188" s="76" t="s">
        <v>47</v>
      </c>
      <c r="G1188" s="76" t="s">
        <v>34</v>
      </c>
      <c r="H1188" s="76">
        <f>STOCK[[#This Row],[Precio Final]]</f>
        <v>20</v>
      </c>
      <c r="I1188" s="76">
        <f>STOCK[[#This Row],[Precio Venta Ideal (x1.5)]]</f>
        <v>19.38</v>
      </c>
      <c r="J1188" s="91">
        <v>1</v>
      </c>
      <c r="K1188" s="91">
        <f>SUMIFS(VENTAS[Cantidad],VENTAS[Código del producto Vendido],STOCK[[#This Row],[Code]])</f>
        <v>0</v>
      </c>
      <c r="L1188" s="91">
        <f>STOCK[[#This Row],[Entradas]]-STOCK[[#This Row],[Salidas]]</f>
        <v>1</v>
      </c>
      <c r="M1188" s="76">
        <f>STOCK[[#This Row],[Precio Final]]*10%</f>
        <v>2</v>
      </c>
      <c r="N1188" s="76">
        <v>0</v>
      </c>
      <c r="O1188" s="76">
        <v>0</v>
      </c>
      <c r="P1188" s="76">
        <v>8.95</v>
      </c>
      <c r="Q1188" s="91">
        <v>0</v>
      </c>
      <c r="R1188" s="76">
        <v>0</v>
      </c>
      <c r="S1188" s="76">
        <v>1.97</v>
      </c>
      <c r="T1188" s="76">
        <f>STOCK[[#This Row],[Costo Unitario (USD)]]+STOCK[[#This Row],[Costo Envío (USD)]]+STOCK[[#This Row],[Comisión 10%]]</f>
        <v>12.92</v>
      </c>
      <c r="U1188" s="76">
        <f>STOCK[[#This Row],[Costo total]]*1.5</f>
        <v>19.38</v>
      </c>
      <c r="V1188" s="76">
        <v>20</v>
      </c>
      <c r="W1188" s="76">
        <f>STOCK[[#This Row],[Precio Final]]-STOCK[[#This Row],[Costo total]]</f>
        <v>7.08</v>
      </c>
      <c r="X1188" s="76">
        <f>STOCK[[#This Row],[Ganancia Unitaria]]*STOCK[[#This Row],[Salidas]]</f>
        <v>0</v>
      </c>
      <c r="AA1188" s="76">
        <f>STOCK[[#This Row],[Costo total]]*STOCK[[#This Row],[Entradas]]</f>
        <v>12.92</v>
      </c>
      <c r="AB1188" s="76">
        <f>STOCK[[#This Row],[Stock Actual]]*STOCK[[#This Row],[Costo total]]</f>
        <v>12.92</v>
      </c>
    </row>
    <row r="1189" s="77" customFormat="1" ht="50" customHeight="1" spans="1:28">
      <c r="A1189" s="77" t="s">
        <v>2503</v>
      </c>
      <c r="B1189" s="6"/>
      <c r="C1189" s="77" t="s">
        <v>30</v>
      </c>
      <c r="D1189" s="77" t="s">
        <v>173</v>
      </c>
      <c r="E1189" s="77" t="s">
        <v>2501</v>
      </c>
      <c r="F1189" s="77" t="s">
        <v>44</v>
      </c>
      <c r="G1189" s="77" t="s">
        <v>34</v>
      </c>
      <c r="H1189" s="77">
        <f>STOCK[[#This Row],[Precio Final]]</f>
        <v>20</v>
      </c>
      <c r="I1189" s="77">
        <f>STOCK[[#This Row],[Precio Venta Ideal (x1.5)]]</f>
        <v>19.38</v>
      </c>
      <c r="J1189" s="92">
        <v>1</v>
      </c>
      <c r="K1189" s="92">
        <f>SUMIFS(VENTAS[Cantidad],VENTAS[Código del producto Vendido],STOCK[[#This Row],[Code]])</f>
        <v>1</v>
      </c>
      <c r="L1189" s="92">
        <f>STOCK[[#This Row],[Entradas]]-STOCK[[#This Row],[Salidas]]</f>
        <v>0</v>
      </c>
      <c r="M1189" s="77">
        <f>STOCK[[#This Row],[Precio Final]]*10%</f>
        <v>2</v>
      </c>
      <c r="N1189" s="77">
        <v>0</v>
      </c>
      <c r="O1189" s="77">
        <v>0</v>
      </c>
      <c r="P1189" s="77">
        <v>8.95</v>
      </c>
      <c r="Q1189" s="92">
        <v>0</v>
      </c>
      <c r="R1189" s="77">
        <v>0</v>
      </c>
      <c r="S1189" s="77">
        <v>1.97</v>
      </c>
      <c r="T1189" s="76">
        <f>STOCK[[#This Row],[Costo Unitario (USD)]]+STOCK[[#This Row],[Costo Envío (USD)]]+STOCK[[#This Row],[Comisión 10%]]</f>
        <v>12.92</v>
      </c>
      <c r="U1189" s="77">
        <f>STOCK[[#This Row],[Costo total]]*1.5</f>
        <v>19.38</v>
      </c>
      <c r="V1189" s="77">
        <v>20</v>
      </c>
      <c r="W1189" s="77">
        <f>STOCK[[#This Row],[Precio Final]]-STOCK[[#This Row],[Costo total]]</f>
        <v>7.08</v>
      </c>
      <c r="X1189" s="77">
        <f>STOCK[[#This Row],[Ganancia Unitaria]]*STOCK[[#This Row],[Salidas]]</f>
        <v>7.08</v>
      </c>
      <c r="AA1189" s="77">
        <f>STOCK[[#This Row],[Costo total]]*STOCK[[#This Row],[Entradas]]</f>
        <v>12.92</v>
      </c>
      <c r="AB1189" s="77">
        <f>STOCK[[#This Row],[Stock Actual]]*STOCK[[#This Row],[Costo total]]</f>
        <v>0</v>
      </c>
    </row>
    <row r="1190" s="76" customFormat="1" ht="50" customHeight="1" spans="1:28">
      <c r="A1190" s="76" t="s">
        <v>2504</v>
      </c>
      <c r="B1190" s="6"/>
      <c r="C1190" s="76" t="s">
        <v>30</v>
      </c>
      <c r="D1190" s="76" t="s">
        <v>151</v>
      </c>
      <c r="E1190" s="76" t="s">
        <v>2505</v>
      </c>
      <c r="F1190" s="76" t="s">
        <v>38</v>
      </c>
      <c r="G1190" s="76" t="s">
        <v>34</v>
      </c>
      <c r="H1190" s="76">
        <f>STOCK[[#This Row],[Precio Final]]</f>
        <v>30</v>
      </c>
      <c r="I1190" s="76">
        <f>STOCK[[#This Row],[Precio Venta Ideal (x1.5)]]</f>
        <v>33.285</v>
      </c>
      <c r="J1190" s="91">
        <v>1</v>
      </c>
      <c r="K1190" s="91">
        <f>SUMIFS(VENTAS[Cantidad],VENTAS[Código del producto Vendido],STOCK[[#This Row],[Code]])</f>
        <v>0</v>
      </c>
      <c r="L1190" s="91">
        <f>STOCK[[#This Row],[Entradas]]-STOCK[[#This Row],[Salidas]]</f>
        <v>1</v>
      </c>
      <c r="M1190" s="76">
        <f>STOCK[[#This Row],[Precio Final]]*10%</f>
        <v>3</v>
      </c>
      <c r="N1190" s="76">
        <v>0</v>
      </c>
      <c r="O1190" s="76">
        <v>0</v>
      </c>
      <c r="P1190" s="76">
        <v>17.22</v>
      </c>
      <c r="Q1190" s="91">
        <v>0</v>
      </c>
      <c r="R1190" s="76">
        <v>0</v>
      </c>
      <c r="S1190" s="76">
        <v>1.97</v>
      </c>
      <c r="T1190" s="76">
        <f>STOCK[[#This Row],[Costo Unitario (USD)]]+STOCK[[#This Row],[Costo Envío (USD)]]+STOCK[[#This Row],[Comisión 10%]]</f>
        <v>22.19</v>
      </c>
      <c r="U1190" s="76">
        <f>STOCK[[#This Row],[Costo total]]*1.5</f>
        <v>33.285</v>
      </c>
      <c r="V1190" s="76">
        <v>30</v>
      </c>
      <c r="W1190" s="76">
        <f>STOCK[[#This Row],[Precio Final]]-STOCK[[#This Row],[Costo total]]</f>
        <v>7.81</v>
      </c>
      <c r="X1190" s="76">
        <f>STOCK[[#This Row],[Ganancia Unitaria]]*STOCK[[#This Row],[Salidas]]</f>
        <v>0</v>
      </c>
      <c r="AA1190" s="76">
        <f>STOCK[[#This Row],[Costo total]]*STOCK[[#This Row],[Entradas]]</f>
        <v>22.19</v>
      </c>
      <c r="AB1190" s="76">
        <f>STOCK[[#This Row],[Stock Actual]]*STOCK[[#This Row],[Costo total]]</f>
        <v>22.19</v>
      </c>
    </row>
    <row r="1191" s="77" customFormat="1" ht="50" customHeight="1" spans="1:28">
      <c r="A1191" s="77" t="s">
        <v>2506</v>
      </c>
      <c r="B1191" s="6"/>
      <c r="C1191" s="77" t="s">
        <v>30</v>
      </c>
      <c r="D1191" s="77" t="s">
        <v>151</v>
      </c>
      <c r="E1191" s="77" t="s">
        <v>2505</v>
      </c>
      <c r="F1191" s="77" t="s">
        <v>60</v>
      </c>
      <c r="G1191" s="77" t="s">
        <v>34</v>
      </c>
      <c r="H1191" s="77">
        <f>STOCK[[#This Row],[Precio Final]]</f>
        <v>30</v>
      </c>
      <c r="I1191" s="77">
        <f>STOCK[[#This Row],[Precio Venta Ideal (x1.5)]]</f>
        <v>33.285</v>
      </c>
      <c r="J1191" s="92">
        <v>1</v>
      </c>
      <c r="K1191" s="92">
        <f>SUMIFS(VENTAS[Cantidad],VENTAS[Código del producto Vendido],STOCK[[#This Row],[Code]])</f>
        <v>1</v>
      </c>
      <c r="L1191" s="92">
        <f>STOCK[[#This Row],[Entradas]]-STOCK[[#This Row],[Salidas]]</f>
        <v>0</v>
      </c>
      <c r="M1191" s="77">
        <f>STOCK[[#This Row],[Precio Final]]*10%</f>
        <v>3</v>
      </c>
      <c r="N1191" s="77">
        <v>0</v>
      </c>
      <c r="O1191" s="77">
        <v>0</v>
      </c>
      <c r="P1191" s="77">
        <v>17.22</v>
      </c>
      <c r="Q1191" s="92">
        <v>0</v>
      </c>
      <c r="R1191" s="77">
        <v>0</v>
      </c>
      <c r="S1191" s="77">
        <v>1.97</v>
      </c>
      <c r="T1191" s="76">
        <f>STOCK[[#This Row],[Costo Unitario (USD)]]+STOCK[[#This Row],[Costo Envío (USD)]]+STOCK[[#This Row],[Comisión 10%]]</f>
        <v>22.19</v>
      </c>
      <c r="U1191" s="77">
        <f>STOCK[[#This Row],[Costo total]]*1.5</f>
        <v>33.285</v>
      </c>
      <c r="V1191" s="77">
        <v>30</v>
      </c>
      <c r="W1191" s="77">
        <f>STOCK[[#This Row],[Precio Final]]-STOCK[[#This Row],[Costo total]]</f>
        <v>7.81</v>
      </c>
      <c r="X1191" s="77">
        <f>STOCK[[#This Row],[Ganancia Unitaria]]*STOCK[[#This Row],[Salidas]]</f>
        <v>7.81</v>
      </c>
      <c r="AA1191" s="77">
        <f>STOCK[[#This Row],[Costo total]]*STOCK[[#This Row],[Entradas]]</f>
        <v>22.19</v>
      </c>
      <c r="AB1191" s="77">
        <f>STOCK[[#This Row],[Stock Actual]]*STOCK[[#This Row],[Costo total]]</f>
        <v>0</v>
      </c>
    </row>
    <row r="1192" s="76" customFormat="1" ht="50" customHeight="1" spans="1:28">
      <c r="A1192" s="76" t="s">
        <v>2507</v>
      </c>
      <c r="B1192" s="6"/>
      <c r="C1192" s="76" t="s">
        <v>30</v>
      </c>
      <c r="D1192" s="76" t="s">
        <v>151</v>
      </c>
      <c r="E1192" s="76" t="s">
        <v>2505</v>
      </c>
      <c r="F1192" s="76" t="s">
        <v>47</v>
      </c>
      <c r="G1192" s="76" t="s">
        <v>34</v>
      </c>
      <c r="H1192" s="76">
        <f>STOCK[[#This Row],[Precio Final]]</f>
        <v>30</v>
      </c>
      <c r="I1192" s="76">
        <f>STOCK[[#This Row],[Precio Venta Ideal (x1.5)]]</f>
        <v>33.285</v>
      </c>
      <c r="J1192" s="91">
        <v>1</v>
      </c>
      <c r="K1192" s="91">
        <f>SUMIFS(VENTAS[Cantidad],VENTAS[Código del producto Vendido],STOCK[[#This Row],[Code]])</f>
        <v>1</v>
      </c>
      <c r="L1192" s="91">
        <f>STOCK[[#This Row],[Entradas]]-STOCK[[#This Row],[Salidas]]</f>
        <v>0</v>
      </c>
      <c r="M1192" s="76">
        <f>STOCK[[#This Row],[Precio Final]]*10%</f>
        <v>3</v>
      </c>
      <c r="N1192" s="76">
        <v>0</v>
      </c>
      <c r="O1192" s="76">
        <v>0</v>
      </c>
      <c r="P1192" s="76">
        <v>17.22</v>
      </c>
      <c r="Q1192" s="91">
        <v>0</v>
      </c>
      <c r="R1192" s="76">
        <v>0</v>
      </c>
      <c r="S1192" s="76">
        <v>1.97</v>
      </c>
      <c r="T1192" s="76">
        <f>STOCK[[#This Row],[Costo Unitario (USD)]]+STOCK[[#This Row],[Costo Envío (USD)]]+STOCK[[#This Row],[Comisión 10%]]</f>
        <v>22.19</v>
      </c>
      <c r="U1192" s="76">
        <f>STOCK[[#This Row],[Costo total]]*1.5</f>
        <v>33.285</v>
      </c>
      <c r="V1192" s="76">
        <v>30</v>
      </c>
      <c r="W1192" s="76">
        <f>STOCK[[#This Row],[Precio Final]]-STOCK[[#This Row],[Costo total]]</f>
        <v>7.81</v>
      </c>
      <c r="X1192" s="76">
        <f>STOCK[[#This Row],[Ganancia Unitaria]]*STOCK[[#This Row],[Salidas]]</f>
        <v>7.81</v>
      </c>
      <c r="AA1192" s="76">
        <f>STOCK[[#This Row],[Costo total]]*STOCK[[#This Row],[Entradas]]</f>
        <v>22.19</v>
      </c>
      <c r="AB1192" s="76">
        <f>STOCK[[#This Row],[Stock Actual]]*STOCK[[#This Row],[Costo total]]</f>
        <v>0</v>
      </c>
    </row>
    <row r="1193" s="77" customFormat="1" ht="50" customHeight="1" spans="1:28">
      <c r="A1193" s="77" t="s">
        <v>2508</v>
      </c>
      <c r="B1193" s="6"/>
      <c r="C1193" s="77" t="s">
        <v>30</v>
      </c>
      <c r="D1193" s="77" t="s">
        <v>173</v>
      </c>
      <c r="E1193" s="77" t="s">
        <v>2509</v>
      </c>
      <c r="F1193" s="77" t="s">
        <v>60</v>
      </c>
      <c r="G1193" s="77" t="s">
        <v>34</v>
      </c>
      <c r="H1193" s="77">
        <f>STOCK[[#This Row],[Precio Final]]</f>
        <v>22</v>
      </c>
      <c r="I1193" s="77">
        <f>STOCK[[#This Row],[Precio Venta Ideal (x1.5)]]</f>
        <v>20.25</v>
      </c>
      <c r="J1193" s="92">
        <v>2</v>
      </c>
      <c r="K1193" s="92">
        <f>SUMIFS(VENTAS[Cantidad],VENTAS[Código del producto Vendido],STOCK[[#This Row],[Code]])</f>
        <v>2</v>
      </c>
      <c r="L1193" s="92">
        <f>STOCK[[#This Row],[Entradas]]-STOCK[[#This Row],[Salidas]]</f>
        <v>0</v>
      </c>
      <c r="M1193" s="77">
        <f>STOCK[[#This Row],[Precio Final]]*10%</f>
        <v>2.2</v>
      </c>
      <c r="N1193" s="77">
        <v>0</v>
      </c>
      <c r="O1193" s="77">
        <v>0</v>
      </c>
      <c r="P1193" s="77">
        <v>9.33</v>
      </c>
      <c r="Q1193" s="92">
        <v>0</v>
      </c>
      <c r="R1193" s="77">
        <v>0</v>
      </c>
      <c r="S1193" s="77">
        <v>1.97</v>
      </c>
      <c r="T1193" s="76">
        <f>STOCK[[#This Row],[Costo Unitario (USD)]]+STOCK[[#This Row],[Costo Envío (USD)]]+STOCK[[#This Row],[Comisión 10%]]</f>
        <v>13.5</v>
      </c>
      <c r="U1193" s="77">
        <f>STOCK[[#This Row],[Costo total]]*1.5</f>
        <v>20.25</v>
      </c>
      <c r="V1193" s="77">
        <v>22</v>
      </c>
      <c r="W1193" s="77">
        <f>STOCK[[#This Row],[Precio Final]]-STOCK[[#This Row],[Costo total]]</f>
        <v>8.5</v>
      </c>
      <c r="X1193" s="77">
        <f>STOCK[[#This Row],[Ganancia Unitaria]]*STOCK[[#This Row],[Salidas]]</f>
        <v>17</v>
      </c>
      <c r="AA1193" s="77">
        <f>STOCK[[#This Row],[Costo total]]*STOCK[[#This Row],[Entradas]]</f>
        <v>27</v>
      </c>
      <c r="AB1193" s="77">
        <f>STOCK[[#This Row],[Stock Actual]]*STOCK[[#This Row],[Costo total]]</f>
        <v>0</v>
      </c>
    </row>
    <row r="1194" s="76" customFormat="1" ht="50" customHeight="1" spans="1:28">
      <c r="A1194" s="76" t="s">
        <v>2510</v>
      </c>
      <c r="B1194" s="6"/>
      <c r="C1194" s="76" t="s">
        <v>30</v>
      </c>
      <c r="D1194" s="76" t="s">
        <v>173</v>
      </c>
      <c r="E1194" s="76" t="s">
        <v>2509</v>
      </c>
      <c r="F1194" s="76" t="s">
        <v>47</v>
      </c>
      <c r="G1194" s="76" t="s">
        <v>34</v>
      </c>
      <c r="H1194" s="76">
        <f>STOCK[[#This Row],[Precio Final]]</f>
        <v>22</v>
      </c>
      <c r="I1194" s="76">
        <f>STOCK[[#This Row],[Precio Venta Ideal (x1.5)]]</f>
        <v>20.25</v>
      </c>
      <c r="J1194" s="91">
        <v>2</v>
      </c>
      <c r="K1194" s="91">
        <f>SUMIFS(VENTAS[Cantidad],VENTAS[Código del producto Vendido],STOCK[[#This Row],[Code]])</f>
        <v>0</v>
      </c>
      <c r="L1194" s="91">
        <f>STOCK[[#This Row],[Entradas]]-STOCK[[#This Row],[Salidas]]</f>
        <v>2</v>
      </c>
      <c r="M1194" s="76">
        <f>STOCK[[#This Row],[Precio Final]]*10%</f>
        <v>2.2</v>
      </c>
      <c r="N1194" s="76">
        <v>0</v>
      </c>
      <c r="O1194" s="76">
        <v>0</v>
      </c>
      <c r="P1194" s="76">
        <v>9.33</v>
      </c>
      <c r="Q1194" s="91">
        <v>0</v>
      </c>
      <c r="R1194" s="76">
        <v>0</v>
      </c>
      <c r="S1194" s="76">
        <v>1.97</v>
      </c>
      <c r="T1194" s="76">
        <f>STOCK[[#This Row],[Costo Unitario (USD)]]+STOCK[[#This Row],[Costo Envío (USD)]]+STOCK[[#This Row],[Comisión 10%]]</f>
        <v>13.5</v>
      </c>
      <c r="U1194" s="76">
        <f>STOCK[[#This Row],[Costo total]]*1.5</f>
        <v>20.25</v>
      </c>
      <c r="V1194" s="76">
        <v>22</v>
      </c>
      <c r="W1194" s="76">
        <f>STOCK[[#This Row],[Precio Final]]-STOCK[[#This Row],[Costo total]]</f>
        <v>8.5</v>
      </c>
      <c r="X1194" s="76">
        <f>STOCK[[#This Row],[Ganancia Unitaria]]*STOCK[[#This Row],[Salidas]]</f>
        <v>0</v>
      </c>
      <c r="AA1194" s="76">
        <f>STOCK[[#This Row],[Costo total]]*STOCK[[#This Row],[Entradas]]</f>
        <v>27</v>
      </c>
      <c r="AB1194" s="76">
        <f>STOCK[[#This Row],[Stock Actual]]*STOCK[[#This Row],[Costo total]]</f>
        <v>27</v>
      </c>
    </row>
    <row r="1195" s="77" customFormat="1" ht="50" customHeight="1" spans="1:28">
      <c r="A1195" s="77" t="s">
        <v>2511</v>
      </c>
      <c r="B1195" s="6"/>
      <c r="C1195" s="77" t="s">
        <v>30</v>
      </c>
      <c r="D1195" s="77" t="s">
        <v>173</v>
      </c>
      <c r="E1195" s="77" t="s">
        <v>2509</v>
      </c>
      <c r="F1195" s="77" t="s">
        <v>44</v>
      </c>
      <c r="G1195" s="77" t="s">
        <v>34</v>
      </c>
      <c r="H1195" s="77">
        <f>STOCK[[#This Row],[Precio Final]]</f>
        <v>22</v>
      </c>
      <c r="I1195" s="77">
        <f>STOCK[[#This Row],[Precio Venta Ideal (x1.5)]]</f>
        <v>20.25</v>
      </c>
      <c r="J1195" s="92">
        <v>2</v>
      </c>
      <c r="K1195" s="92">
        <f>SUMIFS(VENTAS[Cantidad],VENTAS[Código del producto Vendido],STOCK[[#This Row],[Code]])</f>
        <v>0</v>
      </c>
      <c r="L1195" s="92">
        <f>STOCK[[#This Row],[Entradas]]-STOCK[[#This Row],[Salidas]]</f>
        <v>2</v>
      </c>
      <c r="M1195" s="77">
        <f>STOCK[[#This Row],[Precio Final]]*10%</f>
        <v>2.2</v>
      </c>
      <c r="N1195" s="77">
        <v>0</v>
      </c>
      <c r="O1195" s="77">
        <v>0</v>
      </c>
      <c r="P1195" s="77">
        <v>9.33</v>
      </c>
      <c r="Q1195" s="92">
        <v>0</v>
      </c>
      <c r="R1195" s="77">
        <v>0</v>
      </c>
      <c r="S1195" s="77">
        <v>1.97</v>
      </c>
      <c r="T1195" s="76">
        <f>STOCK[[#This Row],[Costo Unitario (USD)]]+STOCK[[#This Row],[Costo Envío (USD)]]+STOCK[[#This Row],[Comisión 10%]]</f>
        <v>13.5</v>
      </c>
      <c r="U1195" s="77">
        <f>STOCK[[#This Row],[Costo total]]*1.5</f>
        <v>20.25</v>
      </c>
      <c r="V1195" s="77">
        <v>22</v>
      </c>
      <c r="W1195" s="77">
        <f>STOCK[[#This Row],[Precio Final]]-STOCK[[#This Row],[Costo total]]</f>
        <v>8.5</v>
      </c>
      <c r="X1195" s="77">
        <f>STOCK[[#This Row],[Ganancia Unitaria]]*STOCK[[#This Row],[Salidas]]</f>
        <v>0</v>
      </c>
      <c r="AA1195" s="77">
        <f>STOCK[[#This Row],[Costo total]]*STOCK[[#This Row],[Entradas]]</f>
        <v>27</v>
      </c>
      <c r="AB1195" s="77">
        <f>STOCK[[#This Row],[Stock Actual]]*STOCK[[#This Row],[Costo total]]</f>
        <v>27</v>
      </c>
    </row>
    <row r="1196" s="76" customFormat="1" ht="50" customHeight="1" spans="1:28">
      <c r="A1196" s="76" t="s">
        <v>2512</v>
      </c>
      <c r="B1196" s="6"/>
      <c r="C1196" s="76" t="s">
        <v>30</v>
      </c>
      <c r="D1196" s="76" t="s">
        <v>487</v>
      </c>
      <c r="E1196" s="76" t="s">
        <v>2513</v>
      </c>
      <c r="F1196" s="76" t="s">
        <v>2214</v>
      </c>
      <c r="G1196" s="76" t="s">
        <v>34</v>
      </c>
      <c r="H1196" s="76">
        <f>STOCK[[#This Row],[Precio Final]]</f>
        <v>20</v>
      </c>
      <c r="I1196" s="76">
        <f>STOCK[[#This Row],[Precio Venta Ideal (x1.5)]]</f>
        <v>20.235</v>
      </c>
      <c r="J1196" s="91">
        <v>3</v>
      </c>
      <c r="K1196" s="91">
        <f>SUMIFS(VENTAS[Cantidad],VENTAS[Código del producto Vendido],STOCK[[#This Row],[Code]])</f>
        <v>3</v>
      </c>
      <c r="L1196" s="91">
        <f>STOCK[[#This Row],[Entradas]]-STOCK[[#This Row],[Salidas]]</f>
        <v>0</v>
      </c>
      <c r="M1196" s="76">
        <f>STOCK[[#This Row],[Precio Final]]*10%</f>
        <v>2</v>
      </c>
      <c r="N1196" s="76">
        <v>0</v>
      </c>
      <c r="O1196" s="76">
        <v>0</v>
      </c>
      <c r="P1196" s="76">
        <v>9.52</v>
      </c>
      <c r="Q1196" s="91">
        <v>0</v>
      </c>
      <c r="R1196" s="76">
        <v>0</v>
      </c>
      <c r="S1196" s="76">
        <v>1.97</v>
      </c>
      <c r="T1196" s="76">
        <f>STOCK[[#This Row],[Costo Unitario (USD)]]+STOCK[[#This Row],[Costo Envío (USD)]]+STOCK[[#This Row],[Comisión 10%]]</f>
        <v>13.49</v>
      </c>
      <c r="U1196" s="76">
        <f>STOCK[[#This Row],[Costo total]]*1.5</f>
        <v>20.235</v>
      </c>
      <c r="V1196" s="76">
        <v>20</v>
      </c>
      <c r="W1196" s="76">
        <f>STOCK[[#This Row],[Precio Final]]-STOCK[[#This Row],[Costo total]]</f>
        <v>6.51</v>
      </c>
      <c r="X1196" s="76">
        <f>STOCK[[#This Row],[Ganancia Unitaria]]*STOCK[[#This Row],[Salidas]]</f>
        <v>19.53</v>
      </c>
      <c r="AA1196" s="76">
        <f>STOCK[[#This Row],[Costo total]]*STOCK[[#This Row],[Entradas]]</f>
        <v>40.47</v>
      </c>
      <c r="AB1196" s="76">
        <f>STOCK[[#This Row],[Stock Actual]]*STOCK[[#This Row],[Costo total]]</f>
        <v>0</v>
      </c>
    </row>
    <row r="1197" s="77" customFormat="1" ht="50" customHeight="1" spans="1:28">
      <c r="A1197" s="77" t="s">
        <v>2514</v>
      </c>
      <c r="B1197" s="6"/>
      <c r="C1197" s="77" t="s">
        <v>30</v>
      </c>
      <c r="D1197" s="77" t="s">
        <v>487</v>
      </c>
      <c r="E1197" s="77" t="s">
        <v>2515</v>
      </c>
      <c r="F1197" s="77" t="s">
        <v>1532</v>
      </c>
      <c r="G1197" s="77" t="s">
        <v>34</v>
      </c>
      <c r="H1197" s="77">
        <f>STOCK[[#This Row],[Precio Final]]</f>
        <v>22</v>
      </c>
      <c r="I1197" s="77">
        <f>STOCK[[#This Row],[Precio Venta Ideal (x1.5)]]</f>
        <v>22.545</v>
      </c>
      <c r="J1197" s="92">
        <v>2</v>
      </c>
      <c r="K1197" s="92">
        <f>SUMIFS(VENTAS[Cantidad],VENTAS[Código del producto Vendido],STOCK[[#This Row],[Code]])</f>
        <v>2</v>
      </c>
      <c r="L1197" s="92">
        <f>STOCK[[#This Row],[Entradas]]-STOCK[[#This Row],[Salidas]]</f>
        <v>0</v>
      </c>
      <c r="M1197" s="77">
        <f>STOCK[[#This Row],[Precio Final]]*10%</f>
        <v>2.2</v>
      </c>
      <c r="N1197" s="77">
        <v>0</v>
      </c>
      <c r="O1197" s="77">
        <v>0</v>
      </c>
      <c r="P1197" s="77">
        <v>10.86</v>
      </c>
      <c r="Q1197" s="92">
        <v>0</v>
      </c>
      <c r="R1197" s="77">
        <v>0</v>
      </c>
      <c r="S1197" s="77">
        <v>1.97</v>
      </c>
      <c r="T1197" s="76">
        <f>STOCK[[#This Row],[Costo Unitario (USD)]]+STOCK[[#This Row],[Costo Envío (USD)]]+STOCK[[#This Row],[Comisión 10%]]</f>
        <v>15.03</v>
      </c>
      <c r="U1197" s="77">
        <f>STOCK[[#This Row],[Costo total]]*1.5</f>
        <v>22.545</v>
      </c>
      <c r="V1197" s="77">
        <v>22</v>
      </c>
      <c r="W1197" s="77">
        <f>STOCK[[#This Row],[Precio Final]]-STOCK[[#This Row],[Costo total]]</f>
        <v>6.97</v>
      </c>
      <c r="X1197" s="77">
        <f>STOCK[[#This Row],[Ganancia Unitaria]]*STOCK[[#This Row],[Salidas]]</f>
        <v>13.94</v>
      </c>
      <c r="AA1197" s="77">
        <f>STOCK[[#This Row],[Costo total]]*STOCK[[#This Row],[Entradas]]</f>
        <v>30.06</v>
      </c>
      <c r="AB1197" s="77">
        <f>STOCK[[#This Row],[Stock Actual]]*STOCK[[#This Row],[Costo total]]</f>
        <v>0</v>
      </c>
    </row>
    <row r="1198" s="76" customFormat="1" ht="50" customHeight="1" spans="1:28">
      <c r="A1198" s="76" t="s">
        <v>2516</v>
      </c>
      <c r="B1198" s="6"/>
      <c r="C1198" s="76" t="s">
        <v>30</v>
      </c>
      <c r="D1198" s="76" t="s">
        <v>151</v>
      </c>
      <c r="E1198" s="76" t="s">
        <v>2517</v>
      </c>
      <c r="F1198" s="76" t="s">
        <v>60</v>
      </c>
      <c r="G1198" s="76" t="s">
        <v>34</v>
      </c>
      <c r="H1198" s="76">
        <f>STOCK[[#This Row],[Precio Final]]</f>
        <v>25</v>
      </c>
      <c r="I1198" s="76">
        <f>STOCK[[#This Row],[Precio Venta Ideal (x1.5)]]</f>
        <v>27.435</v>
      </c>
      <c r="J1198" s="91">
        <v>2</v>
      </c>
      <c r="K1198" s="91">
        <f>SUMIFS(VENTAS[Cantidad],VENTAS[Código del producto Vendido],STOCK[[#This Row],[Code]])</f>
        <v>0</v>
      </c>
      <c r="L1198" s="91">
        <f>STOCK[[#This Row],[Entradas]]-STOCK[[#This Row],[Salidas]]</f>
        <v>2</v>
      </c>
      <c r="M1198" s="76">
        <f>STOCK[[#This Row],[Precio Final]]*10%</f>
        <v>2.5</v>
      </c>
      <c r="N1198" s="76">
        <v>0</v>
      </c>
      <c r="O1198" s="76">
        <v>0</v>
      </c>
      <c r="P1198" s="76">
        <v>13.82</v>
      </c>
      <c r="Q1198" s="91">
        <v>0</v>
      </c>
      <c r="R1198" s="76">
        <v>0</v>
      </c>
      <c r="S1198" s="76">
        <v>1.97</v>
      </c>
      <c r="T1198" s="76">
        <f>STOCK[[#This Row],[Costo Unitario (USD)]]+STOCK[[#This Row],[Costo Envío (USD)]]+STOCK[[#This Row],[Comisión 10%]]</f>
        <v>18.29</v>
      </c>
      <c r="U1198" s="76">
        <f>STOCK[[#This Row],[Costo total]]*1.5</f>
        <v>27.435</v>
      </c>
      <c r="V1198" s="76">
        <v>25</v>
      </c>
      <c r="W1198" s="76">
        <f>STOCK[[#This Row],[Precio Final]]-STOCK[[#This Row],[Costo total]]</f>
        <v>6.71</v>
      </c>
      <c r="X1198" s="76">
        <f>STOCK[[#This Row],[Ganancia Unitaria]]*STOCK[[#This Row],[Salidas]]</f>
        <v>0</v>
      </c>
      <c r="AA1198" s="76">
        <f>STOCK[[#This Row],[Costo total]]*STOCK[[#This Row],[Entradas]]</f>
        <v>36.58</v>
      </c>
      <c r="AB1198" s="76">
        <f>STOCK[[#This Row],[Stock Actual]]*STOCK[[#This Row],[Costo total]]</f>
        <v>36.58</v>
      </c>
    </row>
    <row r="1199" s="77" customFormat="1" ht="50" customHeight="1" spans="1:28">
      <c r="A1199" s="77" t="s">
        <v>2518</v>
      </c>
      <c r="B1199" s="6"/>
      <c r="C1199" s="77" t="s">
        <v>30</v>
      </c>
      <c r="D1199" s="77" t="s">
        <v>151</v>
      </c>
      <c r="E1199" s="77" t="s">
        <v>2517</v>
      </c>
      <c r="F1199" s="77" t="s">
        <v>47</v>
      </c>
      <c r="G1199" s="77" t="s">
        <v>34</v>
      </c>
      <c r="H1199" s="77">
        <f>STOCK[[#This Row],[Precio Final]]</f>
        <v>25</v>
      </c>
      <c r="I1199" s="77">
        <f>STOCK[[#This Row],[Precio Venta Ideal (x1.5)]]</f>
        <v>27.435</v>
      </c>
      <c r="J1199" s="92">
        <v>2</v>
      </c>
      <c r="K1199" s="92">
        <f>SUMIFS(VENTAS[Cantidad],VENTAS[Código del producto Vendido],STOCK[[#This Row],[Code]])</f>
        <v>1</v>
      </c>
      <c r="L1199" s="92">
        <f>STOCK[[#This Row],[Entradas]]-STOCK[[#This Row],[Salidas]]</f>
        <v>1</v>
      </c>
      <c r="M1199" s="77">
        <f>STOCK[[#This Row],[Precio Final]]*10%</f>
        <v>2.5</v>
      </c>
      <c r="N1199" s="77">
        <v>0</v>
      </c>
      <c r="O1199" s="77">
        <v>0</v>
      </c>
      <c r="P1199" s="77">
        <v>13.82</v>
      </c>
      <c r="Q1199" s="92">
        <v>0</v>
      </c>
      <c r="R1199" s="77">
        <v>0</v>
      </c>
      <c r="S1199" s="77">
        <v>1.97</v>
      </c>
      <c r="T1199" s="76">
        <f>STOCK[[#This Row],[Costo Unitario (USD)]]+STOCK[[#This Row],[Costo Envío (USD)]]+STOCK[[#This Row],[Comisión 10%]]</f>
        <v>18.29</v>
      </c>
      <c r="U1199" s="77">
        <f>STOCK[[#This Row],[Costo total]]*1.5</f>
        <v>27.435</v>
      </c>
      <c r="V1199" s="77">
        <v>25</v>
      </c>
      <c r="W1199" s="77">
        <f>STOCK[[#This Row],[Precio Final]]-STOCK[[#This Row],[Costo total]]</f>
        <v>6.71</v>
      </c>
      <c r="X1199" s="77">
        <f>STOCK[[#This Row],[Ganancia Unitaria]]*STOCK[[#This Row],[Salidas]]</f>
        <v>6.71</v>
      </c>
      <c r="AA1199" s="77">
        <f>STOCK[[#This Row],[Costo total]]*STOCK[[#This Row],[Entradas]]</f>
        <v>36.58</v>
      </c>
      <c r="AB1199" s="77">
        <f>STOCK[[#This Row],[Stock Actual]]*STOCK[[#This Row],[Costo total]]</f>
        <v>18.29</v>
      </c>
    </row>
    <row r="1200" s="76" customFormat="1" ht="50" customHeight="1" spans="1:28">
      <c r="A1200" s="76" t="s">
        <v>2519</v>
      </c>
      <c r="B1200" s="6"/>
      <c r="C1200" s="76" t="s">
        <v>30</v>
      </c>
      <c r="D1200" s="76" t="s">
        <v>151</v>
      </c>
      <c r="E1200" s="76" t="s">
        <v>2517</v>
      </c>
      <c r="F1200" s="76" t="s">
        <v>44</v>
      </c>
      <c r="G1200" s="76" t="s">
        <v>34</v>
      </c>
      <c r="H1200" s="76">
        <f>STOCK[[#This Row],[Precio Final]]</f>
        <v>25</v>
      </c>
      <c r="I1200" s="76">
        <f>STOCK[[#This Row],[Precio Venta Ideal (x1.5)]]</f>
        <v>27.435</v>
      </c>
      <c r="J1200" s="91">
        <v>2</v>
      </c>
      <c r="K1200" s="91">
        <f>SUMIFS(VENTAS[Cantidad],VENTAS[Código del producto Vendido],STOCK[[#This Row],[Code]])</f>
        <v>0</v>
      </c>
      <c r="L1200" s="91">
        <f>STOCK[[#This Row],[Entradas]]-STOCK[[#This Row],[Salidas]]</f>
        <v>2</v>
      </c>
      <c r="M1200" s="76">
        <f>STOCK[[#This Row],[Precio Final]]*10%</f>
        <v>2.5</v>
      </c>
      <c r="N1200" s="76">
        <v>0</v>
      </c>
      <c r="O1200" s="76">
        <v>0</v>
      </c>
      <c r="P1200" s="76">
        <v>13.82</v>
      </c>
      <c r="Q1200" s="91">
        <v>0</v>
      </c>
      <c r="R1200" s="76">
        <v>0</v>
      </c>
      <c r="S1200" s="76">
        <v>1.97</v>
      </c>
      <c r="T1200" s="76">
        <f>STOCK[[#This Row],[Costo Unitario (USD)]]+STOCK[[#This Row],[Costo Envío (USD)]]+STOCK[[#This Row],[Comisión 10%]]</f>
        <v>18.29</v>
      </c>
      <c r="U1200" s="76">
        <f>STOCK[[#This Row],[Costo total]]*1.5</f>
        <v>27.435</v>
      </c>
      <c r="V1200" s="76">
        <v>25</v>
      </c>
      <c r="W1200" s="76">
        <f>STOCK[[#This Row],[Precio Final]]-STOCK[[#This Row],[Costo total]]</f>
        <v>6.71</v>
      </c>
      <c r="X1200" s="76">
        <f>STOCK[[#This Row],[Ganancia Unitaria]]*STOCK[[#This Row],[Salidas]]</f>
        <v>0</v>
      </c>
      <c r="AA1200" s="76">
        <f>STOCK[[#This Row],[Costo total]]*STOCK[[#This Row],[Entradas]]</f>
        <v>36.58</v>
      </c>
      <c r="AB1200" s="76">
        <f>STOCK[[#This Row],[Stock Actual]]*STOCK[[#This Row],[Costo total]]</f>
        <v>36.58</v>
      </c>
    </row>
    <row r="1201" s="77" customFormat="1" ht="50" customHeight="1" spans="1:28">
      <c r="A1201" s="77" t="s">
        <v>2520</v>
      </c>
      <c r="B1201" s="6"/>
      <c r="C1201" s="77" t="s">
        <v>30</v>
      </c>
      <c r="D1201" s="77" t="s">
        <v>1806</v>
      </c>
      <c r="E1201" s="77" t="s">
        <v>2521</v>
      </c>
      <c r="F1201" s="77" t="s">
        <v>524</v>
      </c>
      <c r="G1201" s="77" t="s">
        <v>34</v>
      </c>
      <c r="H1201" s="77">
        <f>STOCK[[#This Row],[Precio Final]]</f>
        <v>12</v>
      </c>
      <c r="I1201" s="77">
        <f>STOCK[[#This Row],[Precio Venta Ideal (x1.5)]]</f>
        <v>9.495</v>
      </c>
      <c r="J1201" s="92">
        <v>5</v>
      </c>
      <c r="K1201" s="92">
        <f>SUMIFS(VENTAS[Cantidad],VENTAS[Código del producto Vendido],STOCK[[#This Row],[Code]])</f>
        <v>2</v>
      </c>
      <c r="L1201" s="92">
        <f>STOCK[[#This Row],[Entradas]]-STOCK[[#This Row],[Salidas]]</f>
        <v>3</v>
      </c>
      <c r="M1201" s="77">
        <f>STOCK[[#This Row],[Precio Final]]*10%</f>
        <v>1.2</v>
      </c>
      <c r="N1201" s="77">
        <v>0</v>
      </c>
      <c r="O1201" s="77">
        <v>0</v>
      </c>
      <c r="P1201" s="77">
        <v>3.16</v>
      </c>
      <c r="Q1201" s="92">
        <v>0</v>
      </c>
      <c r="R1201" s="77">
        <v>0</v>
      </c>
      <c r="S1201" s="77">
        <v>1.97</v>
      </c>
      <c r="T1201" s="76">
        <f>STOCK[[#This Row],[Costo Unitario (USD)]]+STOCK[[#This Row],[Costo Envío (USD)]]+STOCK[[#This Row],[Comisión 10%]]</f>
        <v>6.33</v>
      </c>
      <c r="U1201" s="77">
        <f>STOCK[[#This Row],[Costo total]]*1.5</f>
        <v>9.495</v>
      </c>
      <c r="V1201" s="77">
        <v>12</v>
      </c>
      <c r="W1201" s="77">
        <f>STOCK[[#This Row],[Precio Final]]-STOCK[[#This Row],[Costo total]]</f>
        <v>5.67</v>
      </c>
      <c r="X1201" s="77">
        <f>STOCK[[#This Row],[Ganancia Unitaria]]*STOCK[[#This Row],[Salidas]]</f>
        <v>11.34</v>
      </c>
      <c r="AA1201" s="77">
        <f>STOCK[[#This Row],[Costo total]]*STOCK[[#This Row],[Entradas]]</f>
        <v>31.65</v>
      </c>
      <c r="AB1201" s="77">
        <f>STOCK[[#This Row],[Stock Actual]]*STOCK[[#This Row],[Costo total]]</f>
        <v>18.99</v>
      </c>
    </row>
    <row r="1202" s="76" customFormat="1" ht="50" customHeight="1" spans="1:28">
      <c r="A1202" s="76" t="s">
        <v>2522</v>
      </c>
      <c r="B1202" s="6"/>
      <c r="C1202" s="76" t="s">
        <v>30</v>
      </c>
      <c r="D1202" s="76" t="s">
        <v>1806</v>
      </c>
      <c r="E1202" s="76" t="s">
        <v>2523</v>
      </c>
      <c r="F1202" s="76" t="s">
        <v>524</v>
      </c>
      <c r="G1202" s="76" t="s">
        <v>34</v>
      </c>
      <c r="H1202" s="76">
        <f>STOCK[[#This Row],[Precio Final]]</f>
        <v>12</v>
      </c>
      <c r="I1202" s="76">
        <f>STOCK[[#This Row],[Precio Venta Ideal (x1.5)]]</f>
        <v>9.495</v>
      </c>
      <c r="J1202" s="91">
        <v>5</v>
      </c>
      <c r="K1202" s="91">
        <f>SUMIFS(VENTAS[Cantidad],VENTAS[Código del producto Vendido],STOCK[[#This Row],[Code]])</f>
        <v>1</v>
      </c>
      <c r="L1202" s="91">
        <f>STOCK[[#This Row],[Entradas]]-STOCK[[#This Row],[Salidas]]</f>
        <v>4</v>
      </c>
      <c r="M1202" s="76">
        <f>STOCK[[#This Row],[Precio Final]]*10%</f>
        <v>1.2</v>
      </c>
      <c r="N1202" s="76">
        <v>0</v>
      </c>
      <c r="O1202" s="76">
        <v>0</v>
      </c>
      <c r="P1202" s="76">
        <v>3.16</v>
      </c>
      <c r="Q1202" s="91">
        <v>0</v>
      </c>
      <c r="R1202" s="76">
        <v>0</v>
      </c>
      <c r="S1202" s="76">
        <v>1.97</v>
      </c>
      <c r="T1202" s="76">
        <f>STOCK[[#This Row],[Costo Unitario (USD)]]+STOCK[[#This Row],[Costo Envío (USD)]]+STOCK[[#This Row],[Comisión 10%]]</f>
        <v>6.33</v>
      </c>
      <c r="U1202" s="76">
        <f>STOCK[[#This Row],[Costo total]]*1.5</f>
        <v>9.495</v>
      </c>
      <c r="V1202" s="76">
        <v>12</v>
      </c>
      <c r="W1202" s="76">
        <f>STOCK[[#This Row],[Precio Final]]-STOCK[[#This Row],[Costo total]]</f>
        <v>5.67</v>
      </c>
      <c r="X1202" s="76">
        <f>STOCK[[#This Row],[Ganancia Unitaria]]*STOCK[[#This Row],[Salidas]]</f>
        <v>5.67</v>
      </c>
      <c r="AA1202" s="76">
        <f>STOCK[[#This Row],[Costo total]]*STOCK[[#This Row],[Entradas]]</f>
        <v>31.65</v>
      </c>
      <c r="AB1202" s="76">
        <f>STOCK[[#This Row],[Stock Actual]]*STOCK[[#This Row],[Costo total]]</f>
        <v>25.32</v>
      </c>
    </row>
    <row r="1203" s="77" customFormat="1" ht="50" customHeight="1" spans="1:28">
      <c r="A1203" s="77" t="s">
        <v>2524</v>
      </c>
      <c r="B1203" s="6"/>
      <c r="C1203" s="77" t="s">
        <v>30</v>
      </c>
      <c r="D1203" s="77" t="s">
        <v>173</v>
      </c>
      <c r="E1203" s="77" t="s">
        <v>2525</v>
      </c>
      <c r="F1203" s="77" t="s">
        <v>60</v>
      </c>
      <c r="G1203" s="77" t="s">
        <v>34</v>
      </c>
      <c r="H1203" s="77">
        <f>STOCK[[#This Row],[Precio Final]]</f>
        <v>18</v>
      </c>
      <c r="I1203" s="77">
        <f>STOCK[[#This Row],[Precio Venta Ideal (x1.5)]]</f>
        <v>18.03</v>
      </c>
      <c r="J1203" s="92">
        <v>1</v>
      </c>
      <c r="K1203" s="92">
        <f>SUMIFS(VENTAS[Cantidad],VENTAS[Código del producto Vendido],STOCK[[#This Row],[Code]])</f>
        <v>1</v>
      </c>
      <c r="L1203" s="92">
        <f>STOCK[[#This Row],[Entradas]]-STOCK[[#This Row],[Salidas]]</f>
        <v>0</v>
      </c>
      <c r="M1203" s="77">
        <f>STOCK[[#This Row],[Precio Final]]*10%</f>
        <v>1.8</v>
      </c>
      <c r="N1203" s="77">
        <v>0</v>
      </c>
      <c r="O1203" s="77">
        <v>0</v>
      </c>
      <c r="P1203" s="77">
        <v>8.25</v>
      </c>
      <c r="Q1203" s="92">
        <v>0</v>
      </c>
      <c r="R1203" s="77">
        <v>0</v>
      </c>
      <c r="S1203" s="77">
        <v>1.97</v>
      </c>
      <c r="T1203" s="76">
        <f>STOCK[[#This Row],[Costo Unitario (USD)]]+STOCK[[#This Row],[Costo Envío (USD)]]+STOCK[[#This Row],[Comisión 10%]]</f>
        <v>12.02</v>
      </c>
      <c r="U1203" s="77">
        <f>STOCK[[#This Row],[Costo total]]*1.5</f>
        <v>18.03</v>
      </c>
      <c r="V1203" s="77">
        <v>18</v>
      </c>
      <c r="W1203" s="77">
        <f>STOCK[[#This Row],[Precio Final]]-STOCK[[#This Row],[Costo total]]</f>
        <v>5.98</v>
      </c>
      <c r="X1203" s="77">
        <f>STOCK[[#This Row],[Ganancia Unitaria]]*STOCK[[#This Row],[Salidas]]</f>
        <v>5.98</v>
      </c>
      <c r="AA1203" s="77">
        <f>STOCK[[#This Row],[Costo total]]*STOCK[[#This Row],[Entradas]]</f>
        <v>12.02</v>
      </c>
      <c r="AB1203" s="77">
        <f>STOCK[[#This Row],[Stock Actual]]*STOCK[[#This Row],[Costo total]]</f>
        <v>0</v>
      </c>
    </row>
    <row r="1204" s="76" customFormat="1" ht="50" customHeight="1" spans="1:28">
      <c r="A1204" s="76" t="s">
        <v>2526</v>
      </c>
      <c r="B1204" s="6"/>
      <c r="C1204" s="76" t="s">
        <v>30</v>
      </c>
      <c r="D1204" s="76" t="s">
        <v>173</v>
      </c>
      <c r="E1204" s="76" t="s">
        <v>2525</v>
      </c>
      <c r="F1204" s="76" t="s">
        <v>47</v>
      </c>
      <c r="G1204" s="76" t="s">
        <v>34</v>
      </c>
      <c r="H1204" s="76">
        <f>STOCK[[#This Row],[Precio Final]]</f>
        <v>18</v>
      </c>
      <c r="I1204" s="76">
        <f>STOCK[[#This Row],[Precio Venta Ideal (x1.5)]]</f>
        <v>18.03</v>
      </c>
      <c r="J1204" s="91">
        <v>1</v>
      </c>
      <c r="K1204" s="91">
        <f>SUMIFS(VENTAS[Cantidad],VENTAS[Código del producto Vendido],STOCK[[#This Row],[Code]])</f>
        <v>1</v>
      </c>
      <c r="L1204" s="91">
        <f>STOCK[[#This Row],[Entradas]]-STOCK[[#This Row],[Salidas]]</f>
        <v>0</v>
      </c>
      <c r="M1204" s="76">
        <f>STOCK[[#This Row],[Precio Final]]*10%</f>
        <v>1.8</v>
      </c>
      <c r="N1204" s="76">
        <v>0</v>
      </c>
      <c r="O1204" s="76">
        <v>0</v>
      </c>
      <c r="P1204" s="76">
        <v>8.25</v>
      </c>
      <c r="Q1204" s="91">
        <v>0</v>
      </c>
      <c r="R1204" s="76">
        <v>0</v>
      </c>
      <c r="S1204" s="76">
        <v>1.97</v>
      </c>
      <c r="T1204" s="76">
        <f>STOCK[[#This Row],[Costo Unitario (USD)]]+STOCK[[#This Row],[Costo Envío (USD)]]+STOCK[[#This Row],[Comisión 10%]]</f>
        <v>12.02</v>
      </c>
      <c r="U1204" s="76">
        <f>STOCK[[#This Row],[Costo total]]*1.5</f>
        <v>18.03</v>
      </c>
      <c r="V1204" s="76">
        <v>18</v>
      </c>
      <c r="W1204" s="76">
        <f>STOCK[[#This Row],[Precio Final]]-STOCK[[#This Row],[Costo total]]</f>
        <v>5.98</v>
      </c>
      <c r="X1204" s="76">
        <f>STOCK[[#This Row],[Ganancia Unitaria]]*STOCK[[#This Row],[Salidas]]</f>
        <v>5.98</v>
      </c>
      <c r="AA1204" s="76">
        <f>STOCK[[#This Row],[Costo total]]*STOCK[[#This Row],[Entradas]]</f>
        <v>12.02</v>
      </c>
      <c r="AB1204" s="76">
        <f>STOCK[[#This Row],[Stock Actual]]*STOCK[[#This Row],[Costo total]]</f>
        <v>0</v>
      </c>
    </row>
    <row r="1205" s="77" customFormat="1" ht="50" customHeight="1" spans="1:28">
      <c r="A1205" s="77" t="s">
        <v>2527</v>
      </c>
      <c r="B1205" s="6"/>
      <c r="C1205" s="77" t="s">
        <v>30</v>
      </c>
      <c r="D1205" s="77" t="s">
        <v>173</v>
      </c>
      <c r="E1205" s="77" t="s">
        <v>2525</v>
      </c>
      <c r="F1205" s="77" t="s">
        <v>44</v>
      </c>
      <c r="G1205" s="77" t="s">
        <v>34</v>
      </c>
      <c r="H1205" s="77">
        <f>STOCK[[#This Row],[Precio Final]]</f>
        <v>18</v>
      </c>
      <c r="I1205" s="77">
        <f>STOCK[[#This Row],[Precio Venta Ideal (x1.5)]]</f>
        <v>18.03</v>
      </c>
      <c r="J1205" s="92">
        <v>1</v>
      </c>
      <c r="K1205" s="92">
        <f>SUMIFS(VENTAS[Cantidad],VENTAS[Código del producto Vendido],STOCK[[#This Row],[Code]])</f>
        <v>1</v>
      </c>
      <c r="L1205" s="92">
        <f>STOCK[[#This Row],[Entradas]]-STOCK[[#This Row],[Salidas]]</f>
        <v>0</v>
      </c>
      <c r="M1205" s="77">
        <f>STOCK[[#This Row],[Precio Final]]*10%</f>
        <v>1.8</v>
      </c>
      <c r="N1205" s="77">
        <v>0</v>
      </c>
      <c r="O1205" s="77">
        <v>0</v>
      </c>
      <c r="P1205" s="77">
        <v>8.25</v>
      </c>
      <c r="Q1205" s="92">
        <v>0</v>
      </c>
      <c r="R1205" s="77">
        <v>0</v>
      </c>
      <c r="S1205" s="77">
        <v>1.97</v>
      </c>
      <c r="T1205" s="76">
        <f>STOCK[[#This Row],[Costo Unitario (USD)]]+STOCK[[#This Row],[Costo Envío (USD)]]+STOCK[[#This Row],[Comisión 10%]]</f>
        <v>12.02</v>
      </c>
      <c r="U1205" s="77">
        <f>STOCK[[#This Row],[Costo total]]*1.5</f>
        <v>18.03</v>
      </c>
      <c r="V1205" s="77">
        <v>18</v>
      </c>
      <c r="W1205" s="77">
        <f>STOCK[[#This Row],[Precio Final]]-STOCK[[#This Row],[Costo total]]</f>
        <v>5.98</v>
      </c>
      <c r="X1205" s="77">
        <f>STOCK[[#This Row],[Ganancia Unitaria]]*STOCK[[#This Row],[Salidas]]</f>
        <v>5.98</v>
      </c>
      <c r="AA1205" s="77">
        <f>STOCK[[#This Row],[Costo total]]*STOCK[[#This Row],[Entradas]]</f>
        <v>12.02</v>
      </c>
      <c r="AB1205" s="77">
        <f>STOCK[[#This Row],[Stock Actual]]*STOCK[[#This Row],[Costo total]]</f>
        <v>0</v>
      </c>
    </row>
    <row r="1206" s="76" customFormat="1" ht="50" customHeight="1" spans="1:28">
      <c r="A1206" s="76" t="s">
        <v>2528</v>
      </c>
      <c r="B1206" s="6"/>
      <c r="C1206" s="76" t="s">
        <v>30</v>
      </c>
      <c r="D1206" s="76" t="s">
        <v>173</v>
      </c>
      <c r="E1206" s="76" t="s">
        <v>2529</v>
      </c>
      <c r="F1206" s="76" t="s">
        <v>60</v>
      </c>
      <c r="G1206" s="76" t="s">
        <v>34</v>
      </c>
      <c r="H1206" s="76">
        <f>STOCK[[#This Row],[Precio Final]]</f>
        <v>10</v>
      </c>
      <c r="I1206" s="76">
        <f>STOCK[[#This Row],[Precio Venta Ideal (x1.5)]]</f>
        <v>7.98</v>
      </c>
      <c r="J1206" s="91">
        <v>2</v>
      </c>
      <c r="K1206" s="91">
        <f>SUMIFS(VENTAS[Cantidad],VENTAS[Código del producto Vendido],STOCK[[#This Row],[Code]])</f>
        <v>0</v>
      </c>
      <c r="L1206" s="91">
        <f>STOCK[[#This Row],[Entradas]]-STOCK[[#This Row],[Salidas]]</f>
        <v>2</v>
      </c>
      <c r="M1206" s="76">
        <f>STOCK[[#This Row],[Precio Final]]*10%</f>
        <v>1</v>
      </c>
      <c r="N1206" s="76">
        <v>0</v>
      </c>
      <c r="O1206" s="76">
        <v>0</v>
      </c>
      <c r="P1206" s="76">
        <v>2.35</v>
      </c>
      <c r="Q1206" s="91">
        <v>0</v>
      </c>
      <c r="R1206" s="76">
        <v>0</v>
      </c>
      <c r="S1206" s="76">
        <v>1.97</v>
      </c>
      <c r="T1206" s="76">
        <f>STOCK[[#This Row],[Costo Unitario (USD)]]+STOCK[[#This Row],[Costo Envío (USD)]]+STOCK[[#This Row],[Comisión 10%]]</f>
        <v>5.32</v>
      </c>
      <c r="U1206" s="76">
        <f>STOCK[[#This Row],[Costo total]]*1.5</f>
        <v>7.98</v>
      </c>
      <c r="V1206" s="76">
        <v>10</v>
      </c>
      <c r="W1206" s="76">
        <f>STOCK[[#This Row],[Precio Final]]-STOCK[[#This Row],[Costo total]]</f>
        <v>4.68</v>
      </c>
      <c r="X1206" s="76">
        <f>STOCK[[#This Row],[Ganancia Unitaria]]*STOCK[[#This Row],[Salidas]]</f>
        <v>0</v>
      </c>
      <c r="AA1206" s="76">
        <f>STOCK[[#This Row],[Costo total]]*STOCK[[#This Row],[Entradas]]</f>
        <v>10.64</v>
      </c>
      <c r="AB1206" s="76">
        <f>STOCK[[#This Row],[Stock Actual]]*STOCK[[#This Row],[Costo total]]</f>
        <v>10.64</v>
      </c>
    </row>
    <row r="1207" s="77" customFormat="1" ht="50" customHeight="1" spans="1:28">
      <c r="A1207" s="77" t="s">
        <v>2530</v>
      </c>
      <c r="B1207" s="6"/>
      <c r="C1207" s="77" t="s">
        <v>30</v>
      </c>
      <c r="D1207" s="77" t="s">
        <v>173</v>
      </c>
      <c r="E1207" s="77" t="s">
        <v>2529</v>
      </c>
      <c r="F1207" s="77" t="s">
        <v>47</v>
      </c>
      <c r="G1207" s="77" t="s">
        <v>34</v>
      </c>
      <c r="H1207" s="77">
        <f>STOCK[[#This Row],[Precio Final]]</f>
        <v>10</v>
      </c>
      <c r="I1207" s="77">
        <f>STOCK[[#This Row],[Precio Venta Ideal (x1.5)]]</f>
        <v>7.98</v>
      </c>
      <c r="J1207" s="92">
        <v>3</v>
      </c>
      <c r="K1207" s="92">
        <f>SUMIFS(VENTAS[Cantidad],VENTAS[Código del producto Vendido],STOCK[[#This Row],[Code]])</f>
        <v>3</v>
      </c>
      <c r="L1207" s="92">
        <f>STOCK[[#This Row],[Entradas]]-STOCK[[#This Row],[Salidas]]</f>
        <v>0</v>
      </c>
      <c r="M1207" s="77">
        <f>STOCK[[#This Row],[Precio Final]]*10%</f>
        <v>1</v>
      </c>
      <c r="N1207" s="77">
        <v>0</v>
      </c>
      <c r="O1207" s="77">
        <v>0</v>
      </c>
      <c r="P1207" s="77">
        <v>2.35</v>
      </c>
      <c r="Q1207" s="92">
        <v>0</v>
      </c>
      <c r="R1207" s="77">
        <v>0</v>
      </c>
      <c r="S1207" s="77">
        <v>1.97</v>
      </c>
      <c r="T1207" s="76">
        <f>STOCK[[#This Row],[Costo Unitario (USD)]]+STOCK[[#This Row],[Costo Envío (USD)]]+STOCK[[#This Row],[Comisión 10%]]</f>
        <v>5.32</v>
      </c>
      <c r="U1207" s="77">
        <f>STOCK[[#This Row],[Costo total]]*1.5</f>
        <v>7.98</v>
      </c>
      <c r="V1207" s="77">
        <v>10</v>
      </c>
      <c r="W1207" s="77">
        <f>STOCK[[#This Row],[Precio Final]]-STOCK[[#This Row],[Costo total]]</f>
        <v>4.68</v>
      </c>
      <c r="X1207" s="77">
        <f>STOCK[[#This Row],[Ganancia Unitaria]]*STOCK[[#This Row],[Salidas]]</f>
        <v>14.04</v>
      </c>
      <c r="AA1207" s="77">
        <f>STOCK[[#This Row],[Costo total]]*STOCK[[#This Row],[Entradas]]</f>
        <v>15.96</v>
      </c>
      <c r="AB1207" s="77">
        <f>STOCK[[#This Row],[Stock Actual]]*STOCK[[#This Row],[Costo total]]</f>
        <v>0</v>
      </c>
    </row>
    <row r="1208" s="76" customFormat="1" ht="50" customHeight="1" spans="1:28">
      <c r="A1208" s="76" t="s">
        <v>2531</v>
      </c>
      <c r="B1208" s="6"/>
      <c r="C1208" s="76" t="s">
        <v>30</v>
      </c>
      <c r="D1208" s="76" t="s">
        <v>173</v>
      </c>
      <c r="E1208" s="76" t="s">
        <v>2529</v>
      </c>
      <c r="F1208" s="76" t="s">
        <v>44</v>
      </c>
      <c r="G1208" s="76" t="s">
        <v>34</v>
      </c>
      <c r="H1208" s="76">
        <f>STOCK[[#This Row],[Precio Final]]</f>
        <v>10</v>
      </c>
      <c r="I1208" s="76">
        <f>STOCK[[#This Row],[Precio Venta Ideal (x1.5)]]</f>
        <v>7.98</v>
      </c>
      <c r="J1208" s="91">
        <v>2</v>
      </c>
      <c r="K1208" s="91">
        <f>SUMIFS(VENTAS[Cantidad],VENTAS[Código del producto Vendido],STOCK[[#This Row],[Code]])</f>
        <v>1</v>
      </c>
      <c r="L1208" s="91">
        <f>STOCK[[#This Row],[Entradas]]-STOCK[[#This Row],[Salidas]]</f>
        <v>1</v>
      </c>
      <c r="M1208" s="76">
        <f>STOCK[[#This Row],[Precio Final]]*10%</f>
        <v>1</v>
      </c>
      <c r="N1208" s="76">
        <v>0</v>
      </c>
      <c r="O1208" s="76">
        <v>0</v>
      </c>
      <c r="P1208" s="76">
        <v>2.35</v>
      </c>
      <c r="Q1208" s="91">
        <v>0</v>
      </c>
      <c r="R1208" s="76">
        <v>0</v>
      </c>
      <c r="S1208" s="76">
        <v>1.97</v>
      </c>
      <c r="T1208" s="76">
        <f>STOCK[[#This Row],[Costo Unitario (USD)]]+STOCK[[#This Row],[Costo Envío (USD)]]+STOCK[[#This Row],[Comisión 10%]]</f>
        <v>5.32</v>
      </c>
      <c r="U1208" s="76">
        <f>STOCK[[#This Row],[Costo total]]*1.5</f>
        <v>7.98</v>
      </c>
      <c r="V1208" s="76">
        <v>10</v>
      </c>
      <c r="W1208" s="76">
        <f>STOCK[[#This Row],[Precio Final]]-STOCK[[#This Row],[Costo total]]</f>
        <v>4.68</v>
      </c>
      <c r="X1208" s="76">
        <f>STOCK[[#This Row],[Ganancia Unitaria]]*STOCK[[#This Row],[Salidas]]</f>
        <v>4.68</v>
      </c>
      <c r="AA1208" s="76">
        <f>STOCK[[#This Row],[Costo total]]*STOCK[[#This Row],[Entradas]]</f>
        <v>10.64</v>
      </c>
      <c r="AB1208" s="76">
        <f>STOCK[[#This Row],[Stock Actual]]*STOCK[[#This Row],[Costo total]]</f>
        <v>5.32</v>
      </c>
    </row>
    <row r="1209" s="77" customFormat="1" ht="50" customHeight="1" spans="1:28">
      <c r="A1209" s="77" t="s">
        <v>2532</v>
      </c>
      <c r="B1209" s="6"/>
      <c r="C1209" s="77" t="s">
        <v>30</v>
      </c>
      <c r="D1209" s="77" t="s">
        <v>173</v>
      </c>
      <c r="E1209" s="77" t="s">
        <v>2533</v>
      </c>
      <c r="F1209" s="77" t="s">
        <v>60</v>
      </c>
      <c r="G1209" s="77" t="s">
        <v>34</v>
      </c>
      <c r="H1209" s="77">
        <f>STOCK[[#This Row],[Precio Final]]</f>
        <v>10</v>
      </c>
      <c r="I1209" s="77">
        <f>STOCK[[#This Row],[Precio Venta Ideal (x1.5)]]</f>
        <v>7.98</v>
      </c>
      <c r="J1209" s="92">
        <v>2</v>
      </c>
      <c r="K1209" s="92">
        <f>SUMIFS(VENTAS[Cantidad],VENTAS[Código del producto Vendido],STOCK[[#This Row],[Code]])</f>
        <v>1</v>
      </c>
      <c r="L1209" s="92">
        <f>STOCK[[#This Row],[Entradas]]-STOCK[[#This Row],[Salidas]]</f>
        <v>1</v>
      </c>
      <c r="M1209" s="77">
        <f>STOCK[[#This Row],[Precio Final]]*10%</f>
        <v>1</v>
      </c>
      <c r="N1209" s="77">
        <v>0</v>
      </c>
      <c r="O1209" s="77">
        <v>0</v>
      </c>
      <c r="P1209" s="77">
        <v>2.35</v>
      </c>
      <c r="Q1209" s="92">
        <v>0</v>
      </c>
      <c r="R1209" s="77">
        <v>0</v>
      </c>
      <c r="S1209" s="77">
        <v>1.97</v>
      </c>
      <c r="T1209" s="76">
        <f>STOCK[[#This Row],[Costo Unitario (USD)]]+STOCK[[#This Row],[Costo Envío (USD)]]+STOCK[[#This Row],[Comisión 10%]]</f>
        <v>5.32</v>
      </c>
      <c r="U1209" s="77">
        <f>STOCK[[#This Row],[Costo total]]*1.5</f>
        <v>7.98</v>
      </c>
      <c r="V1209" s="77">
        <v>10</v>
      </c>
      <c r="W1209" s="77">
        <f>STOCK[[#This Row],[Precio Final]]-STOCK[[#This Row],[Costo total]]</f>
        <v>4.68</v>
      </c>
      <c r="X1209" s="77">
        <f>STOCK[[#This Row],[Ganancia Unitaria]]*STOCK[[#This Row],[Salidas]]</f>
        <v>4.68</v>
      </c>
      <c r="AA1209" s="77">
        <f>STOCK[[#This Row],[Costo total]]*STOCK[[#This Row],[Entradas]]</f>
        <v>10.64</v>
      </c>
      <c r="AB1209" s="77">
        <f>STOCK[[#This Row],[Stock Actual]]*STOCK[[#This Row],[Costo total]]</f>
        <v>5.32</v>
      </c>
    </row>
    <row r="1210" s="76" customFormat="1" ht="50" customHeight="1" spans="1:28">
      <c r="A1210" s="76" t="s">
        <v>2534</v>
      </c>
      <c r="B1210" s="6"/>
      <c r="C1210" s="76" t="s">
        <v>30</v>
      </c>
      <c r="D1210" s="76" t="s">
        <v>173</v>
      </c>
      <c r="E1210" s="76" t="s">
        <v>2533</v>
      </c>
      <c r="F1210" s="76" t="s">
        <v>47</v>
      </c>
      <c r="G1210" s="76" t="s">
        <v>34</v>
      </c>
      <c r="H1210" s="76">
        <f>STOCK[[#This Row],[Precio Final]]</f>
        <v>10</v>
      </c>
      <c r="I1210" s="76">
        <f>STOCK[[#This Row],[Precio Venta Ideal (x1.5)]]</f>
        <v>7.98</v>
      </c>
      <c r="J1210" s="91">
        <v>2</v>
      </c>
      <c r="K1210" s="91">
        <f>SUMIFS(VENTAS[Cantidad],VENTAS[Código del producto Vendido],STOCK[[#This Row],[Code]])</f>
        <v>2</v>
      </c>
      <c r="L1210" s="91">
        <f>STOCK[[#This Row],[Entradas]]-STOCK[[#This Row],[Salidas]]</f>
        <v>0</v>
      </c>
      <c r="M1210" s="76">
        <f>STOCK[[#This Row],[Precio Final]]*10%</f>
        <v>1</v>
      </c>
      <c r="N1210" s="76">
        <v>0</v>
      </c>
      <c r="O1210" s="76">
        <v>0</v>
      </c>
      <c r="P1210" s="76">
        <v>2.35</v>
      </c>
      <c r="Q1210" s="91">
        <v>0</v>
      </c>
      <c r="R1210" s="76">
        <v>0</v>
      </c>
      <c r="S1210" s="76">
        <v>1.97</v>
      </c>
      <c r="T1210" s="76">
        <f>STOCK[[#This Row],[Costo Unitario (USD)]]+STOCK[[#This Row],[Costo Envío (USD)]]+STOCK[[#This Row],[Comisión 10%]]</f>
        <v>5.32</v>
      </c>
      <c r="U1210" s="76">
        <f>STOCK[[#This Row],[Costo total]]*1.5</f>
        <v>7.98</v>
      </c>
      <c r="V1210" s="76">
        <v>10</v>
      </c>
      <c r="W1210" s="76">
        <f>STOCK[[#This Row],[Precio Final]]-STOCK[[#This Row],[Costo total]]</f>
        <v>4.68</v>
      </c>
      <c r="X1210" s="76">
        <f>STOCK[[#This Row],[Ganancia Unitaria]]*STOCK[[#This Row],[Salidas]]</f>
        <v>9.36</v>
      </c>
      <c r="AA1210" s="76">
        <f>STOCK[[#This Row],[Costo total]]*STOCK[[#This Row],[Entradas]]</f>
        <v>10.64</v>
      </c>
      <c r="AB1210" s="76">
        <f>STOCK[[#This Row],[Stock Actual]]*STOCK[[#This Row],[Costo total]]</f>
        <v>0</v>
      </c>
    </row>
    <row r="1211" s="77" customFormat="1" ht="50" customHeight="1" spans="1:28">
      <c r="A1211" s="77" t="s">
        <v>2535</v>
      </c>
      <c r="B1211" s="6"/>
      <c r="C1211" s="77" t="s">
        <v>30</v>
      </c>
      <c r="D1211" s="77" t="s">
        <v>173</v>
      </c>
      <c r="E1211" s="77" t="s">
        <v>2533</v>
      </c>
      <c r="F1211" s="77" t="s">
        <v>44</v>
      </c>
      <c r="G1211" s="77" t="s">
        <v>34</v>
      </c>
      <c r="H1211" s="77">
        <f>STOCK[[#This Row],[Precio Final]]</f>
        <v>10</v>
      </c>
      <c r="I1211" s="77">
        <f>STOCK[[#This Row],[Precio Venta Ideal (x1.5)]]</f>
        <v>7.98</v>
      </c>
      <c r="J1211" s="92">
        <v>2</v>
      </c>
      <c r="K1211" s="92">
        <f>SUMIFS(VENTAS[Cantidad],VENTAS[Código del producto Vendido],STOCK[[#This Row],[Code]])</f>
        <v>2</v>
      </c>
      <c r="L1211" s="92">
        <f>STOCK[[#This Row],[Entradas]]-STOCK[[#This Row],[Salidas]]</f>
        <v>0</v>
      </c>
      <c r="M1211" s="77">
        <f>STOCK[[#This Row],[Precio Final]]*10%</f>
        <v>1</v>
      </c>
      <c r="N1211" s="77">
        <v>0</v>
      </c>
      <c r="O1211" s="77">
        <v>0</v>
      </c>
      <c r="P1211" s="77">
        <v>2.35</v>
      </c>
      <c r="Q1211" s="92">
        <v>0</v>
      </c>
      <c r="R1211" s="77">
        <v>0</v>
      </c>
      <c r="S1211" s="77">
        <v>1.97</v>
      </c>
      <c r="T1211" s="76">
        <f>STOCK[[#This Row],[Costo Unitario (USD)]]+STOCK[[#This Row],[Costo Envío (USD)]]+STOCK[[#This Row],[Comisión 10%]]</f>
        <v>5.32</v>
      </c>
      <c r="U1211" s="77">
        <f>STOCK[[#This Row],[Costo total]]*1.5</f>
        <v>7.98</v>
      </c>
      <c r="V1211" s="77">
        <v>10</v>
      </c>
      <c r="W1211" s="77">
        <f>STOCK[[#This Row],[Precio Final]]-STOCK[[#This Row],[Costo total]]</f>
        <v>4.68</v>
      </c>
      <c r="X1211" s="77">
        <f>STOCK[[#This Row],[Ganancia Unitaria]]*STOCK[[#This Row],[Salidas]]</f>
        <v>9.36</v>
      </c>
      <c r="AA1211" s="77">
        <f>STOCK[[#This Row],[Costo total]]*STOCK[[#This Row],[Entradas]]</f>
        <v>10.64</v>
      </c>
      <c r="AB1211" s="77">
        <f>STOCK[[#This Row],[Stock Actual]]*STOCK[[#This Row],[Costo total]]</f>
        <v>0</v>
      </c>
    </row>
    <row r="1212" s="76" customFormat="1" ht="50" customHeight="1" spans="1:28">
      <c r="A1212" s="76" t="s">
        <v>2536</v>
      </c>
      <c r="B1212" s="6"/>
      <c r="C1212" s="76" t="s">
        <v>30</v>
      </c>
      <c r="D1212" s="76" t="s">
        <v>173</v>
      </c>
      <c r="E1212" s="76" t="s">
        <v>2537</v>
      </c>
      <c r="F1212" s="76" t="s">
        <v>44</v>
      </c>
      <c r="G1212" s="76" t="s">
        <v>34</v>
      </c>
      <c r="H1212" s="76">
        <f>STOCK[[#This Row],[Precio Final]]</f>
        <v>10</v>
      </c>
      <c r="I1212" s="76">
        <f>STOCK[[#This Row],[Precio Venta Ideal (x1.5)]]</f>
        <v>5.025</v>
      </c>
      <c r="J1212" s="91">
        <v>2</v>
      </c>
      <c r="K1212" s="91">
        <f>SUMIFS(VENTAS[Cantidad],VENTAS[Código del producto Vendido],STOCK[[#This Row],[Code]])</f>
        <v>2</v>
      </c>
      <c r="L1212" s="91">
        <f>STOCK[[#This Row],[Entradas]]-STOCK[[#This Row],[Salidas]]</f>
        <v>0</v>
      </c>
      <c r="M1212" s="76">
        <f>STOCK[[#This Row],[Precio Final]]*10%</f>
        <v>1</v>
      </c>
      <c r="N1212" s="76">
        <v>0</v>
      </c>
      <c r="O1212" s="76">
        <v>0</v>
      </c>
      <c r="P1212" s="77">
        <v>2.35</v>
      </c>
      <c r="Q1212" s="91">
        <v>0</v>
      </c>
      <c r="R1212" s="76">
        <v>0</v>
      </c>
      <c r="S1212" s="76">
        <v>0</v>
      </c>
      <c r="T1212" s="76">
        <f>STOCK[[#This Row],[Costo Unitario (USD)]]+STOCK[[#This Row],[Costo Envío (USD)]]+STOCK[[#This Row],[Comisión 10%]]</f>
        <v>3.35</v>
      </c>
      <c r="U1212" s="76">
        <f>STOCK[[#This Row],[Costo total]]*1.5</f>
        <v>5.025</v>
      </c>
      <c r="V1212" s="76">
        <v>10</v>
      </c>
      <c r="W1212" s="76">
        <f>STOCK[[#This Row],[Precio Final]]-STOCK[[#This Row],[Costo total]]</f>
        <v>6.65</v>
      </c>
      <c r="X1212" s="76">
        <f>STOCK[[#This Row],[Ganancia Unitaria]]*STOCK[[#This Row],[Salidas]]</f>
        <v>13.3</v>
      </c>
      <c r="AA1212" s="76">
        <f>STOCK[[#This Row],[Costo total]]*STOCK[[#This Row],[Entradas]]</f>
        <v>6.7</v>
      </c>
      <c r="AB1212" s="76">
        <f>STOCK[[#This Row],[Stock Actual]]*STOCK[[#This Row],[Costo total]]</f>
        <v>0</v>
      </c>
    </row>
    <row r="1213" s="76" customFormat="1" ht="50" customHeight="1" spans="1:28">
      <c r="A1213" s="76" t="s">
        <v>2538</v>
      </c>
      <c r="B1213" s="6"/>
      <c r="C1213" s="76" t="s">
        <v>30</v>
      </c>
      <c r="D1213" s="76" t="s">
        <v>173</v>
      </c>
      <c r="E1213" s="76" t="s">
        <v>2537</v>
      </c>
      <c r="F1213" s="76" t="s">
        <v>60</v>
      </c>
      <c r="G1213" s="76" t="s">
        <v>34</v>
      </c>
      <c r="H1213" s="76">
        <f>STOCK[[#This Row],[Precio Final]]</f>
        <v>10</v>
      </c>
      <c r="I1213" s="76">
        <f>STOCK[[#This Row],[Precio Venta Ideal (x1.5)]]</f>
        <v>4</v>
      </c>
      <c r="J1213" s="91">
        <v>2</v>
      </c>
      <c r="K1213" s="91">
        <f>SUMIFS(VENTAS[Cantidad],VENTAS[Código del producto Vendido],STOCK[[#This Row],[Code]])</f>
        <v>0</v>
      </c>
      <c r="L1213" s="91">
        <f>STOCK[[#This Row],[Entradas]]-STOCK[[#This Row],[Salidas]]</f>
        <v>2</v>
      </c>
      <c r="M1213" s="76">
        <f>STOCK[[#This Row],[Precio Final]]*10%</f>
        <v>1</v>
      </c>
      <c r="N1213" s="76">
        <v>0</v>
      </c>
      <c r="O1213" s="76">
        <v>0</v>
      </c>
      <c r="P1213" s="77">
        <v>2.33</v>
      </c>
      <c r="Q1213" s="91">
        <v>0</v>
      </c>
      <c r="R1213" s="76">
        <v>0</v>
      </c>
      <c r="S1213" s="76">
        <f>STOCK[[#This Row],[Peso (g)]]*STOCK[[#This Row],[Precio Envío Kilogramo (USD)]]/1000</f>
        <v>0</v>
      </c>
      <c r="T1213" s="76">
        <f>STOCK[[#This Row],[Costo Unitario (USD)]]+STOCK[[#This Row],[Costo Envío (USD)]]+STOCK[[#This Row],[Comisión 10%]]</f>
        <v>3.33</v>
      </c>
      <c r="U1213" s="76">
        <f>ROUNDUP(T1213,0)</f>
        <v>4</v>
      </c>
      <c r="V1213" s="76">
        <v>10</v>
      </c>
      <c r="W1213" s="76">
        <f>STOCK[[#This Row],[Precio Final]]-STOCK[[#This Row],[Costo total]]</f>
        <v>6.67</v>
      </c>
      <c r="X1213" s="76">
        <f>STOCK[[#This Row],[Ganancia Unitaria]]*STOCK[[#This Row],[Salidas]]</f>
        <v>0</v>
      </c>
      <c r="AA1213" s="76">
        <f>STOCK[[#This Row],[Costo total]]*STOCK[[#This Row],[Entradas]]</f>
        <v>6.66</v>
      </c>
      <c r="AB1213" s="76">
        <f>STOCK[[#This Row],[Stock Actual]]*STOCK[[#This Row],[Costo total]]</f>
        <v>6.66</v>
      </c>
    </row>
    <row r="1214" s="77" customFormat="1" ht="50" customHeight="1" spans="1:28">
      <c r="A1214" s="77" t="s">
        <v>2539</v>
      </c>
      <c r="B1214" s="6"/>
      <c r="C1214" s="77" t="s">
        <v>30</v>
      </c>
      <c r="D1214" s="77" t="s">
        <v>173</v>
      </c>
      <c r="E1214" s="77" t="s">
        <v>2537</v>
      </c>
      <c r="F1214" s="77" t="s">
        <v>47</v>
      </c>
      <c r="G1214" s="77" t="s">
        <v>34</v>
      </c>
      <c r="H1214" s="77">
        <f>STOCK[[#This Row],[Precio Final]]</f>
        <v>10</v>
      </c>
      <c r="I1214" s="77">
        <f>STOCK[[#This Row],[Precio Venta Ideal (x1.5)]]</f>
        <v>7.98</v>
      </c>
      <c r="J1214" s="92">
        <v>2</v>
      </c>
      <c r="K1214" s="92">
        <f>SUMIFS(VENTAS[Cantidad],VENTAS[Código del producto Vendido],STOCK[[#This Row],[Code]])</f>
        <v>2</v>
      </c>
      <c r="L1214" s="92">
        <f>STOCK[[#This Row],[Entradas]]-STOCK[[#This Row],[Salidas]]</f>
        <v>0</v>
      </c>
      <c r="M1214" s="77">
        <f>STOCK[[#This Row],[Precio Final]]*10%</f>
        <v>1</v>
      </c>
      <c r="N1214" s="77">
        <v>0</v>
      </c>
      <c r="O1214" s="77">
        <v>0</v>
      </c>
      <c r="P1214" s="77">
        <v>2.35</v>
      </c>
      <c r="Q1214" s="92">
        <v>0</v>
      </c>
      <c r="R1214" s="77">
        <v>0</v>
      </c>
      <c r="S1214" s="77">
        <v>1.97</v>
      </c>
      <c r="T1214" s="76">
        <f>STOCK[[#This Row],[Costo Unitario (USD)]]+STOCK[[#This Row],[Costo Envío (USD)]]+STOCK[[#This Row],[Comisión 10%]]</f>
        <v>5.32</v>
      </c>
      <c r="U1214" s="77">
        <f>STOCK[[#This Row],[Costo total]]*1.5</f>
        <v>7.98</v>
      </c>
      <c r="V1214" s="77">
        <v>10</v>
      </c>
      <c r="W1214" s="77">
        <f>STOCK[[#This Row],[Precio Final]]-STOCK[[#This Row],[Costo total]]</f>
        <v>4.68</v>
      </c>
      <c r="X1214" s="77">
        <f>STOCK[[#This Row],[Ganancia Unitaria]]*STOCK[[#This Row],[Salidas]]</f>
        <v>9.36</v>
      </c>
      <c r="AA1214" s="77">
        <f>STOCK[[#This Row],[Costo total]]*STOCK[[#This Row],[Entradas]]</f>
        <v>10.64</v>
      </c>
      <c r="AB1214" s="77">
        <f>STOCK[[#This Row],[Stock Actual]]*STOCK[[#This Row],[Costo total]]</f>
        <v>0</v>
      </c>
    </row>
    <row r="1215" s="76" customFormat="1" ht="50" customHeight="1" spans="1:28">
      <c r="A1215" s="76" t="s">
        <v>2540</v>
      </c>
      <c r="B1215" s="6"/>
      <c r="C1215" s="76" t="s">
        <v>30</v>
      </c>
      <c r="D1215" s="76" t="s">
        <v>173</v>
      </c>
      <c r="E1215" s="76" t="s">
        <v>2541</v>
      </c>
      <c r="F1215" s="76" t="s">
        <v>60</v>
      </c>
      <c r="G1215" s="76" t="s">
        <v>34</v>
      </c>
      <c r="H1215" s="76">
        <f>STOCK[[#This Row],[Precio Final]]</f>
        <v>10</v>
      </c>
      <c r="I1215" s="76">
        <f>STOCK[[#This Row],[Precio Venta Ideal (x1.5)]]</f>
        <v>7.98</v>
      </c>
      <c r="J1215" s="91">
        <v>2</v>
      </c>
      <c r="K1215" s="91">
        <f>SUMIFS(VENTAS[Cantidad],VENTAS[Código del producto Vendido],STOCK[[#This Row],[Code]])</f>
        <v>0</v>
      </c>
      <c r="L1215" s="91">
        <f>STOCK[[#This Row],[Entradas]]-STOCK[[#This Row],[Salidas]]</f>
        <v>2</v>
      </c>
      <c r="M1215" s="76">
        <f>STOCK[[#This Row],[Precio Final]]*10%</f>
        <v>1</v>
      </c>
      <c r="N1215" s="76">
        <v>0</v>
      </c>
      <c r="O1215" s="76">
        <v>0</v>
      </c>
      <c r="P1215" s="76">
        <v>2.35</v>
      </c>
      <c r="Q1215" s="91">
        <v>0</v>
      </c>
      <c r="R1215" s="76">
        <v>0</v>
      </c>
      <c r="S1215" s="76">
        <v>1.97</v>
      </c>
      <c r="T1215" s="76">
        <f>STOCK[[#This Row],[Costo Unitario (USD)]]+STOCK[[#This Row],[Costo Envío (USD)]]+STOCK[[#This Row],[Comisión 10%]]</f>
        <v>5.32</v>
      </c>
      <c r="U1215" s="76">
        <f>STOCK[[#This Row],[Costo total]]*1.5</f>
        <v>7.98</v>
      </c>
      <c r="V1215" s="76">
        <v>10</v>
      </c>
      <c r="W1215" s="76">
        <f>STOCK[[#This Row],[Precio Final]]-STOCK[[#This Row],[Costo total]]</f>
        <v>4.68</v>
      </c>
      <c r="X1215" s="76">
        <f>STOCK[[#This Row],[Ganancia Unitaria]]*STOCK[[#This Row],[Salidas]]</f>
        <v>0</v>
      </c>
      <c r="AA1215" s="76">
        <f>STOCK[[#This Row],[Costo total]]*STOCK[[#This Row],[Entradas]]</f>
        <v>10.64</v>
      </c>
      <c r="AB1215" s="76">
        <f>STOCK[[#This Row],[Stock Actual]]*STOCK[[#This Row],[Costo total]]</f>
        <v>10.64</v>
      </c>
    </row>
    <row r="1216" s="77" customFormat="1" ht="50" customHeight="1" spans="1:28">
      <c r="A1216" s="77" t="s">
        <v>2542</v>
      </c>
      <c r="B1216" s="6"/>
      <c r="C1216" s="77" t="s">
        <v>30</v>
      </c>
      <c r="D1216" s="77" t="s">
        <v>173</v>
      </c>
      <c r="E1216" s="77" t="s">
        <v>2541</v>
      </c>
      <c r="F1216" s="77" t="s">
        <v>47</v>
      </c>
      <c r="G1216" s="77" t="s">
        <v>34</v>
      </c>
      <c r="H1216" s="77">
        <f>STOCK[[#This Row],[Precio Final]]</f>
        <v>10</v>
      </c>
      <c r="I1216" s="77">
        <f>STOCK[[#This Row],[Precio Venta Ideal (x1.5)]]</f>
        <v>7.98</v>
      </c>
      <c r="J1216" s="92">
        <v>2</v>
      </c>
      <c r="K1216" s="92">
        <f>SUMIFS(VENTAS[Cantidad],VENTAS[Código del producto Vendido],STOCK[[#This Row],[Code]])</f>
        <v>2</v>
      </c>
      <c r="L1216" s="92">
        <f>STOCK[[#This Row],[Entradas]]-STOCK[[#This Row],[Salidas]]</f>
        <v>0</v>
      </c>
      <c r="M1216" s="77">
        <f>STOCK[[#This Row],[Precio Final]]*10%</f>
        <v>1</v>
      </c>
      <c r="N1216" s="77">
        <v>0</v>
      </c>
      <c r="O1216" s="77">
        <v>0</v>
      </c>
      <c r="P1216" s="77">
        <v>2.35</v>
      </c>
      <c r="Q1216" s="92">
        <v>0</v>
      </c>
      <c r="R1216" s="77">
        <v>0</v>
      </c>
      <c r="S1216" s="77">
        <v>1.97</v>
      </c>
      <c r="T1216" s="76">
        <f>STOCK[[#This Row],[Costo Unitario (USD)]]+STOCK[[#This Row],[Costo Envío (USD)]]+STOCK[[#This Row],[Comisión 10%]]</f>
        <v>5.32</v>
      </c>
      <c r="U1216" s="77">
        <f>STOCK[[#This Row],[Costo total]]*1.5</f>
        <v>7.98</v>
      </c>
      <c r="V1216" s="77">
        <v>10</v>
      </c>
      <c r="W1216" s="77">
        <f>STOCK[[#This Row],[Precio Final]]-STOCK[[#This Row],[Costo total]]</f>
        <v>4.68</v>
      </c>
      <c r="X1216" s="77">
        <f>STOCK[[#This Row],[Ganancia Unitaria]]*STOCK[[#This Row],[Salidas]]</f>
        <v>9.36</v>
      </c>
      <c r="AA1216" s="77">
        <f>STOCK[[#This Row],[Costo total]]*STOCK[[#This Row],[Entradas]]</f>
        <v>10.64</v>
      </c>
      <c r="AB1216" s="77">
        <f>STOCK[[#This Row],[Stock Actual]]*STOCK[[#This Row],[Costo total]]</f>
        <v>0</v>
      </c>
    </row>
    <row r="1217" s="76" customFormat="1" ht="50" customHeight="1" spans="1:28">
      <c r="A1217" s="76" t="s">
        <v>2543</v>
      </c>
      <c r="B1217" s="6"/>
      <c r="C1217" s="76" t="s">
        <v>30</v>
      </c>
      <c r="D1217" s="76" t="s">
        <v>173</v>
      </c>
      <c r="E1217" s="76" t="s">
        <v>2541</v>
      </c>
      <c r="F1217" s="76" t="s">
        <v>44</v>
      </c>
      <c r="G1217" s="76" t="s">
        <v>34</v>
      </c>
      <c r="H1217" s="76">
        <f>STOCK[[#This Row],[Precio Final]]</f>
        <v>10</v>
      </c>
      <c r="I1217" s="76">
        <f>STOCK[[#This Row],[Precio Venta Ideal (x1.5)]]</f>
        <v>7.98</v>
      </c>
      <c r="J1217" s="91">
        <v>2</v>
      </c>
      <c r="K1217" s="91">
        <f>SUMIFS(VENTAS[Cantidad],VENTAS[Código del producto Vendido],STOCK[[#This Row],[Code]])</f>
        <v>1</v>
      </c>
      <c r="L1217" s="91">
        <f>STOCK[[#This Row],[Entradas]]-STOCK[[#This Row],[Salidas]]</f>
        <v>1</v>
      </c>
      <c r="M1217" s="76">
        <f>STOCK[[#This Row],[Precio Final]]*10%</f>
        <v>1</v>
      </c>
      <c r="N1217" s="76">
        <v>0</v>
      </c>
      <c r="O1217" s="76">
        <v>0</v>
      </c>
      <c r="P1217" s="76">
        <v>2.35</v>
      </c>
      <c r="Q1217" s="91">
        <v>0</v>
      </c>
      <c r="R1217" s="76">
        <v>0</v>
      </c>
      <c r="S1217" s="76">
        <v>1.97</v>
      </c>
      <c r="T1217" s="76">
        <f>STOCK[[#This Row],[Costo Unitario (USD)]]+STOCK[[#This Row],[Costo Envío (USD)]]+STOCK[[#This Row],[Comisión 10%]]</f>
        <v>5.32</v>
      </c>
      <c r="U1217" s="76">
        <f>STOCK[[#This Row],[Costo total]]*1.5</f>
        <v>7.98</v>
      </c>
      <c r="V1217" s="76">
        <v>10</v>
      </c>
      <c r="W1217" s="76">
        <f>STOCK[[#This Row],[Precio Final]]-STOCK[[#This Row],[Costo total]]</f>
        <v>4.68</v>
      </c>
      <c r="X1217" s="76">
        <f>STOCK[[#This Row],[Ganancia Unitaria]]*STOCK[[#This Row],[Salidas]]</f>
        <v>4.68</v>
      </c>
      <c r="AA1217" s="76">
        <f>STOCK[[#This Row],[Costo total]]*STOCK[[#This Row],[Entradas]]</f>
        <v>10.64</v>
      </c>
      <c r="AB1217" s="76">
        <f>STOCK[[#This Row],[Stock Actual]]*STOCK[[#This Row],[Costo total]]</f>
        <v>5.32</v>
      </c>
    </row>
    <row r="1218" s="76" customFormat="1" ht="50" customHeight="1" spans="1:28">
      <c r="A1218" s="76" t="s">
        <v>2544</v>
      </c>
      <c r="B1218" s="6"/>
      <c r="C1218" s="76" t="s">
        <v>30</v>
      </c>
      <c r="D1218" s="76" t="s">
        <v>173</v>
      </c>
      <c r="E1218" s="76" t="s">
        <v>2545</v>
      </c>
      <c r="F1218" s="76" t="s">
        <v>47</v>
      </c>
      <c r="G1218" s="76" t="s">
        <v>34</v>
      </c>
      <c r="H1218" s="76">
        <f>STOCK[[#This Row],[Precio Final]]</f>
        <v>10</v>
      </c>
      <c r="I1218" s="76">
        <f>STOCK[[#This Row],[Precio Venta Ideal (x1.5)]]</f>
        <v>6</v>
      </c>
      <c r="J1218" s="91">
        <v>2</v>
      </c>
      <c r="K1218" s="91">
        <f>SUMIFS(VENTAS[Cantidad],VENTAS[Código del producto Vendido],STOCK[[#This Row],[Code]])</f>
        <v>2</v>
      </c>
      <c r="L1218" s="91">
        <f>STOCK[[#This Row],[Entradas]]-STOCK[[#This Row],[Salidas]]</f>
        <v>0</v>
      </c>
      <c r="M1218" s="76">
        <f>STOCK[[#This Row],[Precio Final]]*10%</f>
        <v>1</v>
      </c>
      <c r="N1218" s="76">
        <v>0</v>
      </c>
      <c r="O1218" s="76">
        <v>0</v>
      </c>
      <c r="P1218" s="76">
        <v>2.35</v>
      </c>
      <c r="Q1218" s="91">
        <v>0</v>
      </c>
      <c r="R1218" s="76">
        <v>0</v>
      </c>
      <c r="S1218" s="76">
        <v>1.97</v>
      </c>
      <c r="T1218" s="76">
        <f>STOCK[[#This Row],[Costo Unitario (USD)]]+STOCK[[#This Row],[Costo Envío (USD)]]+STOCK[[#This Row],[Comisión 10%]]</f>
        <v>5.32</v>
      </c>
      <c r="U1218" s="76">
        <f t="shared" ref="U1218:U1225" si="0">ROUNDUP(T1218,0)</f>
        <v>6</v>
      </c>
      <c r="V1218" s="76">
        <v>10</v>
      </c>
      <c r="W1218" s="76">
        <f>STOCK[[#This Row],[Precio Final]]-STOCK[[#This Row],[Costo total]]</f>
        <v>4.68</v>
      </c>
      <c r="X1218" s="76">
        <f>STOCK[[#This Row],[Ganancia Unitaria]]*STOCK[[#This Row],[Salidas]]</f>
        <v>9.36</v>
      </c>
      <c r="AA1218" s="76">
        <f>STOCK[[#This Row],[Costo total]]*STOCK[[#This Row],[Entradas]]</f>
        <v>10.64</v>
      </c>
      <c r="AB1218" s="76">
        <f>STOCK[[#This Row],[Stock Actual]]*STOCK[[#This Row],[Costo total]]</f>
        <v>0</v>
      </c>
    </row>
    <row r="1219" s="76" customFormat="1" ht="50" customHeight="1" spans="1:28">
      <c r="A1219" s="76" t="s">
        <v>2546</v>
      </c>
      <c r="B1219" s="6"/>
      <c r="C1219" s="76" t="s">
        <v>30</v>
      </c>
      <c r="D1219" s="76" t="s">
        <v>173</v>
      </c>
      <c r="E1219" s="76" t="s">
        <v>2545</v>
      </c>
      <c r="F1219" s="76" t="s">
        <v>60</v>
      </c>
      <c r="G1219" s="76" t="s">
        <v>34</v>
      </c>
      <c r="H1219" s="76">
        <f>STOCK[[#This Row],[Precio Final]]</f>
        <v>10</v>
      </c>
      <c r="I1219" s="76">
        <f>STOCK[[#This Row],[Precio Venta Ideal (x1.5)]]</f>
        <v>6</v>
      </c>
      <c r="J1219" s="91">
        <v>2</v>
      </c>
      <c r="K1219" s="91">
        <f>SUMIFS(VENTAS[Cantidad],VENTAS[Código del producto Vendido],STOCK[[#This Row],[Code]])</f>
        <v>1</v>
      </c>
      <c r="L1219" s="91">
        <f>STOCK[[#This Row],[Entradas]]-STOCK[[#This Row],[Salidas]]</f>
        <v>1</v>
      </c>
      <c r="M1219" s="76">
        <f>STOCK[[#This Row],[Precio Final]]*10%</f>
        <v>1</v>
      </c>
      <c r="N1219" s="76">
        <v>0</v>
      </c>
      <c r="O1219" s="76">
        <v>0</v>
      </c>
      <c r="P1219" s="76">
        <v>2.35</v>
      </c>
      <c r="Q1219" s="91">
        <v>0</v>
      </c>
      <c r="R1219" s="76">
        <v>0</v>
      </c>
      <c r="S1219" s="76">
        <v>1.97</v>
      </c>
      <c r="T1219" s="76">
        <f>STOCK[[#This Row],[Costo Unitario (USD)]]+STOCK[[#This Row],[Costo Envío (USD)]]+STOCK[[#This Row],[Comisión 10%]]</f>
        <v>5.32</v>
      </c>
      <c r="U1219" s="76">
        <f t="shared" si="0"/>
        <v>6</v>
      </c>
      <c r="V1219" s="76">
        <v>10</v>
      </c>
      <c r="W1219" s="76">
        <f>STOCK[[#This Row],[Precio Final]]-STOCK[[#This Row],[Costo total]]</f>
        <v>4.68</v>
      </c>
      <c r="X1219" s="76">
        <f>STOCK[[#This Row],[Ganancia Unitaria]]*STOCK[[#This Row],[Salidas]]</f>
        <v>4.68</v>
      </c>
      <c r="AA1219" s="76">
        <f>STOCK[[#This Row],[Costo total]]*STOCK[[#This Row],[Entradas]]</f>
        <v>10.64</v>
      </c>
      <c r="AB1219" s="76">
        <f>STOCK[[#This Row],[Stock Actual]]*STOCK[[#This Row],[Costo total]]</f>
        <v>5.32</v>
      </c>
    </row>
    <row r="1220" s="76" customFormat="1" ht="50" customHeight="1" spans="1:28">
      <c r="A1220" s="76" t="s">
        <v>2547</v>
      </c>
      <c r="B1220" s="6"/>
      <c r="C1220" s="76" t="s">
        <v>30</v>
      </c>
      <c r="D1220" s="76" t="s">
        <v>173</v>
      </c>
      <c r="E1220" s="76" t="s">
        <v>2545</v>
      </c>
      <c r="F1220" s="76" t="s">
        <v>44</v>
      </c>
      <c r="G1220" s="76" t="s">
        <v>34</v>
      </c>
      <c r="H1220" s="76">
        <f>STOCK[[#This Row],[Precio Final]]</f>
        <v>10</v>
      </c>
      <c r="I1220" s="76">
        <f>STOCK[[#This Row],[Precio Venta Ideal (x1.5)]]</f>
        <v>6</v>
      </c>
      <c r="J1220" s="91">
        <v>2</v>
      </c>
      <c r="K1220" s="91">
        <f>SUMIFS(VENTAS[Cantidad],VENTAS[Código del producto Vendido],STOCK[[#This Row],[Code]])</f>
        <v>2</v>
      </c>
      <c r="L1220" s="91">
        <f>STOCK[[#This Row],[Entradas]]-STOCK[[#This Row],[Salidas]]</f>
        <v>0</v>
      </c>
      <c r="M1220" s="76">
        <f>STOCK[[#This Row],[Precio Final]]*10%</f>
        <v>1</v>
      </c>
      <c r="N1220" s="76">
        <v>0</v>
      </c>
      <c r="O1220" s="76">
        <v>0</v>
      </c>
      <c r="P1220" s="76">
        <v>2.35</v>
      </c>
      <c r="Q1220" s="91">
        <v>0</v>
      </c>
      <c r="R1220" s="76">
        <v>0</v>
      </c>
      <c r="S1220" s="76">
        <v>1.97</v>
      </c>
      <c r="T1220" s="76">
        <f>STOCK[[#This Row],[Costo Unitario (USD)]]+STOCK[[#This Row],[Costo Envío (USD)]]+STOCK[[#This Row],[Comisión 10%]]</f>
        <v>5.32</v>
      </c>
      <c r="U1220" s="76">
        <f t="shared" si="0"/>
        <v>6</v>
      </c>
      <c r="V1220" s="76">
        <v>10</v>
      </c>
      <c r="W1220" s="76">
        <f>STOCK[[#This Row],[Precio Final]]-STOCK[[#This Row],[Costo total]]</f>
        <v>4.68</v>
      </c>
      <c r="X1220" s="76">
        <f>STOCK[[#This Row],[Ganancia Unitaria]]*STOCK[[#This Row],[Salidas]]</f>
        <v>9.36</v>
      </c>
      <c r="AA1220" s="76">
        <f>STOCK[[#This Row],[Costo total]]*STOCK[[#This Row],[Entradas]]</f>
        <v>10.64</v>
      </c>
      <c r="AB1220" s="76">
        <f>STOCK[[#This Row],[Stock Actual]]*STOCK[[#This Row],[Costo total]]</f>
        <v>0</v>
      </c>
    </row>
    <row r="1221" s="76" customFormat="1" ht="50" customHeight="1" spans="1:28">
      <c r="A1221" s="76" t="s">
        <v>2548</v>
      </c>
      <c r="B1221" s="6"/>
      <c r="C1221" s="76" t="s">
        <v>30</v>
      </c>
      <c r="D1221" s="76" t="s">
        <v>173</v>
      </c>
      <c r="E1221" s="76" t="s">
        <v>2549</v>
      </c>
      <c r="F1221" s="76" t="s">
        <v>47</v>
      </c>
      <c r="G1221" s="76" t="s">
        <v>34</v>
      </c>
      <c r="H1221" s="76">
        <f>STOCK[[#This Row],[Precio Final]]</f>
        <v>10</v>
      </c>
      <c r="I1221" s="76">
        <f>STOCK[[#This Row],[Precio Venta Ideal (x1.5)]]</f>
        <v>6</v>
      </c>
      <c r="J1221" s="91">
        <v>2</v>
      </c>
      <c r="K1221" s="91">
        <f>SUMIFS(VENTAS[Cantidad],VENTAS[Código del producto Vendido],STOCK[[#This Row],[Code]])</f>
        <v>1</v>
      </c>
      <c r="L1221" s="91">
        <f>STOCK[[#This Row],[Entradas]]-STOCK[[#This Row],[Salidas]]</f>
        <v>1</v>
      </c>
      <c r="M1221" s="76">
        <f>STOCK[[#This Row],[Precio Final]]*10%</f>
        <v>1</v>
      </c>
      <c r="N1221" s="76">
        <v>0</v>
      </c>
      <c r="O1221" s="76">
        <v>0</v>
      </c>
      <c r="P1221" s="76">
        <v>2.35</v>
      </c>
      <c r="Q1221" s="91">
        <v>0</v>
      </c>
      <c r="R1221" s="76">
        <v>0</v>
      </c>
      <c r="S1221" s="76">
        <v>1.97</v>
      </c>
      <c r="T1221" s="76">
        <f>STOCK[[#This Row],[Costo Unitario (USD)]]+STOCK[[#This Row],[Costo Envío (USD)]]+STOCK[[#This Row],[Comisión 10%]]</f>
        <v>5.32</v>
      </c>
      <c r="U1221" s="76">
        <f t="shared" si="0"/>
        <v>6</v>
      </c>
      <c r="V1221" s="76">
        <v>10</v>
      </c>
      <c r="W1221" s="76">
        <f>STOCK[[#This Row],[Precio Final]]-STOCK[[#This Row],[Costo total]]</f>
        <v>4.68</v>
      </c>
      <c r="X1221" s="76">
        <f>STOCK[[#This Row],[Ganancia Unitaria]]*STOCK[[#This Row],[Salidas]]</f>
        <v>4.68</v>
      </c>
      <c r="AA1221" s="76">
        <f>STOCK[[#This Row],[Costo total]]*STOCK[[#This Row],[Entradas]]</f>
        <v>10.64</v>
      </c>
      <c r="AB1221" s="76">
        <f>STOCK[[#This Row],[Stock Actual]]*STOCK[[#This Row],[Costo total]]</f>
        <v>5.32</v>
      </c>
    </row>
    <row r="1222" s="76" customFormat="1" ht="50" customHeight="1" spans="1:28">
      <c r="A1222" s="76" t="s">
        <v>2550</v>
      </c>
      <c r="B1222" s="6"/>
      <c r="C1222" s="76" t="s">
        <v>30</v>
      </c>
      <c r="D1222" s="76" t="s">
        <v>173</v>
      </c>
      <c r="E1222" s="76" t="s">
        <v>2549</v>
      </c>
      <c r="F1222" s="76" t="s">
        <v>44</v>
      </c>
      <c r="G1222" s="76" t="s">
        <v>34</v>
      </c>
      <c r="H1222" s="76">
        <f>STOCK[[#This Row],[Precio Final]]</f>
        <v>10</v>
      </c>
      <c r="I1222" s="76">
        <f>STOCK[[#This Row],[Precio Venta Ideal (x1.5)]]</f>
        <v>6</v>
      </c>
      <c r="J1222" s="91">
        <v>2</v>
      </c>
      <c r="K1222" s="91">
        <f>SUMIFS(VENTAS[Cantidad],VENTAS[Código del producto Vendido],STOCK[[#This Row],[Code]])</f>
        <v>2</v>
      </c>
      <c r="L1222" s="91">
        <f>STOCK[[#This Row],[Entradas]]-STOCK[[#This Row],[Salidas]]</f>
        <v>0</v>
      </c>
      <c r="M1222" s="76">
        <f>STOCK[[#This Row],[Precio Final]]*10%</f>
        <v>1</v>
      </c>
      <c r="N1222" s="76">
        <v>0</v>
      </c>
      <c r="O1222" s="76">
        <v>0</v>
      </c>
      <c r="P1222" s="76">
        <v>2.35</v>
      </c>
      <c r="Q1222" s="91">
        <v>0</v>
      </c>
      <c r="R1222" s="76">
        <v>0</v>
      </c>
      <c r="S1222" s="76">
        <v>1.97</v>
      </c>
      <c r="T1222" s="76">
        <f>STOCK[[#This Row],[Costo Unitario (USD)]]+STOCK[[#This Row],[Costo Envío (USD)]]+STOCK[[#This Row],[Comisión 10%]]</f>
        <v>5.32</v>
      </c>
      <c r="U1222" s="76">
        <f t="shared" si="0"/>
        <v>6</v>
      </c>
      <c r="V1222" s="76">
        <v>10</v>
      </c>
      <c r="W1222" s="76">
        <f>STOCK[[#This Row],[Precio Final]]-STOCK[[#This Row],[Costo total]]</f>
        <v>4.68</v>
      </c>
      <c r="X1222" s="76">
        <f>STOCK[[#This Row],[Ganancia Unitaria]]*STOCK[[#This Row],[Salidas]]</f>
        <v>9.36</v>
      </c>
      <c r="AA1222" s="76">
        <f>STOCK[[#This Row],[Costo total]]*STOCK[[#This Row],[Entradas]]</f>
        <v>10.64</v>
      </c>
      <c r="AB1222" s="76">
        <f>STOCK[[#This Row],[Stock Actual]]*STOCK[[#This Row],[Costo total]]</f>
        <v>0</v>
      </c>
    </row>
    <row r="1223" s="76" customFormat="1" ht="50" customHeight="1" spans="1:28">
      <c r="A1223" s="76" t="s">
        <v>2551</v>
      </c>
      <c r="B1223" s="6"/>
      <c r="C1223" s="76" t="s">
        <v>30</v>
      </c>
      <c r="D1223" s="76" t="s">
        <v>173</v>
      </c>
      <c r="E1223" s="76" t="s">
        <v>2552</v>
      </c>
      <c r="F1223" s="76" t="s">
        <v>60</v>
      </c>
      <c r="G1223" s="76" t="s">
        <v>34</v>
      </c>
      <c r="H1223" s="76">
        <f>STOCK[[#This Row],[Precio Final]]</f>
        <v>10</v>
      </c>
      <c r="I1223" s="76">
        <f>STOCK[[#This Row],[Precio Venta Ideal (x1.5)]]</f>
        <v>6</v>
      </c>
      <c r="J1223" s="91">
        <v>2</v>
      </c>
      <c r="K1223" s="91">
        <f>SUMIFS(VENTAS[Cantidad],VENTAS[Código del producto Vendido],STOCK[[#This Row],[Code]])</f>
        <v>1</v>
      </c>
      <c r="L1223" s="91">
        <f>STOCK[[#This Row],[Entradas]]-STOCK[[#This Row],[Salidas]]</f>
        <v>1</v>
      </c>
      <c r="M1223" s="76">
        <f>STOCK[[#This Row],[Precio Final]]*10%</f>
        <v>1</v>
      </c>
      <c r="N1223" s="76">
        <v>0</v>
      </c>
      <c r="O1223" s="76">
        <v>0</v>
      </c>
      <c r="P1223" s="76">
        <v>2.35</v>
      </c>
      <c r="Q1223" s="91">
        <v>0</v>
      </c>
      <c r="R1223" s="76">
        <v>0</v>
      </c>
      <c r="S1223" s="76">
        <v>1.97</v>
      </c>
      <c r="T1223" s="76">
        <f>STOCK[[#This Row],[Costo Unitario (USD)]]+STOCK[[#This Row],[Costo Envío (USD)]]+STOCK[[#This Row],[Comisión 10%]]</f>
        <v>5.32</v>
      </c>
      <c r="U1223" s="76">
        <f t="shared" si="0"/>
        <v>6</v>
      </c>
      <c r="V1223" s="76">
        <v>10</v>
      </c>
      <c r="W1223" s="76">
        <f>STOCK[[#This Row],[Precio Final]]-STOCK[[#This Row],[Costo total]]</f>
        <v>4.68</v>
      </c>
      <c r="X1223" s="76">
        <f>STOCK[[#This Row],[Ganancia Unitaria]]*STOCK[[#This Row],[Salidas]]</f>
        <v>4.68</v>
      </c>
      <c r="AA1223" s="76">
        <f>STOCK[[#This Row],[Costo total]]*STOCK[[#This Row],[Entradas]]</f>
        <v>10.64</v>
      </c>
      <c r="AB1223" s="76">
        <f>STOCK[[#This Row],[Stock Actual]]*STOCK[[#This Row],[Costo total]]</f>
        <v>5.32</v>
      </c>
    </row>
    <row r="1224" s="76" customFormat="1" ht="50" customHeight="1" spans="1:28">
      <c r="A1224" s="76" t="s">
        <v>2553</v>
      </c>
      <c r="B1224" s="6"/>
      <c r="C1224" s="76" t="s">
        <v>30</v>
      </c>
      <c r="D1224" s="76" t="s">
        <v>173</v>
      </c>
      <c r="E1224" s="76" t="s">
        <v>2552</v>
      </c>
      <c r="F1224" s="76" t="s">
        <v>47</v>
      </c>
      <c r="G1224" s="76" t="s">
        <v>34</v>
      </c>
      <c r="H1224" s="76">
        <f>STOCK[[#This Row],[Precio Final]]</f>
        <v>10</v>
      </c>
      <c r="I1224" s="76">
        <f>STOCK[[#This Row],[Precio Venta Ideal (x1.5)]]</f>
        <v>6</v>
      </c>
      <c r="J1224" s="91">
        <v>2</v>
      </c>
      <c r="K1224" s="91">
        <f>SUMIFS(VENTAS[Cantidad],VENTAS[Código del producto Vendido],STOCK[[#This Row],[Code]])</f>
        <v>1</v>
      </c>
      <c r="L1224" s="91">
        <f>STOCK[[#This Row],[Entradas]]-STOCK[[#This Row],[Salidas]]</f>
        <v>1</v>
      </c>
      <c r="M1224" s="76">
        <f>STOCK[[#This Row],[Precio Final]]*10%</f>
        <v>1</v>
      </c>
      <c r="N1224" s="76">
        <v>0</v>
      </c>
      <c r="O1224" s="76">
        <v>0</v>
      </c>
      <c r="P1224" s="76">
        <v>2.35</v>
      </c>
      <c r="Q1224" s="91">
        <v>0</v>
      </c>
      <c r="R1224" s="76">
        <v>0</v>
      </c>
      <c r="S1224" s="76">
        <v>1.97</v>
      </c>
      <c r="T1224" s="76">
        <f>STOCK[[#This Row],[Costo Unitario (USD)]]+STOCK[[#This Row],[Costo Envío (USD)]]+STOCK[[#This Row],[Comisión 10%]]</f>
        <v>5.32</v>
      </c>
      <c r="U1224" s="76">
        <f t="shared" si="0"/>
        <v>6</v>
      </c>
      <c r="V1224" s="76">
        <v>10</v>
      </c>
      <c r="W1224" s="76">
        <f>STOCK[[#This Row],[Precio Final]]-STOCK[[#This Row],[Costo total]]</f>
        <v>4.68</v>
      </c>
      <c r="X1224" s="76">
        <f>STOCK[[#This Row],[Ganancia Unitaria]]*STOCK[[#This Row],[Salidas]]</f>
        <v>4.68</v>
      </c>
      <c r="AA1224" s="76">
        <f>STOCK[[#This Row],[Costo total]]*STOCK[[#This Row],[Entradas]]</f>
        <v>10.64</v>
      </c>
      <c r="AB1224" s="76">
        <f>STOCK[[#This Row],[Stock Actual]]*STOCK[[#This Row],[Costo total]]</f>
        <v>5.32</v>
      </c>
    </row>
    <row r="1225" s="76" customFormat="1" ht="50" customHeight="1" spans="1:28">
      <c r="A1225" s="76" t="s">
        <v>2554</v>
      </c>
      <c r="B1225" s="6"/>
      <c r="C1225" s="76" t="s">
        <v>30</v>
      </c>
      <c r="D1225" s="76" t="s">
        <v>173</v>
      </c>
      <c r="E1225" s="76" t="s">
        <v>2552</v>
      </c>
      <c r="F1225" s="76" t="s">
        <v>44</v>
      </c>
      <c r="G1225" s="76" t="s">
        <v>34</v>
      </c>
      <c r="H1225" s="76">
        <f>STOCK[[#This Row],[Precio Final]]</f>
        <v>10</v>
      </c>
      <c r="I1225" s="76">
        <f>STOCK[[#This Row],[Precio Venta Ideal (x1.5)]]</f>
        <v>6</v>
      </c>
      <c r="J1225" s="91">
        <v>2</v>
      </c>
      <c r="K1225" s="91">
        <f>SUMIFS(VENTAS[Cantidad],VENTAS[Código del producto Vendido],STOCK[[#This Row],[Code]])</f>
        <v>2</v>
      </c>
      <c r="L1225" s="91">
        <f>STOCK[[#This Row],[Entradas]]-STOCK[[#This Row],[Salidas]]</f>
        <v>0</v>
      </c>
      <c r="M1225" s="76">
        <f>STOCK[[#This Row],[Precio Final]]*10%</f>
        <v>1</v>
      </c>
      <c r="N1225" s="76">
        <v>0</v>
      </c>
      <c r="O1225" s="76">
        <v>0</v>
      </c>
      <c r="P1225" s="76">
        <v>2.35</v>
      </c>
      <c r="Q1225" s="91">
        <v>0</v>
      </c>
      <c r="R1225" s="76">
        <v>0</v>
      </c>
      <c r="S1225" s="76">
        <v>1.97</v>
      </c>
      <c r="T1225" s="76">
        <f>STOCK[[#This Row],[Costo Unitario (USD)]]+STOCK[[#This Row],[Costo Envío (USD)]]+STOCK[[#This Row],[Comisión 10%]]</f>
        <v>5.32</v>
      </c>
      <c r="U1225" s="76">
        <f t="shared" si="0"/>
        <v>6</v>
      </c>
      <c r="V1225" s="76">
        <v>10</v>
      </c>
      <c r="W1225" s="76">
        <f>STOCK[[#This Row],[Precio Final]]-STOCK[[#This Row],[Costo total]]</f>
        <v>4.68</v>
      </c>
      <c r="X1225" s="76">
        <f>STOCK[[#This Row],[Ganancia Unitaria]]*STOCK[[#This Row],[Salidas]]</f>
        <v>9.36</v>
      </c>
      <c r="AA1225" s="76">
        <f>STOCK[[#This Row],[Costo total]]*STOCK[[#This Row],[Entradas]]</f>
        <v>10.64</v>
      </c>
      <c r="AB1225" s="76">
        <f>STOCK[[#This Row],[Stock Actual]]*STOCK[[#This Row],[Costo total]]</f>
        <v>0</v>
      </c>
    </row>
    <row r="1226" s="77" customFormat="1" ht="50" customHeight="1" spans="1:28">
      <c r="A1226" s="77" t="s">
        <v>2555</v>
      </c>
      <c r="B1226" s="6"/>
      <c r="C1226" s="77" t="s">
        <v>30</v>
      </c>
      <c r="D1226" s="77" t="s">
        <v>173</v>
      </c>
      <c r="E1226" s="77" t="s">
        <v>2549</v>
      </c>
      <c r="F1226" s="77" t="s">
        <v>60</v>
      </c>
      <c r="G1226" s="76" t="s">
        <v>34</v>
      </c>
      <c r="H1226" s="77">
        <f>STOCK[[#This Row],[Precio Final]]</f>
        <v>10</v>
      </c>
      <c r="I1226" s="77">
        <f>STOCK[[#This Row],[Precio Venta Ideal (x1.5)]]</f>
        <v>7.98</v>
      </c>
      <c r="J1226" s="92">
        <v>2</v>
      </c>
      <c r="K1226" s="92">
        <f>SUMIFS(VENTAS[Cantidad],VENTAS[Código del producto Vendido],STOCK[[#This Row],[Code]])</f>
        <v>2</v>
      </c>
      <c r="L1226" s="92">
        <f>STOCK[[#This Row],[Entradas]]-STOCK[[#This Row],[Salidas]]</f>
        <v>0</v>
      </c>
      <c r="M1226" s="77">
        <f>STOCK[[#This Row],[Precio Final]]*10%</f>
        <v>1</v>
      </c>
      <c r="N1226" s="77">
        <v>0</v>
      </c>
      <c r="O1226" s="77">
        <v>0</v>
      </c>
      <c r="P1226" s="77">
        <v>2.35</v>
      </c>
      <c r="Q1226" s="92">
        <v>0</v>
      </c>
      <c r="R1226" s="77">
        <v>0</v>
      </c>
      <c r="S1226" s="77">
        <v>1.97</v>
      </c>
      <c r="T1226" s="76">
        <f>STOCK[[#This Row],[Costo Unitario (USD)]]+STOCK[[#This Row],[Costo Envío (USD)]]+STOCK[[#This Row],[Comisión 10%]]</f>
        <v>5.32</v>
      </c>
      <c r="U1226" s="77">
        <f>STOCK[[#This Row],[Costo total]]*1.5</f>
        <v>7.98</v>
      </c>
      <c r="V1226" s="77">
        <v>10</v>
      </c>
      <c r="W1226" s="77">
        <f>STOCK[[#This Row],[Precio Final]]-STOCK[[#This Row],[Costo total]]</f>
        <v>4.68</v>
      </c>
      <c r="X1226" s="77">
        <f>STOCK[[#This Row],[Ganancia Unitaria]]*STOCK[[#This Row],[Salidas]]</f>
        <v>9.36</v>
      </c>
      <c r="AA1226" s="77">
        <f>STOCK[[#This Row],[Costo total]]*STOCK[[#This Row],[Entradas]]</f>
        <v>10.64</v>
      </c>
      <c r="AB1226" s="77">
        <f>STOCK[[#This Row],[Stock Actual]]*STOCK[[#This Row],[Costo total]]</f>
        <v>0</v>
      </c>
    </row>
    <row r="1227" s="76" customFormat="1" ht="50" customHeight="1" spans="1:28">
      <c r="A1227" s="76" t="s">
        <v>2556</v>
      </c>
      <c r="B1227" s="6"/>
      <c r="C1227" s="76" t="s">
        <v>30</v>
      </c>
      <c r="D1227" s="76" t="s">
        <v>2116</v>
      </c>
      <c r="E1227" s="76" t="s">
        <v>2557</v>
      </c>
      <c r="F1227" s="76" t="s">
        <v>47</v>
      </c>
      <c r="G1227" s="76" t="s">
        <v>1874</v>
      </c>
      <c r="H1227" s="76">
        <f>STOCK[[#This Row],[Precio Final]]</f>
        <v>35</v>
      </c>
      <c r="I1227" s="76">
        <f>STOCK[[#This Row],[Precio Venta Ideal (x1.5)]]</f>
        <v>32.64</v>
      </c>
      <c r="J1227" s="91">
        <v>2</v>
      </c>
      <c r="K1227" s="91">
        <f>SUMIFS(VENTAS[Cantidad],VENTAS[Código del producto Vendido],STOCK[[#This Row],[Code]])</f>
        <v>1</v>
      </c>
      <c r="L1227" s="91">
        <f>STOCK[[#This Row],[Entradas]]-STOCK[[#This Row],[Salidas]]</f>
        <v>1</v>
      </c>
      <c r="M1227" s="76">
        <f>STOCK[[#This Row],[Precio Final]]*10%</f>
        <v>3.5</v>
      </c>
      <c r="N1227" s="76">
        <v>0</v>
      </c>
      <c r="O1227" s="76">
        <v>0</v>
      </c>
      <c r="P1227" s="76">
        <v>16.29</v>
      </c>
      <c r="Q1227" s="91">
        <v>0</v>
      </c>
      <c r="R1227" s="76">
        <v>0</v>
      </c>
      <c r="S1227" s="76">
        <v>1.97</v>
      </c>
      <c r="T1227" s="76">
        <f>STOCK[[#This Row],[Costo Unitario (USD)]]+STOCK[[#This Row],[Costo Envío (USD)]]+STOCK[[#This Row],[Comisión 10%]]</f>
        <v>21.76</v>
      </c>
      <c r="U1227" s="76">
        <f>STOCK[[#This Row],[Costo total]]*1.5</f>
        <v>32.64</v>
      </c>
      <c r="V1227" s="76">
        <v>35</v>
      </c>
      <c r="W1227" s="76">
        <f>STOCK[[#This Row],[Precio Final]]-STOCK[[#This Row],[Costo total]]</f>
        <v>13.24</v>
      </c>
      <c r="X1227" s="76">
        <f>STOCK[[#This Row],[Ganancia Unitaria]]*STOCK[[#This Row],[Salidas]]</f>
        <v>13.24</v>
      </c>
      <c r="AA1227" s="76">
        <f>STOCK[[#This Row],[Costo total]]*STOCK[[#This Row],[Entradas]]</f>
        <v>43.52</v>
      </c>
      <c r="AB1227" s="76">
        <f>STOCK[[#This Row],[Stock Actual]]*STOCK[[#This Row],[Costo total]]</f>
        <v>21.76</v>
      </c>
    </row>
    <row r="1228" s="77" customFormat="1" ht="50" customHeight="1" spans="1:28">
      <c r="A1228" s="77" t="s">
        <v>2558</v>
      </c>
      <c r="B1228" s="6"/>
      <c r="C1228" s="77" t="s">
        <v>30</v>
      </c>
      <c r="D1228" s="77" t="s">
        <v>1806</v>
      </c>
      <c r="E1228" s="77" t="s">
        <v>2559</v>
      </c>
      <c r="F1228" s="77" t="s">
        <v>2560</v>
      </c>
      <c r="G1228" s="77" t="s">
        <v>1874</v>
      </c>
      <c r="H1228" s="77">
        <f>STOCK[[#This Row],[Precio Final]]</f>
        <v>15</v>
      </c>
      <c r="I1228" s="77">
        <f>STOCK[[#This Row],[Precio Venta Ideal (x1.5)]]</f>
        <v>11.79</v>
      </c>
      <c r="J1228" s="92">
        <v>5</v>
      </c>
      <c r="K1228" s="92">
        <f>SUMIFS(VENTAS[Cantidad],VENTAS[Código del producto Vendido],STOCK[[#This Row],[Code]])</f>
        <v>3</v>
      </c>
      <c r="L1228" s="92">
        <f>STOCK[[#This Row],[Entradas]]-STOCK[[#This Row],[Salidas]]</f>
        <v>2</v>
      </c>
      <c r="M1228" s="77">
        <f>STOCK[[#This Row],[Precio Final]]*10%</f>
        <v>1.5</v>
      </c>
      <c r="N1228" s="77">
        <v>0</v>
      </c>
      <c r="O1228" s="77">
        <v>0</v>
      </c>
      <c r="P1228" s="77">
        <v>4.39</v>
      </c>
      <c r="Q1228" s="92">
        <v>0</v>
      </c>
      <c r="R1228" s="77">
        <v>0</v>
      </c>
      <c r="S1228" s="77">
        <v>1.97</v>
      </c>
      <c r="T1228" s="76">
        <f>STOCK[[#This Row],[Costo Unitario (USD)]]+STOCK[[#This Row],[Costo Envío (USD)]]+STOCK[[#This Row],[Comisión 10%]]</f>
        <v>7.86</v>
      </c>
      <c r="U1228" s="77">
        <f>STOCK[[#This Row],[Costo total]]*1.5</f>
        <v>11.79</v>
      </c>
      <c r="V1228" s="77">
        <v>15</v>
      </c>
      <c r="W1228" s="77">
        <f>STOCK[[#This Row],[Precio Final]]-STOCK[[#This Row],[Costo total]]</f>
        <v>7.14</v>
      </c>
      <c r="X1228" s="77">
        <f>STOCK[[#This Row],[Ganancia Unitaria]]*STOCK[[#This Row],[Salidas]]</f>
        <v>21.42</v>
      </c>
      <c r="AA1228" s="77">
        <f>STOCK[[#This Row],[Costo total]]*STOCK[[#This Row],[Entradas]]</f>
        <v>39.3</v>
      </c>
      <c r="AB1228" s="77">
        <f>STOCK[[#This Row],[Stock Actual]]*STOCK[[#This Row],[Costo total]]</f>
        <v>15.72</v>
      </c>
    </row>
    <row r="1229" s="76" customFormat="1" ht="50" customHeight="1" spans="1:28">
      <c r="A1229" s="76" t="s">
        <v>2561</v>
      </c>
      <c r="B1229" s="6"/>
      <c r="C1229" s="76" t="s">
        <v>30</v>
      </c>
      <c r="D1229" s="76" t="s">
        <v>1188</v>
      </c>
      <c r="E1229" s="76" t="s">
        <v>2562</v>
      </c>
      <c r="F1229" s="76" t="s">
        <v>44</v>
      </c>
      <c r="G1229" s="76" t="s">
        <v>1874</v>
      </c>
      <c r="H1229" s="76">
        <f>STOCK[[#This Row],[Precio Final]]</f>
        <v>17</v>
      </c>
      <c r="I1229" s="76">
        <f>STOCK[[#This Row],[Precio Venta Ideal (x1.5)]]</f>
        <v>19.725</v>
      </c>
      <c r="J1229" s="91">
        <v>2</v>
      </c>
      <c r="K1229" s="91">
        <f>SUMIFS(VENTAS[Cantidad],VENTAS[Código del producto Vendido],STOCK[[#This Row],[Code]])</f>
        <v>2</v>
      </c>
      <c r="L1229" s="91">
        <f>STOCK[[#This Row],[Entradas]]-STOCK[[#This Row],[Salidas]]</f>
        <v>0</v>
      </c>
      <c r="M1229" s="76">
        <f>STOCK[[#This Row],[Precio Final]]*10%</f>
        <v>1.7</v>
      </c>
      <c r="N1229" s="76">
        <v>0</v>
      </c>
      <c r="O1229" s="76">
        <v>0</v>
      </c>
      <c r="P1229" s="76">
        <v>9.48</v>
      </c>
      <c r="Q1229" s="91">
        <v>0</v>
      </c>
      <c r="R1229" s="76">
        <v>0</v>
      </c>
      <c r="S1229" s="76">
        <v>1.97</v>
      </c>
      <c r="T1229" s="76">
        <f>STOCK[[#This Row],[Costo Unitario (USD)]]+STOCK[[#This Row],[Costo Envío (USD)]]+STOCK[[#This Row],[Comisión 10%]]</f>
        <v>13.15</v>
      </c>
      <c r="U1229" s="76">
        <f>STOCK[[#This Row],[Costo total]]*1.5</f>
        <v>19.725</v>
      </c>
      <c r="V1229" s="76">
        <v>17</v>
      </c>
      <c r="W1229" s="76">
        <f>STOCK[[#This Row],[Precio Final]]-STOCK[[#This Row],[Costo total]]</f>
        <v>3.85</v>
      </c>
      <c r="X1229" s="76">
        <f>STOCK[[#This Row],[Ganancia Unitaria]]*STOCK[[#This Row],[Salidas]]</f>
        <v>7.7</v>
      </c>
      <c r="AA1229" s="76">
        <f>STOCK[[#This Row],[Costo total]]*STOCK[[#This Row],[Entradas]]</f>
        <v>26.3</v>
      </c>
      <c r="AB1229" s="76">
        <f>STOCK[[#This Row],[Stock Actual]]*STOCK[[#This Row],[Costo total]]</f>
        <v>0</v>
      </c>
    </row>
    <row r="1230" s="77" customFormat="1" ht="50" customHeight="1" spans="1:28">
      <c r="A1230" s="77" t="s">
        <v>2563</v>
      </c>
      <c r="B1230" s="6"/>
      <c r="C1230" s="77" t="s">
        <v>30</v>
      </c>
      <c r="D1230" s="77" t="s">
        <v>1188</v>
      </c>
      <c r="E1230" s="77" t="s">
        <v>2562</v>
      </c>
      <c r="F1230" s="77" t="s">
        <v>60</v>
      </c>
      <c r="G1230" s="77" t="s">
        <v>1874</v>
      </c>
      <c r="H1230" s="77">
        <f>STOCK[[#This Row],[Precio Final]]</f>
        <v>17</v>
      </c>
      <c r="I1230" s="77">
        <f>STOCK[[#This Row],[Precio Venta Ideal (x1.5)]]</f>
        <v>19.725</v>
      </c>
      <c r="J1230" s="92">
        <v>2</v>
      </c>
      <c r="K1230" s="92">
        <f>SUMIFS(VENTAS[Cantidad],VENTAS[Código del producto Vendido],STOCK[[#This Row],[Code]])</f>
        <v>0</v>
      </c>
      <c r="L1230" s="92">
        <f>STOCK[[#This Row],[Entradas]]-STOCK[[#This Row],[Salidas]]</f>
        <v>2</v>
      </c>
      <c r="M1230" s="77">
        <f>STOCK[[#This Row],[Precio Final]]*10%</f>
        <v>1.7</v>
      </c>
      <c r="N1230" s="77">
        <v>0</v>
      </c>
      <c r="O1230" s="77">
        <v>0</v>
      </c>
      <c r="P1230" s="77">
        <v>9.48</v>
      </c>
      <c r="Q1230" s="92">
        <v>0</v>
      </c>
      <c r="R1230" s="77">
        <v>0</v>
      </c>
      <c r="S1230" s="77">
        <v>1.97</v>
      </c>
      <c r="T1230" s="76">
        <f>STOCK[[#This Row],[Costo Unitario (USD)]]+STOCK[[#This Row],[Costo Envío (USD)]]+STOCK[[#This Row],[Comisión 10%]]</f>
        <v>13.15</v>
      </c>
      <c r="U1230" s="77">
        <f>STOCK[[#This Row],[Costo total]]*1.5</f>
        <v>19.725</v>
      </c>
      <c r="V1230" s="77">
        <v>17</v>
      </c>
      <c r="W1230" s="77">
        <f>STOCK[[#This Row],[Precio Final]]-STOCK[[#This Row],[Costo total]]</f>
        <v>3.85</v>
      </c>
      <c r="X1230" s="77">
        <f>STOCK[[#This Row],[Ganancia Unitaria]]*STOCK[[#This Row],[Salidas]]</f>
        <v>0</v>
      </c>
      <c r="AA1230" s="77">
        <f>STOCK[[#This Row],[Costo total]]*STOCK[[#This Row],[Entradas]]</f>
        <v>26.3</v>
      </c>
      <c r="AB1230" s="77">
        <f>STOCK[[#This Row],[Stock Actual]]*STOCK[[#This Row],[Costo total]]</f>
        <v>26.3</v>
      </c>
    </row>
    <row r="1231" s="76" customFormat="1" ht="50" customHeight="1" spans="1:28">
      <c r="A1231" s="76" t="s">
        <v>2564</v>
      </c>
      <c r="B1231" s="6"/>
      <c r="C1231" s="76" t="s">
        <v>30</v>
      </c>
      <c r="D1231" s="76" t="s">
        <v>1188</v>
      </c>
      <c r="E1231" s="76" t="s">
        <v>2562</v>
      </c>
      <c r="F1231" s="76" t="s">
        <v>47</v>
      </c>
      <c r="G1231" s="76" t="s">
        <v>1874</v>
      </c>
      <c r="H1231" s="76">
        <f>STOCK[[#This Row],[Precio Final]]</f>
        <v>17</v>
      </c>
      <c r="I1231" s="76">
        <f>STOCK[[#This Row],[Precio Venta Ideal (x1.5)]]</f>
        <v>19.725</v>
      </c>
      <c r="J1231" s="91">
        <v>2</v>
      </c>
      <c r="K1231" s="91">
        <f>SUMIFS(VENTAS[Cantidad],VENTAS[Código del producto Vendido],STOCK[[#This Row],[Code]])</f>
        <v>0</v>
      </c>
      <c r="L1231" s="91">
        <f>STOCK[[#This Row],[Entradas]]-STOCK[[#This Row],[Salidas]]</f>
        <v>2</v>
      </c>
      <c r="M1231" s="76">
        <f>STOCK[[#This Row],[Precio Final]]*10%</f>
        <v>1.7</v>
      </c>
      <c r="N1231" s="76">
        <v>0</v>
      </c>
      <c r="O1231" s="76">
        <v>0</v>
      </c>
      <c r="P1231" s="76">
        <v>9.48</v>
      </c>
      <c r="Q1231" s="91">
        <v>0</v>
      </c>
      <c r="R1231" s="76">
        <v>0</v>
      </c>
      <c r="S1231" s="76">
        <v>1.97</v>
      </c>
      <c r="T1231" s="76">
        <f>STOCK[[#This Row],[Costo Unitario (USD)]]+STOCK[[#This Row],[Costo Envío (USD)]]+STOCK[[#This Row],[Comisión 10%]]</f>
        <v>13.15</v>
      </c>
      <c r="U1231" s="76">
        <f>STOCK[[#This Row],[Costo total]]*1.5</f>
        <v>19.725</v>
      </c>
      <c r="V1231" s="76">
        <v>17</v>
      </c>
      <c r="W1231" s="76">
        <f>STOCK[[#This Row],[Precio Final]]-STOCK[[#This Row],[Costo total]]</f>
        <v>3.85</v>
      </c>
      <c r="X1231" s="76">
        <f>STOCK[[#This Row],[Ganancia Unitaria]]*STOCK[[#This Row],[Salidas]]</f>
        <v>0</v>
      </c>
      <c r="AA1231" s="76">
        <f>STOCK[[#This Row],[Costo total]]*STOCK[[#This Row],[Entradas]]</f>
        <v>26.3</v>
      </c>
      <c r="AB1231" s="76">
        <f>STOCK[[#This Row],[Stock Actual]]*STOCK[[#This Row],[Costo total]]</f>
        <v>26.3</v>
      </c>
    </row>
    <row r="1232" s="77" customFormat="1" ht="50" customHeight="1" spans="1:28">
      <c r="A1232" s="77" t="s">
        <v>2565</v>
      </c>
      <c r="B1232" s="6"/>
      <c r="C1232" s="77" t="s">
        <v>30</v>
      </c>
      <c r="D1232" s="77" t="s">
        <v>2566</v>
      </c>
      <c r="E1232" s="77" t="s">
        <v>2567</v>
      </c>
      <c r="F1232" s="77" t="s">
        <v>47</v>
      </c>
      <c r="G1232" s="77" t="s">
        <v>1874</v>
      </c>
      <c r="H1232" s="77">
        <f>STOCK[[#This Row],[Precio Final]]</f>
        <v>25</v>
      </c>
      <c r="I1232" s="77">
        <f>STOCK[[#This Row],[Precio Venta Ideal (x1.5)]]</f>
        <v>23.49</v>
      </c>
      <c r="J1232" s="92">
        <v>1</v>
      </c>
      <c r="K1232" s="92">
        <f>SUMIFS(VENTAS[Cantidad],VENTAS[Código del producto Vendido],STOCK[[#This Row],[Code]])</f>
        <v>0</v>
      </c>
      <c r="L1232" s="92">
        <f>STOCK[[#This Row],[Entradas]]-STOCK[[#This Row],[Salidas]]</f>
        <v>1</v>
      </c>
      <c r="M1232" s="77">
        <f>STOCK[[#This Row],[Precio Final]]*10%</f>
        <v>2.5</v>
      </c>
      <c r="N1232" s="77">
        <v>0</v>
      </c>
      <c r="O1232" s="77">
        <v>0</v>
      </c>
      <c r="P1232" s="77">
        <v>11.19</v>
      </c>
      <c r="Q1232" s="92">
        <v>0</v>
      </c>
      <c r="R1232" s="77">
        <v>0</v>
      </c>
      <c r="S1232" s="77">
        <v>1.97</v>
      </c>
      <c r="T1232" s="76">
        <f>STOCK[[#This Row],[Costo Unitario (USD)]]+STOCK[[#This Row],[Costo Envío (USD)]]+STOCK[[#This Row],[Comisión 10%]]</f>
        <v>15.66</v>
      </c>
      <c r="U1232" s="77">
        <f>STOCK[[#This Row],[Costo total]]*1.5</f>
        <v>23.49</v>
      </c>
      <c r="V1232" s="77">
        <v>25</v>
      </c>
      <c r="W1232" s="77">
        <f>STOCK[[#This Row],[Precio Final]]-STOCK[[#This Row],[Costo total]]</f>
        <v>9.34</v>
      </c>
      <c r="X1232" s="77">
        <f>STOCK[[#This Row],[Ganancia Unitaria]]*STOCK[[#This Row],[Salidas]]</f>
        <v>0</v>
      </c>
      <c r="AA1232" s="77">
        <f>STOCK[[#This Row],[Costo total]]*STOCK[[#This Row],[Entradas]]</f>
        <v>15.66</v>
      </c>
      <c r="AB1232" s="77">
        <f>STOCK[[#This Row],[Stock Actual]]*STOCK[[#This Row],[Costo total]]</f>
        <v>15.66</v>
      </c>
    </row>
    <row r="1233" s="76" customFormat="1" ht="50" customHeight="1" spans="1:28">
      <c r="A1233" s="76" t="s">
        <v>2568</v>
      </c>
      <c r="B1233" s="6"/>
      <c r="C1233" s="76" t="s">
        <v>30</v>
      </c>
      <c r="D1233" s="76" t="s">
        <v>2566</v>
      </c>
      <c r="E1233" s="76" t="s">
        <v>2567</v>
      </c>
      <c r="F1233" s="76" t="s">
        <v>60</v>
      </c>
      <c r="G1233" s="76" t="s">
        <v>1874</v>
      </c>
      <c r="H1233" s="76">
        <f>STOCK[[#This Row],[Precio Final]]</f>
        <v>25</v>
      </c>
      <c r="I1233" s="76">
        <f>STOCK[[#This Row],[Precio Venta Ideal (x1.5)]]</f>
        <v>23.49</v>
      </c>
      <c r="J1233" s="91">
        <v>1</v>
      </c>
      <c r="K1233" s="91">
        <f>SUMIFS(VENTAS[Cantidad],VENTAS[Código del producto Vendido],STOCK[[#This Row],[Code]])</f>
        <v>0</v>
      </c>
      <c r="L1233" s="91">
        <f>STOCK[[#This Row],[Entradas]]-STOCK[[#This Row],[Salidas]]</f>
        <v>1</v>
      </c>
      <c r="M1233" s="76">
        <f>STOCK[[#This Row],[Precio Final]]*10%</f>
        <v>2.5</v>
      </c>
      <c r="N1233" s="76">
        <v>0</v>
      </c>
      <c r="O1233" s="76">
        <v>0</v>
      </c>
      <c r="P1233" s="76">
        <v>11.19</v>
      </c>
      <c r="Q1233" s="91">
        <v>0</v>
      </c>
      <c r="R1233" s="76">
        <v>0</v>
      </c>
      <c r="S1233" s="76">
        <v>1.97</v>
      </c>
      <c r="T1233" s="76">
        <f>STOCK[[#This Row],[Costo Unitario (USD)]]+STOCK[[#This Row],[Costo Envío (USD)]]+STOCK[[#This Row],[Comisión 10%]]</f>
        <v>15.66</v>
      </c>
      <c r="U1233" s="76">
        <f>STOCK[[#This Row],[Costo total]]*1.5</f>
        <v>23.49</v>
      </c>
      <c r="V1233" s="76">
        <v>25</v>
      </c>
      <c r="W1233" s="76">
        <f>STOCK[[#This Row],[Precio Final]]-STOCK[[#This Row],[Costo total]]</f>
        <v>9.34</v>
      </c>
      <c r="X1233" s="76">
        <f>STOCK[[#This Row],[Ganancia Unitaria]]*STOCK[[#This Row],[Salidas]]</f>
        <v>0</v>
      </c>
      <c r="AA1233" s="76">
        <f>STOCK[[#This Row],[Costo total]]*STOCK[[#This Row],[Entradas]]</f>
        <v>15.66</v>
      </c>
      <c r="AB1233" s="76">
        <f>STOCK[[#This Row],[Stock Actual]]*STOCK[[#This Row],[Costo total]]</f>
        <v>15.66</v>
      </c>
    </row>
    <row r="1234" s="77" customFormat="1" ht="50" customHeight="1" spans="1:28">
      <c r="A1234" s="77" t="s">
        <v>2569</v>
      </c>
      <c r="B1234" s="6"/>
      <c r="C1234" s="77" t="s">
        <v>30</v>
      </c>
      <c r="D1234" s="77" t="s">
        <v>1188</v>
      </c>
      <c r="E1234" s="77" t="s">
        <v>2570</v>
      </c>
      <c r="F1234" s="77" t="s">
        <v>524</v>
      </c>
      <c r="G1234" s="77" t="s">
        <v>1874</v>
      </c>
      <c r="H1234" s="77">
        <f>STOCK[[#This Row],[Precio Final]]</f>
        <v>18</v>
      </c>
      <c r="I1234" s="77">
        <f>STOCK[[#This Row],[Precio Venta Ideal (x1.5)]]</f>
        <v>13.2</v>
      </c>
      <c r="J1234" s="92">
        <v>2</v>
      </c>
      <c r="K1234" s="92">
        <f>SUMIFS(VENTAS[Cantidad],VENTAS[Código del producto Vendido],STOCK[[#This Row],[Code]])</f>
        <v>0</v>
      </c>
      <c r="L1234" s="92">
        <f>STOCK[[#This Row],[Entradas]]-STOCK[[#This Row],[Salidas]]</f>
        <v>2</v>
      </c>
      <c r="M1234" s="77">
        <f>STOCK[[#This Row],[Precio Final]]*10%</f>
        <v>1.8</v>
      </c>
      <c r="N1234" s="77">
        <v>0</v>
      </c>
      <c r="O1234" s="77">
        <v>0</v>
      </c>
      <c r="P1234" s="77">
        <v>5.03</v>
      </c>
      <c r="Q1234" s="92">
        <v>0</v>
      </c>
      <c r="R1234" s="77">
        <v>0</v>
      </c>
      <c r="S1234" s="77">
        <v>1.97</v>
      </c>
      <c r="T1234" s="76">
        <f>STOCK[[#This Row],[Costo Unitario (USD)]]+STOCK[[#This Row],[Costo Envío (USD)]]+STOCK[[#This Row],[Comisión 10%]]</f>
        <v>8.8</v>
      </c>
      <c r="U1234" s="77">
        <f>STOCK[[#This Row],[Costo total]]*1.5</f>
        <v>13.2</v>
      </c>
      <c r="V1234" s="77">
        <v>18</v>
      </c>
      <c r="W1234" s="77">
        <f>STOCK[[#This Row],[Precio Final]]-STOCK[[#This Row],[Costo total]]</f>
        <v>9.2</v>
      </c>
      <c r="X1234" s="77">
        <f>STOCK[[#This Row],[Ganancia Unitaria]]*STOCK[[#This Row],[Salidas]]</f>
        <v>0</v>
      </c>
      <c r="AA1234" s="77">
        <f>STOCK[[#This Row],[Costo total]]*STOCK[[#This Row],[Entradas]]</f>
        <v>17.6</v>
      </c>
      <c r="AB1234" s="77">
        <f>STOCK[[#This Row],[Stock Actual]]*STOCK[[#This Row],[Costo total]]</f>
        <v>17.6</v>
      </c>
    </row>
    <row r="1235" s="76" customFormat="1" ht="50" customHeight="1" spans="1:28">
      <c r="A1235" s="76" t="s">
        <v>2571</v>
      </c>
      <c r="B1235" s="6"/>
      <c r="C1235" s="76" t="s">
        <v>30</v>
      </c>
      <c r="D1235" s="76" t="s">
        <v>2566</v>
      </c>
      <c r="E1235" s="76" t="s">
        <v>2572</v>
      </c>
      <c r="F1235" s="76" t="s">
        <v>60</v>
      </c>
      <c r="G1235" s="76" t="s">
        <v>1874</v>
      </c>
      <c r="H1235" s="76">
        <f>STOCK[[#This Row],[Precio Final]]</f>
        <v>30</v>
      </c>
      <c r="I1235" s="76">
        <f>STOCK[[#This Row],[Precio Venta Ideal (x1.5)]]</f>
        <v>24.99</v>
      </c>
      <c r="J1235" s="91">
        <v>1</v>
      </c>
      <c r="K1235" s="91">
        <f>SUMIFS(VENTAS[Cantidad],VENTAS[Código del producto Vendido],STOCK[[#This Row],[Code]])</f>
        <v>1</v>
      </c>
      <c r="L1235" s="91">
        <f>STOCK[[#This Row],[Entradas]]-STOCK[[#This Row],[Salidas]]</f>
        <v>0</v>
      </c>
      <c r="M1235" s="76">
        <f>STOCK[[#This Row],[Precio Final]]*10%</f>
        <v>3</v>
      </c>
      <c r="N1235" s="76">
        <v>0</v>
      </c>
      <c r="O1235" s="76">
        <v>0</v>
      </c>
      <c r="P1235" s="76">
        <v>11.69</v>
      </c>
      <c r="Q1235" s="91">
        <v>0</v>
      </c>
      <c r="R1235" s="76">
        <v>0</v>
      </c>
      <c r="S1235" s="76">
        <v>1.97</v>
      </c>
      <c r="T1235" s="76">
        <f>STOCK[[#This Row],[Costo Unitario (USD)]]+STOCK[[#This Row],[Costo Envío (USD)]]+STOCK[[#This Row],[Comisión 10%]]</f>
        <v>16.66</v>
      </c>
      <c r="U1235" s="76">
        <f>STOCK[[#This Row],[Costo total]]*1.5</f>
        <v>24.99</v>
      </c>
      <c r="V1235" s="76">
        <v>30</v>
      </c>
      <c r="W1235" s="76">
        <f>STOCK[[#This Row],[Precio Final]]-STOCK[[#This Row],[Costo total]]</f>
        <v>13.34</v>
      </c>
      <c r="X1235" s="76">
        <f>STOCK[[#This Row],[Ganancia Unitaria]]*STOCK[[#This Row],[Salidas]]</f>
        <v>13.34</v>
      </c>
      <c r="AA1235" s="76">
        <f>STOCK[[#This Row],[Costo total]]*STOCK[[#This Row],[Entradas]]</f>
        <v>16.66</v>
      </c>
      <c r="AB1235" s="76">
        <f>STOCK[[#This Row],[Stock Actual]]*STOCK[[#This Row],[Costo total]]</f>
        <v>0</v>
      </c>
    </row>
    <row r="1236" s="77" customFormat="1" ht="50" customHeight="1" spans="1:28">
      <c r="A1236" s="77" t="s">
        <v>2573</v>
      </c>
      <c r="B1236" s="6"/>
      <c r="C1236" s="77" t="s">
        <v>30</v>
      </c>
      <c r="D1236" s="77" t="s">
        <v>2566</v>
      </c>
      <c r="E1236" s="77" t="s">
        <v>2572</v>
      </c>
      <c r="F1236" s="77" t="s">
        <v>44</v>
      </c>
      <c r="G1236" s="77" t="s">
        <v>1874</v>
      </c>
      <c r="H1236" s="77">
        <f>STOCK[[#This Row],[Precio Final]]</f>
        <v>30</v>
      </c>
      <c r="I1236" s="77">
        <f>STOCK[[#This Row],[Precio Venta Ideal (x1.5)]]</f>
        <v>24.99</v>
      </c>
      <c r="J1236" s="92">
        <v>2</v>
      </c>
      <c r="K1236" s="92">
        <f>SUMIFS(VENTAS[Cantidad],VENTAS[Código del producto Vendido],STOCK[[#This Row],[Code]])</f>
        <v>2</v>
      </c>
      <c r="L1236" s="92">
        <f>STOCK[[#This Row],[Entradas]]-STOCK[[#This Row],[Salidas]]</f>
        <v>0</v>
      </c>
      <c r="M1236" s="77">
        <f>STOCK[[#This Row],[Precio Final]]*10%</f>
        <v>3</v>
      </c>
      <c r="N1236" s="77">
        <v>0</v>
      </c>
      <c r="O1236" s="77">
        <v>0</v>
      </c>
      <c r="P1236" s="77">
        <v>11.69</v>
      </c>
      <c r="Q1236" s="92">
        <v>0</v>
      </c>
      <c r="R1236" s="77">
        <v>0</v>
      </c>
      <c r="S1236" s="77">
        <v>1.97</v>
      </c>
      <c r="T1236" s="76">
        <f>STOCK[[#This Row],[Costo Unitario (USD)]]+STOCK[[#This Row],[Costo Envío (USD)]]+STOCK[[#This Row],[Comisión 10%]]</f>
        <v>16.66</v>
      </c>
      <c r="U1236" s="77">
        <f>STOCK[[#This Row],[Costo total]]*1.5</f>
        <v>24.99</v>
      </c>
      <c r="V1236" s="77">
        <v>30</v>
      </c>
      <c r="W1236" s="77">
        <f>STOCK[[#This Row],[Precio Final]]-STOCK[[#This Row],[Costo total]]</f>
        <v>13.34</v>
      </c>
      <c r="X1236" s="77">
        <f>STOCK[[#This Row],[Ganancia Unitaria]]*STOCK[[#This Row],[Salidas]]</f>
        <v>26.68</v>
      </c>
      <c r="AA1236" s="77">
        <f>STOCK[[#This Row],[Costo total]]*STOCK[[#This Row],[Entradas]]</f>
        <v>33.32</v>
      </c>
      <c r="AB1236" s="77">
        <f>STOCK[[#This Row],[Stock Actual]]*STOCK[[#This Row],[Costo total]]</f>
        <v>0</v>
      </c>
    </row>
    <row r="1237" s="76" customFormat="1" ht="50" customHeight="1" spans="1:28">
      <c r="A1237" s="76" t="s">
        <v>2574</v>
      </c>
      <c r="B1237" s="6"/>
      <c r="C1237" s="76" t="s">
        <v>30</v>
      </c>
      <c r="D1237" s="76" t="s">
        <v>2566</v>
      </c>
      <c r="E1237" s="76" t="s">
        <v>2572</v>
      </c>
      <c r="F1237" s="76" t="s">
        <v>44</v>
      </c>
      <c r="G1237" s="76" t="s">
        <v>1874</v>
      </c>
      <c r="H1237" s="76">
        <f>STOCK[[#This Row],[Precio Final]]</f>
        <v>30</v>
      </c>
      <c r="I1237" s="76">
        <f>STOCK[[#This Row],[Precio Venta Ideal (x1.5)]]</f>
        <v>24.99</v>
      </c>
      <c r="J1237" s="91">
        <v>1</v>
      </c>
      <c r="K1237" s="91">
        <f>SUMIFS(VENTAS[Cantidad],VENTAS[Código del producto Vendido],STOCK[[#This Row],[Code]])</f>
        <v>1</v>
      </c>
      <c r="L1237" s="91">
        <f>STOCK[[#This Row],[Entradas]]-STOCK[[#This Row],[Salidas]]</f>
        <v>0</v>
      </c>
      <c r="M1237" s="76">
        <f>STOCK[[#This Row],[Precio Final]]*10%</f>
        <v>3</v>
      </c>
      <c r="N1237" s="76">
        <v>0</v>
      </c>
      <c r="O1237" s="76">
        <v>0</v>
      </c>
      <c r="P1237" s="76">
        <v>11.69</v>
      </c>
      <c r="Q1237" s="91">
        <v>0</v>
      </c>
      <c r="R1237" s="76">
        <v>0</v>
      </c>
      <c r="S1237" s="76">
        <v>1.97</v>
      </c>
      <c r="T1237" s="76">
        <f>STOCK[[#This Row],[Costo Unitario (USD)]]+STOCK[[#This Row],[Costo Envío (USD)]]+STOCK[[#This Row],[Comisión 10%]]</f>
        <v>16.66</v>
      </c>
      <c r="U1237" s="76">
        <f>STOCK[[#This Row],[Costo total]]*1.5</f>
        <v>24.99</v>
      </c>
      <c r="V1237" s="76">
        <v>30</v>
      </c>
      <c r="W1237" s="76">
        <f>STOCK[[#This Row],[Precio Final]]-STOCK[[#This Row],[Costo total]]</f>
        <v>13.34</v>
      </c>
      <c r="X1237" s="76">
        <f>STOCK[[#This Row],[Ganancia Unitaria]]*STOCK[[#This Row],[Salidas]]</f>
        <v>13.34</v>
      </c>
      <c r="AA1237" s="76">
        <f>STOCK[[#This Row],[Costo total]]*STOCK[[#This Row],[Entradas]]</f>
        <v>16.66</v>
      </c>
      <c r="AB1237" s="76">
        <f>STOCK[[#This Row],[Stock Actual]]*STOCK[[#This Row],[Costo total]]</f>
        <v>0</v>
      </c>
    </row>
    <row r="1238" s="77" customFormat="1" ht="50" customHeight="1" spans="1:28">
      <c r="A1238" s="77" t="s">
        <v>2575</v>
      </c>
      <c r="B1238" s="6"/>
      <c r="C1238" s="77" t="s">
        <v>30</v>
      </c>
      <c r="D1238" s="77" t="s">
        <v>2375</v>
      </c>
      <c r="E1238" s="77" t="s">
        <v>2572</v>
      </c>
      <c r="F1238" s="77" t="s">
        <v>280</v>
      </c>
      <c r="G1238" s="77" t="s">
        <v>1874</v>
      </c>
      <c r="H1238" s="77">
        <f>STOCK[[#This Row],[Precio Final]]</f>
        <v>30</v>
      </c>
      <c r="I1238" s="77">
        <f>STOCK[[#This Row],[Precio Venta Ideal (x1.5)]]</f>
        <v>24.99</v>
      </c>
      <c r="J1238" s="92">
        <v>1</v>
      </c>
      <c r="K1238" s="92">
        <f>SUMIFS(VENTAS[Cantidad],VENTAS[Código del producto Vendido],STOCK[[#This Row],[Code]])</f>
        <v>1</v>
      </c>
      <c r="L1238" s="92">
        <f>STOCK[[#This Row],[Entradas]]-STOCK[[#This Row],[Salidas]]</f>
        <v>0</v>
      </c>
      <c r="M1238" s="77">
        <f>STOCK[[#This Row],[Precio Final]]*10%</f>
        <v>3</v>
      </c>
      <c r="N1238" s="77">
        <v>0</v>
      </c>
      <c r="O1238" s="77">
        <v>0</v>
      </c>
      <c r="P1238" s="77">
        <v>11.69</v>
      </c>
      <c r="Q1238" s="92">
        <v>0</v>
      </c>
      <c r="R1238" s="77">
        <v>0</v>
      </c>
      <c r="S1238" s="77">
        <v>1.97</v>
      </c>
      <c r="T1238" s="76">
        <f>STOCK[[#This Row],[Costo Unitario (USD)]]+STOCK[[#This Row],[Costo Envío (USD)]]+STOCK[[#This Row],[Comisión 10%]]</f>
        <v>16.66</v>
      </c>
      <c r="U1238" s="77">
        <f>STOCK[[#This Row],[Costo total]]*1.5</f>
        <v>24.99</v>
      </c>
      <c r="V1238" s="77">
        <v>30</v>
      </c>
      <c r="W1238" s="77">
        <f>STOCK[[#This Row],[Precio Final]]-STOCK[[#This Row],[Costo total]]</f>
        <v>13.34</v>
      </c>
      <c r="X1238" s="77">
        <f>STOCK[[#This Row],[Ganancia Unitaria]]*STOCK[[#This Row],[Salidas]]</f>
        <v>13.34</v>
      </c>
      <c r="AA1238" s="77">
        <f>STOCK[[#This Row],[Costo total]]*STOCK[[#This Row],[Entradas]]</f>
        <v>16.66</v>
      </c>
      <c r="AB1238" s="77">
        <f>STOCK[[#This Row],[Stock Actual]]*STOCK[[#This Row],[Costo total]]</f>
        <v>0</v>
      </c>
    </row>
    <row r="1239" s="76" customFormat="1" ht="50" customHeight="1" spans="1:28">
      <c r="A1239" s="76" t="s">
        <v>2576</v>
      </c>
      <c r="B1239" s="6"/>
      <c r="C1239" s="76" t="s">
        <v>30</v>
      </c>
      <c r="D1239" s="76" t="s">
        <v>2116</v>
      </c>
      <c r="E1239" s="76" t="s">
        <v>2577</v>
      </c>
      <c r="F1239" s="76" t="s">
        <v>60</v>
      </c>
      <c r="H1239" s="76">
        <f>STOCK[[#This Row],[Precio Final]]</f>
        <v>25</v>
      </c>
      <c r="I1239" s="76">
        <f>STOCK[[#This Row],[Precio Venta Ideal (x1.5)]]</f>
        <v>23.16</v>
      </c>
      <c r="J1239" s="91">
        <v>1</v>
      </c>
      <c r="K1239" s="91">
        <f>SUMIFS(VENTAS[Cantidad],VENTAS[Código del producto Vendido],STOCK[[#This Row],[Code]])</f>
        <v>1</v>
      </c>
      <c r="L1239" s="91">
        <f>STOCK[[#This Row],[Entradas]]-STOCK[[#This Row],[Salidas]]</f>
        <v>0</v>
      </c>
      <c r="M1239" s="76">
        <f>STOCK[[#This Row],[Precio Final]]*10%</f>
        <v>2.5</v>
      </c>
      <c r="N1239" s="76">
        <v>0</v>
      </c>
      <c r="O1239" s="76">
        <v>0</v>
      </c>
      <c r="P1239" s="76">
        <v>10.97</v>
      </c>
      <c r="Q1239" s="91">
        <v>0</v>
      </c>
      <c r="R1239" s="76">
        <v>0</v>
      </c>
      <c r="S1239" s="76">
        <v>1.97</v>
      </c>
      <c r="T1239" s="76">
        <f>STOCK[[#This Row],[Costo Unitario (USD)]]+STOCK[[#This Row],[Costo Envío (USD)]]+STOCK[[#This Row],[Comisión 10%]]</f>
        <v>15.44</v>
      </c>
      <c r="U1239" s="76">
        <f>STOCK[[#This Row],[Costo total]]*1.5</f>
        <v>23.16</v>
      </c>
      <c r="V1239" s="76">
        <v>25</v>
      </c>
      <c r="W1239" s="76">
        <f>STOCK[[#This Row],[Precio Final]]-STOCK[[#This Row],[Costo total]]</f>
        <v>9.56</v>
      </c>
      <c r="X1239" s="76">
        <f>STOCK[[#This Row],[Ganancia Unitaria]]*STOCK[[#This Row],[Salidas]]</f>
        <v>9.56</v>
      </c>
      <c r="AA1239" s="76">
        <f>STOCK[[#This Row],[Costo total]]*STOCK[[#This Row],[Entradas]]</f>
        <v>15.44</v>
      </c>
      <c r="AB1239" s="76">
        <f>STOCK[[#This Row],[Stock Actual]]*STOCK[[#This Row],[Costo total]]</f>
        <v>0</v>
      </c>
    </row>
    <row r="1240" s="77" customFormat="1" ht="50" customHeight="1" spans="1:28">
      <c r="A1240" s="77" t="s">
        <v>2578</v>
      </c>
      <c r="B1240" s="6"/>
      <c r="C1240" s="77" t="s">
        <v>30</v>
      </c>
      <c r="D1240" s="77" t="s">
        <v>2116</v>
      </c>
      <c r="E1240" s="77" t="s">
        <v>2577</v>
      </c>
      <c r="F1240" s="77" t="s">
        <v>47</v>
      </c>
      <c r="H1240" s="77">
        <f>STOCK[[#This Row],[Precio Final]]</f>
        <v>25</v>
      </c>
      <c r="I1240" s="77">
        <f>STOCK[[#This Row],[Precio Venta Ideal (x1.5)]]</f>
        <v>23.16</v>
      </c>
      <c r="J1240" s="92">
        <v>1</v>
      </c>
      <c r="K1240" s="92">
        <f>SUMIFS(VENTAS[Cantidad],VENTAS[Código del producto Vendido],STOCK[[#This Row],[Code]])</f>
        <v>0</v>
      </c>
      <c r="L1240" s="92">
        <f>STOCK[[#This Row],[Entradas]]-STOCK[[#This Row],[Salidas]]</f>
        <v>1</v>
      </c>
      <c r="M1240" s="77">
        <f>STOCK[[#This Row],[Precio Final]]*10%</f>
        <v>2.5</v>
      </c>
      <c r="N1240" s="77">
        <v>0</v>
      </c>
      <c r="O1240" s="77">
        <v>0</v>
      </c>
      <c r="P1240" s="77">
        <v>10.97</v>
      </c>
      <c r="Q1240" s="92">
        <v>0</v>
      </c>
      <c r="R1240" s="77">
        <v>0</v>
      </c>
      <c r="S1240" s="77">
        <v>1.97</v>
      </c>
      <c r="T1240" s="76">
        <f>STOCK[[#This Row],[Costo Unitario (USD)]]+STOCK[[#This Row],[Costo Envío (USD)]]+STOCK[[#This Row],[Comisión 10%]]</f>
        <v>15.44</v>
      </c>
      <c r="U1240" s="77">
        <f>STOCK[[#This Row],[Costo total]]*1.5</f>
        <v>23.16</v>
      </c>
      <c r="V1240" s="77">
        <v>25</v>
      </c>
      <c r="W1240" s="77">
        <f>STOCK[[#This Row],[Precio Final]]-STOCK[[#This Row],[Costo total]]</f>
        <v>9.56</v>
      </c>
      <c r="X1240" s="77">
        <f>STOCK[[#This Row],[Ganancia Unitaria]]*STOCK[[#This Row],[Salidas]]</f>
        <v>0</v>
      </c>
      <c r="AA1240" s="77">
        <f>STOCK[[#This Row],[Costo total]]*STOCK[[#This Row],[Entradas]]</f>
        <v>15.44</v>
      </c>
      <c r="AB1240" s="77">
        <f>STOCK[[#This Row],[Stock Actual]]*STOCK[[#This Row],[Costo total]]</f>
        <v>15.44</v>
      </c>
    </row>
    <row r="1241" s="76" customFormat="1" ht="50" customHeight="1" spans="1:28">
      <c r="A1241" s="76" t="s">
        <v>2579</v>
      </c>
      <c r="B1241" s="6"/>
      <c r="C1241" s="76" t="s">
        <v>30</v>
      </c>
      <c r="D1241" s="76" t="s">
        <v>2375</v>
      </c>
      <c r="E1241" s="76" t="s">
        <v>2577</v>
      </c>
      <c r="F1241" s="76" t="s">
        <v>44</v>
      </c>
      <c r="H1241" s="76">
        <f>STOCK[[#This Row],[Precio Final]]</f>
        <v>25</v>
      </c>
      <c r="I1241" s="76">
        <f>STOCK[[#This Row],[Precio Venta Ideal (x1.5)]]</f>
        <v>23.16</v>
      </c>
      <c r="J1241" s="91">
        <v>1</v>
      </c>
      <c r="K1241" s="91">
        <f>SUMIFS(VENTAS[Cantidad],VENTAS[Código del producto Vendido],STOCK[[#This Row],[Code]])</f>
        <v>1</v>
      </c>
      <c r="L1241" s="91">
        <f>STOCK[[#This Row],[Entradas]]-STOCK[[#This Row],[Salidas]]</f>
        <v>0</v>
      </c>
      <c r="M1241" s="76">
        <f>STOCK[[#This Row],[Precio Final]]*10%</f>
        <v>2.5</v>
      </c>
      <c r="N1241" s="76">
        <v>0</v>
      </c>
      <c r="O1241" s="76">
        <v>0</v>
      </c>
      <c r="P1241" s="76">
        <v>10.97</v>
      </c>
      <c r="Q1241" s="91">
        <v>0</v>
      </c>
      <c r="R1241" s="76">
        <v>0</v>
      </c>
      <c r="S1241" s="76">
        <v>1.97</v>
      </c>
      <c r="T1241" s="76">
        <f>STOCK[[#This Row],[Costo Unitario (USD)]]+STOCK[[#This Row],[Costo Envío (USD)]]+STOCK[[#This Row],[Comisión 10%]]</f>
        <v>15.44</v>
      </c>
      <c r="U1241" s="76">
        <f>STOCK[[#This Row],[Costo total]]*1.5</f>
        <v>23.16</v>
      </c>
      <c r="V1241" s="76">
        <v>25</v>
      </c>
      <c r="W1241" s="76">
        <f>STOCK[[#This Row],[Precio Final]]-STOCK[[#This Row],[Costo total]]</f>
        <v>9.56</v>
      </c>
      <c r="X1241" s="76">
        <f>STOCK[[#This Row],[Ganancia Unitaria]]*STOCK[[#This Row],[Salidas]]</f>
        <v>9.56</v>
      </c>
      <c r="AA1241" s="76">
        <f>STOCK[[#This Row],[Costo total]]*STOCK[[#This Row],[Entradas]]</f>
        <v>15.44</v>
      </c>
      <c r="AB1241" s="76">
        <f>STOCK[[#This Row],[Stock Actual]]*STOCK[[#This Row],[Costo total]]</f>
        <v>0</v>
      </c>
    </row>
    <row r="1242" s="77" customFormat="1" ht="50" customHeight="1" spans="1:28">
      <c r="A1242" s="77" t="s">
        <v>2580</v>
      </c>
      <c r="B1242" s="6"/>
      <c r="C1242" s="77" t="s">
        <v>30</v>
      </c>
      <c r="D1242" s="77" t="s">
        <v>2116</v>
      </c>
      <c r="E1242" s="77" t="s">
        <v>2581</v>
      </c>
      <c r="F1242" s="77" t="s">
        <v>60</v>
      </c>
      <c r="H1242" s="77">
        <f>STOCK[[#This Row],[Precio Final]]</f>
        <v>30</v>
      </c>
      <c r="I1242" s="77">
        <f>STOCK[[#This Row],[Precio Venta Ideal (x1.5)]]</f>
        <v>18.96</v>
      </c>
      <c r="J1242" s="92">
        <v>1</v>
      </c>
      <c r="K1242" s="92">
        <f>SUMIFS(VENTAS[Cantidad],VENTAS[Código del producto Vendido],STOCK[[#This Row],[Code]])</f>
        <v>1</v>
      </c>
      <c r="L1242" s="92">
        <f>STOCK[[#This Row],[Entradas]]-STOCK[[#This Row],[Salidas]]</f>
        <v>0</v>
      </c>
      <c r="M1242" s="77">
        <f>STOCK[[#This Row],[Precio Final]]*10%</f>
        <v>3</v>
      </c>
      <c r="N1242" s="77">
        <v>0</v>
      </c>
      <c r="O1242" s="77">
        <v>0</v>
      </c>
      <c r="P1242" s="77">
        <v>7.67</v>
      </c>
      <c r="Q1242" s="92">
        <v>0</v>
      </c>
      <c r="R1242" s="77">
        <v>0</v>
      </c>
      <c r="S1242" s="77">
        <v>1.97</v>
      </c>
      <c r="T1242" s="76">
        <f>STOCK[[#This Row],[Costo Unitario (USD)]]+STOCK[[#This Row],[Costo Envío (USD)]]+STOCK[[#This Row],[Comisión 10%]]</f>
        <v>12.64</v>
      </c>
      <c r="U1242" s="77">
        <f>STOCK[[#This Row],[Costo total]]*1.5</f>
        <v>18.96</v>
      </c>
      <c r="V1242" s="77">
        <v>30</v>
      </c>
      <c r="W1242" s="77">
        <f>STOCK[[#This Row],[Precio Final]]-STOCK[[#This Row],[Costo total]]</f>
        <v>17.36</v>
      </c>
      <c r="X1242" s="77">
        <f>STOCK[[#This Row],[Ganancia Unitaria]]*STOCK[[#This Row],[Salidas]]</f>
        <v>17.36</v>
      </c>
      <c r="AA1242" s="77">
        <f>STOCK[[#This Row],[Costo total]]*STOCK[[#This Row],[Entradas]]</f>
        <v>12.64</v>
      </c>
      <c r="AB1242" s="77">
        <f>STOCK[[#This Row],[Stock Actual]]*STOCK[[#This Row],[Costo total]]</f>
        <v>0</v>
      </c>
    </row>
    <row r="1243" s="76" customFormat="1" ht="50" customHeight="1" spans="1:28">
      <c r="A1243" s="76" t="s">
        <v>2582</v>
      </c>
      <c r="B1243" s="6"/>
      <c r="C1243" s="76" t="s">
        <v>30</v>
      </c>
      <c r="D1243" s="76" t="s">
        <v>2315</v>
      </c>
      <c r="E1243" s="76" t="s">
        <v>2229</v>
      </c>
      <c r="F1243" s="76" t="s">
        <v>44</v>
      </c>
      <c r="H1243" s="76">
        <f>STOCK[[#This Row],[Precio Final]]</f>
        <v>30</v>
      </c>
      <c r="I1243" s="76">
        <f>STOCK[[#This Row],[Precio Venta Ideal (x1.5)]]</f>
        <v>27.66</v>
      </c>
      <c r="J1243" s="91">
        <v>2</v>
      </c>
      <c r="K1243" s="91">
        <f>SUMIFS(VENTAS[Cantidad],VENTAS[Código del producto Vendido],STOCK[[#This Row],[Code]])</f>
        <v>1</v>
      </c>
      <c r="L1243" s="91">
        <f>STOCK[[#This Row],[Entradas]]-STOCK[[#This Row],[Salidas]]</f>
        <v>1</v>
      </c>
      <c r="M1243" s="76">
        <f>STOCK[[#This Row],[Precio Final]]*10%</f>
        <v>3</v>
      </c>
      <c r="N1243" s="76">
        <v>0</v>
      </c>
      <c r="O1243" s="76">
        <v>0</v>
      </c>
      <c r="P1243" s="76">
        <v>13.47</v>
      </c>
      <c r="Q1243" s="91">
        <v>0</v>
      </c>
      <c r="R1243" s="76">
        <v>0</v>
      </c>
      <c r="S1243" s="76">
        <v>1.97</v>
      </c>
      <c r="T1243" s="76">
        <f>STOCK[[#This Row],[Costo Unitario (USD)]]+STOCK[[#This Row],[Costo Envío (USD)]]+STOCK[[#This Row],[Comisión 10%]]</f>
        <v>18.44</v>
      </c>
      <c r="U1243" s="76">
        <f>STOCK[[#This Row],[Costo total]]*1.5</f>
        <v>27.66</v>
      </c>
      <c r="V1243" s="76">
        <v>30</v>
      </c>
      <c r="W1243" s="76">
        <f>STOCK[[#This Row],[Precio Final]]-STOCK[[#This Row],[Costo total]]</f>
        <v>11.56</v>
      </c>
      <c r="X1243" s="76">
        <f>STOCK[[#This Row],[Ganancia Unitaria]]*STOCK[[#This Row],[Salidas]]</f>
        <v>11.56</v>
      </c>
      <c r="AA1243" s="76">
        <f>STOCK[[#This Row],[Costo total]]*STOCK[[#This Row],[Entradas]]</f>
        <v>36.88</v>
      </c>
      <c r="AB1243" s="76">
        <f>STOCK[[#This Row],[Stock Actual]]*STOCK[[#This Row],[Costo total]]</f>
        <v>18.44</v>
      </c>
    </row>
    <row r="1244" s="77" customFormat="1" ht="50" customHeight="1" spans="1:28">
      <c r="A1244" s="77" t="s">
        <v>2583</v>
      </c>
      <c r="B1244" s="6"/>
      <c r="C1244" s="77" t="s">
        <v>30</v>
      </c>
      <c r="D1244" s="77" t="s">
        <v>2116</v>
      </c>
      <c r="E1244" s="77" t="s">
        <v>2229</v>
      </c>
      <c r="F1244" s="77" t="s">
        <v>47</v>
      </c>
      <c r="H1244" s="77">
        <f>STOCK[[#This Row],[Precio Final]]</f>
        <v>30</v>
      </c>
      <c r="I1244" s="77">
        <f>STOCK[[#This Row],[Precio Venta Ideal (x1.5)]]</f>
        <v>27.66</v>
      </c>
      <c r="J1244" s="92">
        <v>2</v>
      </c>
      <c r="K1244" s="92">
        <f>SUMIFS(VENTAS[Cantidad],VENTAS[Código del producto Vendido],STOCK[[#This Row],[Code]])</f>
        <v>2</v>
      </c>
      <c r="L1244" s="92">
        <f>STOCK[[#This Row],[Entradas]]-STOCK[[#This Row],[Salidas]]</f>
        <v>0</v>
      </c>
      <c r="M1244" s="77">
        <f>STOCK[[#This Row],[Precio Final]]*10%</f>
        <v>3</v>
      </c>
      <c r="N1244" s="77">
        <v>0</v>
      </c>
      <c r="O1244" s="77">
        <v>0</v>
      </c>
      <c r="P1244" s="77">
        <v>13.47</v>
      </c>
      <c r="Q1244" s="92">
        <v>0</v>
      </c>
      <c r="R1244" s="77">
        <v>0</v>
      </c>
      <c r="S1244" s="77">
        <v>1.97</v>
      </c>
      <c r="T1244" s="76">
        <f>STOCK[[#This Row],[Costo Unitario (USD)]]+STOCK[[#This Row],[Costo Envío (USD)]]+STOCK[[#This Row],[Comisión 10%]]</f>
        <v>18.44</v>
      </c>
      <c r="U1244" s="77">
        <f>STOCK[[#This Row],[Costo total]]*1.5</f>
        <v>27.66</v>
      </c>
      <c r="V1244" s="77">
        <v>30</v>
      </c>
      <c r="W1244" s="77">
        <f>STOCK[[#This Row],[Precio Final]]-STOCK[[#This Row],[Costo total]]</f>
        <v>11.56</v>
      </c>
      <c r="X1244" s="77">
        <f>STOCK[[#This Row],[Ganancia Unitaria]]*STOCK[[#This Row],[Salidas]]</f>
        <v>23.12</v>
      </c>
      <c r="AA1244" s="77">
        <f>STOCK[[#This Row],[Costo total]]*STOCK[[#This Row],[Entradas]]</f>
        <v>36.88</v>
      </c>
      <c r="AB1244" s="77">
        <f>STOCK[[#This Row],[Stock Actual]]*STOCK[[#This Row],[Costo total]]</f>
        <v>0</v>
      </c>
    </row>
    <row r="1245" s="76" customFormat="1" ht="50" customHeight="1" spans="1:28">
      <c r="A1245" s="76" t="s">
        <v>2584</v>
      </c>
      <c r="B1245" s="6"/>
      <c r="C1245" s="76" t="s">
        <v>30</v>
      </c>
      <c r="D1245" s="76" t="s">
        <v>2116</v>
      </c>
      <c r="E1245" s="76" t="s">
        <v>2232</v>
      </c>
      <c r="F1245" s="76" t="s">
        <v>47</v>
      </c>
      <c r="H1245" s="76">
        <f>STOCK[[#This Row],[Precio Final]]</f>
        <v>30</v>
      </c>
      <c r="I1245" s="76">
        <f>STOCK[[#This Row],[Precio Venta Ideal (x1.5)]]</f>
        <v>27.66</v>
      </c>
      <c r="J1245" s="91">
        <v>2</v>
      </c>
      <c r="K1245" s="91">
        <f>SUMIFS(VENTAS[Cantidad],VENTAS[Código del producto Vendido],STOCK[[#This Row],[Code]])</f>
        <v>2</v>
      </c>
      <c r="L1245" s="91">
        <f>STOCK[[#This Row],[Entradas]]-STOCK[[#This Row],[Salidas]]</f>
        <v>0</v>
      </c>
      <c r="M1245" s="76">
        <f>STOCK[[#This Row],[Precio Final]]*10%</f>
        <v>3</v>
      </c>
      <c r="N1245" s="76">
        <v>0</v>
      </c>
      <c r="O1245" s="76">
        <v>0</v>
      </c>
      <c r="P1245" s="76">
        <v>13.47</v>
      </c>
      <c r="Q1245" s="91">
        <v>0</v>
      </c>
      <c r="R1245" s="76">
        <v>0</v>
      </c>
      <c r="S1245" s="76">
        <v>1.97</v>
      </c>
      <c r="T1245" s="76">
        <f>STOCK[[#This Row],[Costo Unitario (USD)]]+STOCK[[#This Row],[Costo Envío (USD)]]+STOCK[[#This Row],[Comisión 10%]]</f>
        <v>18.44</v>
      </c>
      <c r="U1245" s="76">
        <f>STOCK[[#This Row],[Costo total]]*1.5</f>
        <v>27.66</v>
      </c>
      <c r="V1245" s="76">
        <v>30</v>
      </c>
      <c r="W1245" s="76">
        <f>STOCK[[#This Row],[Precio Final]]-STOCK[[#This Row],[Costo total]]</f>
        <v>11.56</v>
      </c>
      <c r="X1245" s="76">
        <f>STOCK[[#This Row],[Ganancia Unitaria]]*STOCK[[#This Row],[Salidas]]</f>
        <v>23.12</v>
      </c>
      <c r="AA1245" s="76">
        <f>STOCK[[#This Row],[Costo total]]*STOCK[[#This Row],[Entradas]]</f>
        <v>36.88</v>
      </c>
      <c r="AB1245" s="76">
        <f>STOCK[[#This Row],[Stock Actual]]*STOCK[[#This Row],[Costo total]]</f>
        <v>0</v>
      </c>
    </row>
    <row r="1246" s="77" customFormat="1" ht="50" customHeight="1" spans="1:28">
      <c r="A1246" s="77" t="s">
        <v>2585</v>
      </c>
      <c r="B1246" s="6"/>
      <c r="C1246" s="77" t="s">
        <v>30</v>
      </c>
      <c r="D1246" s="77" t="s">
        <v>2116</v>
      </c>
      <c r="E1246" s="77" t="s">
        <v>2232</v>
      </c>
      <c r="F1246" s="77" t="s">
        <v>44</v>
      </c>
      <c r="H1246" s="77">
        <f>STOCK[[#This Row],[Precio Final]]</f>
        <v>30</v>
      </c>
      <c r="I1246" s="77">
        <f>STOCK[[#This Row],[Precio Venta Ideal (x1.5)]]</f>
        <v>27.66</v>
      </c>
      <c r="J1246" s="92">
        <v>2</v>
      </c>
      <c r="K1246" s="92">
        <f>SUMIFS(VENTAS[Cantidad],VENTAS[Código del producto Vendido],STOCK[[#This Row],[Code]])</f>
        <v>2</v>
      </c>
      <c r="L1246" s="92">
        <f>STOCK[[#This Row],[Entradas]]-STOCK[[#This Row],[Salidas]]</f>
        <v>0</v>
      </c>
      <c r="M1246" s="77">
        <f>STOCK[[#This Row],[Precio Final]]*10%</f>
        <v>3</v>
      </c>
      <c r="N1246" s="77">
        <v>0</v>
      </c>
      <c r="O1246" s="77">
        <v>0</v>
      </c>
      <c r="P1246" s="77">
        <v>13.47</v>
      </c>
      <c r="Q1246" s="92">
        <v>0</v>
      </c>
      <c r="R1246" s="77">
        <v>0</v>
      </c>
      <c r="S1246" s="77">
        <v>1.97</v>
      </c>
      <c r="T1246" s="76">
        <f>STOCK[[#This Row],[Costo Unitario (USD)]]+STOCK[[#This Row],[Costo Envío (USD)]]+STOCK[[#This Row],[Comisión 10%]]</f>
        <v>18.44</v>
      </c>
      <c r="U1246" s="77">
        <f>STOCK[[#This Row],[Costo total]]*1.5</f>
        <v>27.66</v>
      </c>
      <c r="V1246" s="77">
        <v>30</v>
      </c>
      <c r="W1246" s="77">
        <f>STOCK[[#This Row],[Precio Final]]-STOCK[[#This Row],[Costo total]]</f>
        <v>11.56</v>
      </c>
      <c r="X1246" s="77">
        <f>STOCK[[#This Row],[Ganancia Unitaria]]*STOCK[[#This Row],[Salidas]]</f>
        <v>23.12</v>
      </c>
      <c r="AA1246" s="77">
        <f>STOCK[[#This Row],[Costo total]]*STOCK[[#This Row],[Entradas]]</f>
        <v>36.88</v>
      </c>
      <c r="AB1246" s="77">
        <f>STOCK[[#This Row],[Stock Actual]]*STOCK[[#This Row],[Costo total]]</f>
        <v>0</v>
      </c>
    </row>
    <row r="1247" s="76" customFormat="1" ht="50" customHeight="1" spans="1:28">
      <c r="A1247" s="76" t="s">
        <v>2586</v>
      </c>
      <c r="B1247" s="6"/>
      <c r="C1247" s="76" t="s">
        <v>30</v>
      </c>
      <c r="D1247" s="76" t="s">
        <v>2116</v>
      </c>
      <c r="E1247" s="76" t="s">
        <v>2587</v>
      </c>
      <c r="F1247" s="76" t="s">
        <v>60</v>
      </c>
      <c r="H1247" s="76">
        <f>STOCK[[#This Row],[Precio Final]]</f>
        <v>30</v>
      </c>
      <c r="I1247" s="76">
        <f>STOCK[[#This Row],[Precio Venta Ideal (x1.5)]]</f>
        <v>25.53</v>
      </c>
      <c r="J1247" s="91">
        <v>1</v>
      </c>
      <c r="K1247" s="91">
        <f>SUMIFS(VENTAS[Cantidad],VENTAS[Código del producto Vendido],STOCK[[#This Row],[Code]])</f>
        <v>1</v>
      </c>
      <c r="L1247" s="91">
        <f>STOCK[[#This Row],[Entradas]]-STOCK[[#This Row],[Salidas]]</f>
        <v>0</v>
      </c>
      <c r="M1247" s="76">
        <f>STOCK[[#This Row],[Precio Final]]*10%</f>
        <v>3</v>
      </c>
      <c r="N1247" s="76">
        <v>0</v>
      </c>
      <c r="O1247" s="76">
        <v>0</v>
      </c>
      <c r="P1247" s="76">
        <v>12.05</v>
      </c>
      <c r="Q1247" s="91">
        <v>0</v>
      </c>
      <c r="R1247" s="76">
        <v>0</v>
      </c>
      <c r="S1247" s="76">
        <v>1.97</v>
      </c>
      <c r="T1247" s="76">
        <f>STOCK[[#This Row],[Costo Unitario (USD)]]+STOCK[[#This Row],[Costo Envío (USD)]]+STOCK[[#This Row],[Comisión 10%]]</f>
        <v>17.02</v>
      </c>
      <c r="U1247" s="76">
        <f>STOCK[[#This Row],[Costo total]]*1.5</f>
        <v>25.53</v>
      </c>
      <c r="V1247" s="76">
        <v>30</v>
      </c>
      <c r="W1247" s="76">
        <f>STOCK[[#This Row],[Precio Final]]-STOCK[[#This Row],[Costo total]]</f>
        <v>12.98</v>
      </c>
      <c r="X1247" s="76">
        <f>STOCK[[#This Row],[Ganancia Unitaria]]*STOCK[[#This Row],[Salidas]]</f>
        <v>12.98</v>
      </c>
      <c r="AA1247" s="76">
        <f>STOCK[[#This Row],[Costo total]]*STOCK[[#This Row],[Entradas]]</f>
        <v>17.02</v>
      </c>
      <c r="AB1247" s="76">
        <f>STOCK[[#This Row],[Stock Actual]]*STOCK[[#This Row],[Costo total]]</f>
        <v>0</v>
      </c>
    </row>
    <row r="1248" s="77" customFormat="1" ht="50" customHeight="1" spans="1:28">
      <c r="A1248" s="77" t="s">
        <v>2588</v>
      </c>
      <c r="B1248" s="6"/>
      <c r="C1248" s="77" t="s">
        <v>30</v>
      </c>
      <c r="D1248" s="77" t="s">
        <v>2116</v>
      </c>
      <c r="E1248" s="77" t="s">
        <v>2587</v>
      </c>
      <c r="F1248" s="77" t="s">
        <v>47</v>
      </c>
      <c r="H1248" s="77">
        <f>STOCK[[#This Row],[Precio Final]]</f>
        <v>30</v>
      </c>
      <c r="I1248" s="77">
        <f>STOCK[[#This Row],[Precio Venta Ideal (x1.5)]]</f>
        <v>25.53</v>
      </c>
      <c r="J1248" s="92">
        <v>1</v>
      </c>
      <c r="K1248" s="92">
        <f>SUMIFS(VENTAS[Cantidad],VENTAS[Código del producto Vendido],STOCK[[#This Row],[Code]])</f>
        <v>1</v>
      </c>
      <c r="L1248" s="92">
        <f>STOCK[[#This Row],[Entradas]]-STOCK[[#This Row],[Salidas]]</f>
        <v>0</v>
      </c>
      <c r="M1248" s="77">
        <f>STOCK[[#This Row],[Precio Final]]*10%</f>
        <v>3</v>
      </c>
      <c r="N1248" s="77">
        <v>0</v>
      </c>
      <c r="O1248" s="77">
        <v>0</v>
      </c>
      <c r="P1248" s="77">
        <v>12.05</v>
      </c>
      <c r="Q1248" s="92">
        <v>0</v>
      </c>
      <c r="R1248" s="77">
        <v>0</v>
      </c>
      <c r="S1248" s="77">
        <v>1.97</v>
      </c>
      <c r="T1248" s="76">
        <f>STOCK[[#This Row],[Costo Unitario (USD)]]+STOCK[[#This Row],[Costo Envío (USD)]]+STOCK[[#This Row],[Comisión 10%]]</f>
        <v>17.02</v>
      </c>
      <c r="U1248" s="77">
        <f>STOCK[[#This Row],[Costo total]]*1.5</f>
        <v>25.53</v>
      </c>
      <c r="V1248" s="77">
        <v>30</v>
      </c>
      <c r="W1248" s="77">
        <f>STOCK[[#This Row],[Precio Final]]-STOCK[[#This Row],[Costo total]]</f>
        <v>12.98</v>
      </c>
      <c r="X1248" s="77">
        <f>STOCK[[#This Row],[Ganancia Unitaria]]*STOCK[[#This Row],[Salidas]]</f>
        <v>12.98</v>
      </c>
      <c r="AA1248" s="77">
        <f>STOCK[[#This Row],[Costo total]]*STOCK[[#This Row],[Entradas]]</f>
        <v>17.02</v>
      </c>
      <c r="AB1248" s="77">
        <f>STOCK[[#This Row],[Stock Actual]]*STOCK[[#This Row],[Costo total]]</f>
        <v>0</v>
      </c>
    </row>
    <row r="1249" s="76" customFormat="1" ht="50" customHeight="1" spans="1:28">
      <c r="A1249" s="76" t="s">
        <v>2589</v>
      </c>
      <c r="B1249" s="6"/>
      <c r="C1249" s="76" t="s">
        <v>30</v>
      </c>
      <c r="D1249" s="76" t="s">
        <v>2116</v>
      </c>
      <c r="E1249" s="76" t="s">
        <v>2587</v>
      </c>
      <c r="F1249" s="76" t="s">
        <v>44</v>
      </c>
      <c r="H1249" s="76">
        <f>STOCK[[#This Row],[Precio Final]]</f>
        <v>30</v>
      </c>
      <c r="I1249" s="76">
        <f>STOCK[[#This Row],[Precio Venta Ideal (x1.5)]]</f>
        <v>25.53</v>
      </c>
      <c r="J1249" s="91">
        <v>1</v>
      </c>
      <c r="K1249" s="91">
        <f>SUMIFS(VENTAS[Cantidad],VENTAS[Código del producto Vendido],STOCK[[#This Row],[Code]])</f>
        <v>1</v>
      </c>
      <c r="L1249" s="91">
        <f>STOCK[[#This Row],[Entradas]]-STOCK[[#This Row],[Salidas]]</f>
        <v>0</v>
      </c>
      <c r="M1249" s="76">
        <f>STOCK[[#This Row],[Precio Final]]*10%</f>
        <v>3</v>
      </c>
      <c r="N1249" s="76">
        <v>0</v>
      </c>
      <c r="O1249" s="76">
        <v>0</v>
      </c>
      <c r="P1249" s="76">
        <v>12.05</v>
      </c>
      <c r="Q1249" s="91">
        <v>0</v>
      </c>
      <c r="R1249" s="76">
        <v>0</v>
      </c>
      <c r="S1249" s="76">
        <v>1.97</v>
      </c>
      <c r="T1249" s="76">
        <f>STOCK[[#This Row],[Costo Unitario (USD)]]+STOCK[[#This Row],[Costo Envío (USD)]]+STOCK[[#This Row],[Comisión 10%]]</f>
        <v>17.02</v>
      </c>
      <c r="U1249" s="76">
        <f>STOCK[[#This Row],[Costo total]]*1.5</f>
        <v>25.53</v>
      </c>
      <c r="V1249" s="76">
        <v>30</v>
      </c>
      <c r="W1249" s="76">
        <f>STOCK[[#This Row],[Precio Final]]-STOCK[[#This Row],[Costo total]]</f>
        <v>12.98</v>
      </c>
      <c r="X1249" s="76">
        <f>STOCK[[#This Row],[Ganancia Unitaria]]*STOCK[[#This Row],[Salidas]]</f>
        <v>12.98</v>
      </c>
      <c r="AA1249" s="76">
        <f>STOCK[[#This Row],[Costo total]]*STOCK[[#This Row],[Entradas]]</f>
        <v>17.02</v>
      </c>
      <c r="AB1249" s="76">
        <f>STOCK[[#This Row],[Stock Actual]]*STOCK[[#This Row],[Costo total]]</f>
        <v>0</v>
      </c>
    </row>
    <row r="1250" s="77" customFormat="1" ht="50" customHeight="1" spans="1:28">
      <c r="A1250" s="77" t="s">
        <v>2590</v>
      </c>
      <c r="B1250" s="6"/>
      <c r="C1250" s="77" t="s">
        <v>30</v>
      </c>
      <c r="D1250" s="77" t="s">
        <v>2116</v>
      </c>
      <c r="E1250" s="77" t="s">
        <v>2591</v>
      </c>
      <c r="F1250" s="77" t="s">
        <v>47</v>
      </c>
      <c r="H1250" s="77">
        <f>STOCK[[#This Row],[Precio Final]]</f>
        <v>30</v>
      </c>
      <c r="I1250" s="77">
        <f>STOCK[[#This Row],[Precio Venta Ideal (x1.5)]]</f>
        <v>24.84</v>
      </c>
      <c r="J1250" s="92">
        <v>2</v>
      </c>
      <c r="K1250" s="92">
        <f>SUMIFS(VENTAS[Cantidad],VENTAS[Código del producto Vendido],STOCK[[#This Row],[Code]])</f>
        <v>2</v>
      </c>
      <c r="L1250" s="92">
        <f>STOCK[[#This Row],[Entradas]]-STOCK[[#This Row],[Salidas]]</f>
        <v>0</v>
      </c>
      <c r="M1250" s="77">
        <f>STOCK[[#This Row],[Precio Final]]*10%</f>
        <v>3</v>
      </c>
      <c r="N1250" s="77">
        <v>0</v>
      </c>
      <c r="O1250" s="77">
        <v>0</v>
      </c>
      <c r="P1250" s="77">
        <v>11.59</v>
      </c>
      <c r="Q1250" s="92">
        <v>0</v>
      </c>
      <c r="R1250" s="77">
        <v>0</v>
      </c>
      <c r="S1250" s="77">
        <v>1.97</v>
      </c>
      <c r="T1250" s="76">
        <f>STOCK[[#This Row],[Costo Unitario (USD)]]+STOCK[[#This Row],[Costo Envío (USD)]]+STOCK[[#This Row],[Comisión 10%]]</f>
        <v>16.56</v>
      </c>
      <c r="U1250" s="77">
        <f>STOCK[[#This Row],[Costo total]]*1.5</f>
        <v>24.84</v>
      </c>
      <c r="V1250" s="77">
        <v>30</v>
      </c>
      <c r="W1250" s="77">
        <f>STOCK[[#This Row],[Precio Final]]-STOCK[[#This Row],[Costo total]]</f>
        <v>13.44</v>
      </c>
      <c r="X1250" s="77">
        <f>STOCK[[#This Row],[Ganancia Unitaria]]*STOCK[[#This Row],[Salidas]]</f>
        <v>26.88</v>
      </c>
      <c r="AA1250" s="77">
        <f>STOCK[[#This Row],[Costo total]]*STOCK[[#This Row],[Entradas]]</f>
        <v>33.12</v>
      </c>
      <c r="AB1250" s="77">
        <f>STOCK[[#This Row],[Stock Actual]]*STOCK[[#This Row],[Costo total]]</f>
        <v>0</v>
      </c>
    </row>
    <row r="1251" s="76" customFormat="1" ht="50" customHeight="1" spans="1:28">
      <c r="A1251" s="76" t="s">
        <v>2592</v>
      </c>
      <c r="B1251" s="6"/>
      <c r="C1251" s="76" t="s">
        <v>30</v>
      </c>
      <c r="D1251" s="76" t="s">
        <v>151</v>
      </c>
      <c r="E1251" s="76" t="s">
        <v>2593</v>
      </c>
      <c r="F1251" s="76" t="s">
        <v>47</v>
      </c>
      <c r="H1251" s="76">
        <f>STOCK[[#This Row],[Precio Final]]</f>
        <v>25</v>
      </c>
      <c r="I1251" s="76">
        <f>STOCK[[#This Row],[Precio Venta Ideal (x1.5)]]</f>
        <v>25.44</v>
      </c>
      <c r="J1251" s="91">
        <v>1</v>
      </c>
      <c r="K1251" s="91">
        <f>SUMIFS(VENTAS[Cantidad],VENTAS[Código del producto Vendido],STOCK[[#This Row],[Code]])</f>
        <v>1</v>
      </c>
      <c r="L1251" s="91">
        <f>STOCK[[#This Row],[Entradas]]-STOCK[[#This Row],[Salidas]]</f>
        <v>0</v>
      </c>
      <c r="M1251" s="76">
        <f>STOCK[[#This Row],[Precio Final]]*10%</f>
        <v>2.5</v>
      </c>
      <c r="N1251" s="76">
        <v>0</v>
      </c>
      <c r="O1251" s="76">
        <v>0</v>
      </c>
      <c r="P1251" s="76">
        <v>12.49</v>
      </c>
      <c r="Q1251" s="91">
        <v>0</v>
      </c>
      <c r="R1251" s="76">
        <v>0</v>
      </c>
      <c r="S1251" s="76">
        <v>1.97</v>
      </c>
      <c r="T1251" s="76">
        <f>STOCK[[#This Row],[Costo Unitario (USD)]]+STOCK[[#This Row],[Costo Envío (USD)]]+STOCK[[#This Row],[Comisión 10%]]</f>
        <v>16.96</v>
      </c>
      <c r="U1251" s="76">
        <f>STOCK[[#This Row],[Costo total]]*1.5</f>
        <v>25.44</v>
      </c>
      <c r="V1251" s="76">
        <v>25</v>
      </c>
      <c r="W1251" s="76">
        <f>STOCK[[#This Row],[Precio Final]]-STOCK[[#This Row],[Costo total]]</f>
        <v>8.04</v>
      </c>
      <c r="X1251" s="76">
        <f>STOCK[[#This Row],[Ganancia Unitaria]]*STOCK[[#This Row],[Salidas]]</f>
        <v>8.04</v>
      </c>
      <c r="AA1251" s="76">
        <f>STOCK[[#This Row],[Costo total]]*STOCK[[#This Row],[Entradas]]</f>
        <v>16.96</v>
      </c>
      <c r="AB1251" s="76">
        <f>STOCK[[#This Row],[Stock Actual]]*STOCK[[#This Row],[Costo total]]</f>
        <v>0</v>
      </c>
    </row>
    <row r="1252" s="77" customFormat="1" ht="50" customHeight="1" spans="1:28">
      <c r="A1252" s="77" t="s">
        <v>2594</v>
      </c>
      <c r="B1252" s="6"/>
      <c r="C1252" s="77" t="s">
        <v>30</v>
      </c>
      <c r="D1252" s="77" t="s">
        <v>151</v>
      </c>
      <c r="E1252" s="77" t="s">
        <v>2595</v>
      </c>
      <c r="F1252" s="77" t="s">
        <v>60</v>
      </c>
      <c r="H1252" s="77">
        <f>STOCK[[#This Row],[Precio Final]]</f>
        <v>25</v>
      </c>
      <c r="I1252" s="77">
        <f>STOCK[[#This Row],[Precio Venta Ideal (x1.5)]]</f>
        <v>29.94</v>
      </c>
      <c r="J1252" s="92">
        <v>0</v>
      </c>
      <c r="K1252" s="92">
        <f>SUMIFS(VENTAS[Cantidad],VENTAS[Código del producto Vendido],STOCK[[#This Row],[Code]])</f>
        <v>0</v>
      </c>
      <c r="L1252" s="92">
        <f>STOCK[[#This Row],[Entradas]]-STOCK[[#This Row],[Salidas]]</f>
        <v>0</v>
      </c>
      <c r="M1252" s="77">
        <f>STOCK[[#This Row],[Precio Final]]*10%</f>
        <v>2.5</v>
      </c>
      <c r="N1252" s="77">
        <v>0</v>
      </c>
      <c r="O1252" s="77">
        <v>0</v>
      </c>
      <c r="P1252" s="77">
        <v>15.49</v>
      </c>
      <c r="Q1252" s="92">
        <v>0</v>
      </c>
      <c r="R1252" s="77">
        <v>0</v>
      </c>
      <c r="S1252" s="77">
        <v>1.97</v>
      </c>
      <c r="T1252" s="76">
        <f>STOCK[[#This Row],[Costo Unitario (USD)]]+STOCK[[#This Row],[Costo Envío (USD)]]+STOCK[[#This Row],[Comisión 10%]]</f>
        <v>19.96</v>
      </c>
      <c r="U1252" s="77">
        <f>STOCK[[#This Row],[Costo total]]*1.5</f>
        <v>29.94</v>
      </c>
      <c r="V1252" s="77">
        <v>25</v>
      </c>
      <c r="W1252" s="77">
        <f>STOCK[[#This Row],[Precio Final]]-STOCK[[#This Row],[Costo total]]</f>
        <v>5.04</v>
      </c>
      <c r="X1252" s="77">
        <f>STOCK[[#This Row],[Ganancia Unitaria]]*STOCK[[#This Row],[Salidas]]</f>
        <v>0</v>
      </c>
      <c r="AA1252" s="77">
        <f>STOCK[[#This Row],[Costo total]]*STOCK[[#This Row],[Entradas]]</f>
        <v>0</v>
      </c>
      <c r="AB1252" s="77">
        <f>STOCK[[#This Row],[Stock Actual]]*STOCK[[#This Row],[Costo total]]</f>
        <v>0</v>
      </c>
    </row>
    <row r="1253" s="76" customFormat="1" ht="50" customHeight="1" spans="1:28">
      <c r="A1253" s="76" t="s">
        <v>2596</v>
      </c>
      <c r="B1253" s="6"/>
      <c r="C1253" s="76" t="s">
        <v>30</v>
      </c>
      <c r="D1253" s="76" t="s">
        <v>2116</v>
      </c>
      <c r="E1253" s="76" t="s">
        <v>2597</v>
      </c>
      <c r="F1253" s="76" t="s">
        <v>60</v>
      </c>
      <c r="H1253" s="76">
        <f>STOCK[[#This Row],[Precio Final]]</f>
        <v>30</v>
      </c>
      <c r="I1253" s="76">
        <f>STOCK[[#This Row],[Precio Venta Ideal (x1.5)]]</f>
        <v>20.94</v>
      </c>
      <c r="J1253" s="91">
        <v>1</v>
      </c>
      <c r="K1253" s="91">
        <f>SUMIFS(VENTAS[Cantidad],VENTAS[Código del producto Vendido],STOCK[[#This Row],[Code]])</f>
        <v>0</v>
      </c>
      <c r="L1253" s="91">
        <f>STOCK[[#This Row],[Entradas]]-STOCK[[#This Row],[Salidas]]</f>
        <v>1</v>
      </c>
      <c r="M1253" s="76">
        <f>STOCK[[#This Row],[Precio Final]]*10%</f>
        <v>3</v>
      </c>
      <c r="N1253" s="76">
        <v>0</v>
      </c>
      <c r="O1253" s="76">
        <v>0</v>
      </c>
      <c r="P1253" s="76">
        <v>8.99</v>
      </c>
      <c r="Q1253" s="91">
        <v>0</v>
      </c>
      <c r="R1253" s="76">
        <v>0</v>
      </c>
      <c r="S1253" s="76">
        <v>1.97</v>
      </c>
      <c r="T1253" s="76">
        <f>STOCK[[#This Row],[Costo Unitario (USD)]]+STOCK[[#This Row],[Costo Envío (USD)]]+STOCK[[#This Row],[Comisión 10%]]</f>
        <v>13.96</v>
      </c>
      <c r="U1253" s="76">
        <f>STOCK[[#This Row],[Costo total]]*1.5</f>
        <v>20.94</v>
      </c>
      <c r="V1253" s="76">
        <v>30</v>
      </c>
      <c r="W1253" s="76">
        <f>STOCK[[#This Row],[Precio Final]]-STOCK[[#This Row],[Costo total]]</f>
        <v>16.04</v>
      </c>
      <c r="X1253" s="76">
        <f>STOCK[[#This Row],[Ganancia Unitaria]]*STOCK[[#This Row],[Salidas]]</f>
        <v>0</v>
      </c>
      <c r="AA1253" s="76">
        <f>STOCK[[#This Row],[Costo total]]*STOCK[[#This Row],[Entradas]]</f>
        <v>13.96</v>
      </c>
      <c r="AB1253" s="76">
        <f>STOCK[[#This Row],[Stock Actual]]*STOCK[[#This Row],[Costo total]]</f>
        <v>13.96</v>
      </c>
    </row>
    <row r="1254" s="77" customFormat="1" ht="50" customHeight="1" spans="1:28">
      <c r="A1254" s="77" t="s">
        <v>2598</v>
      </c>
      <c r="B1254" s="6"/>
      <c r="C1254" s="77" t="s">
        <v>30</v>
      </c>
      <c r="D1254" s="77" t="s">
        <v>487</v>
      </c>
      <c r="E1254" s="77" t="s">
        <v>2599</v>
      </c>
      <c r="F1254" s="77" t="s">
        <v>1532</v>
      </c>
      <c r="H1254" s="77">
        <f>STOCK[[#This Row],[Precio Final]]</f>
        <v>20</v>
      </c>
      <c r="I1254" s="77">
        <f>STOCK[[#This Row],[Precio Venta Ideal (x1.5)]]</f>
        <v>11.94</v>
      </c>
      <c r="J1254" s="92">
        <v>3</v>
      </c>
      <c r="K1254" s="92">
        <f>SUMIFS(VENTAS[Cantidad],VENTAS[Código del producto Vendido],STOCK[[#This Row],[Code]])</f>
        <v>3</v>
      </c>
      <c r="L1254" s="92">
        <f>STOCK[[#This Row],[Entradas]]-STOCK[[#This Row],[Salidas]]</f>
        <v>0</v>
      </c>
      <c r="M1254" s="77">
        <f>STOCK[[#This Row],[Precio Final]]*10%</f>
        <v>2</v>
      </c>
      <c r="N1254" s="77">
        <v>0</v>
      </c>
      <c r="O1254" s="77">
        <v>0</v>
      </c>
      <c r="P1254" s="77">
        <v>3.99</v>
      </c>
      <c r="Q1254" s="92">
        <v>0</v>
      </c>
      <c r="R1254" s="77">
        <v>0</v>
      </c>
      <c r="S1254" s="77">
        <v>1.97</v>
      </c>
      <c r="T1254" s="76">
        <f>STOCK[[#This Row],[Costo Unitario (USD)]]+STOCK[[#This Row],[Costo Envío (USD)]]+STOCK[[#This Row],[Comisión 10%]]</f>
        <v>7.96</v>
      </c>
      <c r="U1254" s="77">
        <f>STOCK[[#This Row],[Costo total]]*1.5</f>
        <v>11.94</v>
      </c>
      <c r="V1254" s="77">
        <v>20</v>
      </c>
      <c r="W1254" s="77">
        <f>STOCK[[#This Row],[Precio Final]]-STOCK[[#This Row],[Costo total]]</f>
        <v>12.04</v>
      </c>
      <c r="X1254" s="77">
        <f>STOCK[[#This Row],[Ganancia Unitaria]]*STOCK[[#This Row],[Salidas]]</f>
        <v>36.12</v>
      </c>
      <c r="AA1254" s="77">
        <f>STOCK[[#This Row],[Costo total]]*STOCK[[#This Row],[Entradas]]</f>
        <v>23.88</v>
      </c>
      <c r="AB1254" s="77">
        <f>STOCK[[#This Row],[Stock Actual]]*STOCK[[#This Row],[Costo total]]</f>
        <v>0</v>
      </c>
    </row>
    <row r="1255" s="76" customFormat="1" ht="50" customHeight="1" spans="1:28">
      <c r="A1255" s="76" t="s">
        <v>2600</v>
      </c>
      <c r="B1255" s="6"/>
      <c r="C1255" s="76" t="s">
        <v>30</v>
      </c>
      <c r="D1255" s="76" t="s">
        <v>2131</v>
      </c>
      <c r="E1255" s="76" t="s">
        <v>2601</v>
      </c>
      <c r="F1255" s="76" t="s">
        <v>60</v>
      </c>
      <c r="H1255" s="76">
        <f>STOCK[[#This Row],[Precio Final]]</f>
        <v>35</v>
      </c>
      <c r="I1255" s="76">
        <f>STOCK[[#This Row],[Precio Venta Ideal (x1.5)]]</f>
        <v>25.59</v>
      </c>
      <c r="J1255" s="91">
        <v>1</v>
      </c>
      <c r="K1255" s="91">
        <f>SUMIFS(VENTAS[Cantidad],VENTAS[Código del producto Vendido],STOCK[[#This Row],[Code]])</f>
        <v>1</v>
      </c>
      <c r="L1255" s="91">
        <f>STOCK[[#This Row],[Entradas]]-STOCK[[#This Row],[Salidas]]</f>
        <v>0</v>
      </c>
      <c r="M1255" s="76">
        <f>STOCK[[#This Row],[Precio Final]]*10%</f>
        <v>3.5</v>
      </c>
      <c r="N1255" s="76">
        <v>0</v>
      </c>
      <c r="O1255" s="76">
        <v>0</v>
      </c>
      <c r="P1255" s="76">
        <v>11.59</v>
      </c>
      <c r="Q1255" s="91">
        <v>0</v>
      </c>
      <c r="R1255" s="76">
        <v>0</v>
      </c>
      <c r="S1255" s="76">
        <v>1.97</v>
      </c>
      <c r="T1255" s="76">
        <f>STOCK[[#This Row],[Costo Unitario (USD)]]+STOCK[[#This Row],[Costo Envío (USD)]]+STOCK[[#This Row],[Comisión 10%]]</f>
        <v>17.06</v>
      </c>
      <c r="U1255" s="76">
        <f>STOCK[[#This Row],[Costo total]]*1.5</f>
        <v>25.59</v>
      </c>
      <c r="V1255" s="76">
        <v>35</v>
      </c>
      <c r="W1255" s="76">
        <f>STOCK[[#This Row],[Precio Final]]-STOCK[[#This Row],[Costo total]]</f>
        <v>17.94</v>
      </c>
      <c r="X1255" s="76">
        <f>STOCK[[#This Row],[Ganancia Unitaria]]*STOCK[[#This Row],[Salidas]]</f>
        <v>17.94</v>
      </c>
      <c r="AA1255" s="76">
        <f>STOCK[[#This Row],[Costo total]]*STOCK[[#This Row],[Entradas]]</f>
        <v>17.06</v>
      </c>
      <c r="AB1255" s="76">
        <f>STOCK[[#This Row],[Stock Actual]]*STOCK[[#This Row],[Costo total]]</f>
        <v>0</v>
      </c>
    </row>
    <row r="1256" s="77" customFormat="1" ht="50" customHeight="1" spans="1:28">
      <c r="A1256" s="77" t="s">
        <v>2602</v>
      </c>
      <c r="B1256" s="6"/>
      <c r="C1256" s="77" t="s">
        <v>30</v>
      </c>
      <c r="D1256" s="77" t="s">
        <v>2116</v>
      </c>
      <c r="E1256" s="77" t="s">
        <v>2603</v>
      </c>
      <c r="F1256" s="77" t="s">
        <v>38</v>
      </c>
      <c r="H1256" s="77">
        <f>STOCK[[#This Row],[Precio Final]]</f>
        <v>25</v>
      </c>
      <c r="I1256" s="77">
        <f>STOCK[[#This Row],[Precio Venta Ideal (x1.5)]]</f>
        <v>23.91</v>
      </c>
      <c r="J1256" s="92">
        <v>1</v>
      </c>
      <c r="K1256" s="92">
        <f>SUMIFS(VENTAS[Cantidad],VENTAS[Código del producto Vendido],STOCK[[#This Row],[Code]])</f>
        <v>1</v>
      </c>
      <c r="L1256" s="92">
        <f>STOCK[[#This Row],[Entradas]]-STOCK[[#This Row],[Salidas]]</f>
        <v>0</v>
      </c>
      <c r="M1256" s="77">
        <f>STOCK[[#This Row],[Precio Final]]*10%</f>
        <v>2.5</v>
      </c>
      <c r="N1256" s="77">
        <v>0</v>
      </c>
      <c r="O1256" s="77">
        <v>0</v>
      </c>
      <c r="P1256" s="77">
        <v>11.47</v>
      </c>
      <c r="Q1256" s="92">
        <v>0</v>
      </c>
      <c r="R1256" s="77">
        <v>0</v>
      </c>
      <c r="S1256" s="77">
        <v>1.97</v>
      </c>
      <c r="T1256" s="76">
        <f>STOCK[[#This Row],[Costo Unitario (USD)]]+STOCK[[#This Row],[Costo Envío (USD)]]+STOCK[[#This Row],[Comisión 10%]]</f>
        <v>15.94</v>
      </c>
      <c r="U1256" s="77">
        <f>STOCK[[#This Row],[Costo total]]*1.5</f>
        <v>23.91</v>
      </c>
      <c r="V1256" s="77">
        <v>25</v>
      </c>
      <c r="W1256" s="77">
        <f>STOCK[[#This Row],[Precio Final]]-STOCK[[#This Row],[Costo total]]</f>
        <v>9.06</v>
      </c>
      <c r="X1256" s="77">
        <f>STOCK[[#This Row],[Ganancia Unitaria]]*STOCK[[#This Row],[Salidas]]</f>
        <v>9.06</v>
      </c>
      <c r="AA1256" s="77">
        <f>STOCK[[#This Row],[Costo total]]*STOCK[[#This Row],[Entradas]]</f>
        <v>15.94</v>
      </c>
      <c r="AB1256" s="77">
        <f>STOCK[[#This Row],[Stock Actual]]*STOCK[[#This Row],[Costo total]]</f>
        <v>0</v>
      </c>
    </row>
    <row r="1257" s="76" customFormat="1" ht="50" customHeight="1" spans="1:28">
      <c r="A1257" s="76" t="s">
        <v>2604</v>
      </c>
      <c r="B1257" s="6"/>
      <c r="C1257" s="76" t="s">
        <v>30</v>
      </c>
      <c r="D1257" s="76" t="s">
        <v>2116</v>
      </c>
      <c r="E1257" s="76" t="s">
        <v>2603</v>
      </c>
      <c r="F1257" s="76" t="s">
        <v>60</v>
      </c>
      <c r="H1257" s="76">
        <f>STOCK[[#This Row],[Precio Final]]</f>
        <v>25</v>
      </c>
      <c r="I1257" s="76">
        <f>STOCK[[#This Row],[Precio Venta Ideal (x1.5)]]</f>
        <v>23.91</v>
      </c>
      <c r="J1257" s="91">
        <v>1</v>
      </c>
      <c r="K1257" s="91">
        <f>SUMIFS(VENTAS[Cantidad],VENTAS[Código del producto Vendido],STOCK[[#This Row],[Code]])</f>
        <v>1</v>
      </c>
      <c r="L1257" s="91">
        <f>STOCK[[#This Row],[Entradas]]-STOCK[[#This Row],[Salidas]]</f>
        <v>0</v>
      </c>
      <c r="M1257" s="76">
        <f>STOCK[[#This Row],[Precio Final]]*10%</f>
        <v>2.5</v>
      </c>
      <c r="N1257" s="76">
        <v>0</v>
      </c>
      <c r="O1257" s="76">
        <v>0</v>
      </c>
      <c r="P1257" s="76">
        <v>11.47</v>
      </c>
      <c r="Q1257" s="91">
        <v>0</v>
      </c>
      <c r="R1257" s="76">
        <v>0</v>
      </c>
      <c r="S1257" s="76">
        <v>1.97</v>
      </c>
      <c r="T1257" s="76">
        <f>STOCK[[#This Row],[Costo Unitario (USD)]]+STOCK[[#This Row],[Costo Envío (USD)]]+STOCK[[#This Row],[Comisión 10%]]</f>
        <v>15.94</v>
      </c>
      <c r="U1257" s="76">
        <f>STOCK[[#This Row],[Costo total]]*1.5</f>
        <v>23.91</v>
      </c>
      <c r="V1257" s="76">
        <v>25</v>
      </c>
      <c r="W1257" s="76">
        <f>STOCK[[#This Row],[Precio Final]]-STOCK[[#This Row],[Costo total]]</f>
        <v>9.06</v>
      </c>
      <c r="X1257" s="76">
        <f>STOCK[[#This Row],[Ganancia Unitaria]]*STOCK[[#This Row],[Salidas]]</f>
        <v>9.06</v>
      </c>
      <c r="AA1257" s="76">
        <f>STOCK[[#This Row],[Costo total]]*STOCK[[#This Row],[Entradas]]</f>
        <v>15.94</v>
      </c>
      <c r="AB1257" s="76">
        <f>STOCK[[#This Row],[Stock Actual]]*STOCK[[#This Row],[Costo total]]</f>
        <v>0</v>
      </c>
    </row>
    <row r="1258" s="77" customFormat="1" ht="50" customHeight="1" spans="1:28">
      <c r="A1258" s="77" t="s">
        <v>2605</v>
      </c>
      <c r="B1258" s="6"/>
      <c r="C1258" s="77" t="s">
        <v>30</v>
      </c>
      <c r="D1258" s="77" t="s">
        <v>2116</v>
      </c>
      <c r="E1258" s="77" t="s">
        <v>2603</v>
      </c>
      <c r="F1258" s="77" t="s">
        <v>47</v>
      </c>
      <c r="H1258" s="77">
        <f>STOCK[[#This Row],[Precio Final]]</f>
        <v>25</v>
      </c>
      <c r="I1258" s="77">
        <f>STOCK[[#This Row],[Precio Venta Ideal (x1.5)]]</f>
        <v>23.91</v>
      </c>
      <c r="J1258" s="92">
        <v>1</v>
      </c>
      <c r="K1258" s="92">
        <f>SUMIFS(VENTAS[Cantidad],VENTAS[Código del producto Vendido],STOCK[[#This Row],[Code]])</f>
        <v>0</v>
      </c>
      <c r="L1258" s="92">
        <f>STOCK[[#This Row],[Entradas]]-STOCK[[#This Row],[Salidas]]</f>
        <v>1</v>
      </c>
      <c r="M1258" s="77">
        <f>STOCK[[#This Row],[Precio Final]]*10%</f>
        <v>2.5</v>
      </c>
      <c r="N1258" s="77">
        <v>0</v>
      </c>
      <c r="O1258" s="77">
        <v>0</v>
      </c>
      <c r="P1258" s="77">
        <v>11.47</v>
      </c>
      <c r="Q1258" s="92">
        <v>0</v>
      </c>
      <c r="R1258" s="77">
        <v>0</v>
      </c>
      <c r="S1258" s="77">
        <v>1.97</v>
      </c>
      <c r="T1258" s="76">
        <f>STOCK[[#This Row],[Costo Unitario (USD)]]+STOCK[[#This Row],[Costo Envío (USD)]]+STOCK[[#This Row],[Comisión 10%]]</f>
        <v>15.94</v>
      </c>
      <c r="U1258" s="77">
        <f>STOCK[[#This Row],[Costo total]]*1.5</f>
        <v>23.91</v>
      </c>
      <c r="V1258" s="77">
        <v>25</v>
      </c>
      <c r="W1258" s="77">
        <f>STOCK[[#This Row],[Precio Final]]-STOCK[[#This Row],[Costo total]]</f>
        <v>9.06</v>
      </c>
      <c r="X1258" s="77">
        <f>STOCK[[#This Row],[Ganancia Unitaria]]*STOCK[[#This Row],[Salidas]]</f>
        <v>0</v>
      </c>
      <c r="AA1258" s="77">
        <f>STOCK[[#This Row],[Costo total]]*STOCK[[#This Row],[Entradas]]</f>
        <v>15.94</v>
      </c>
      <c r="AB1258" s="77">
        <f>STOCK[[#This Row],[Stock Actual]]*STOCK[[#This Row],[Costo total]]</f>
        <v>15.94</v>
      </c>
    </row>
    <row r="1259" s="76" customFormat="1" ht="50" customHeight="1" spans="1:28">
      <c r="A1259" s="76" t="s">
        <v>2606</v>
      </c>
      <c r="B1259" s="6"/>
      <c r="C1259" s="76" t="s">
        <v>30</v>
      </c>
      <c r="D1259" s="76" t="s">
        <v>2116</v>
      </c>
      <c r="E1259" s="76" t="s">
        <v>2603</v>
      </c>
      <c r="F1259" s="76" t="s">
        <v>44</v>
      </c>
      <c r="H1259" s="76">
        <f>STOCK[[#This Row],[Precio Final]]</f>
        <v>25</v>
      </c>
      <c r="I1259" s="76">
        <f>STOCK[[#This Row],[Precio Venta Ideal (x1.5)]]</f>
        <v>23.91</v>
      </c>
      <c r="J1259" s="91">
        <v>1</v>
      </c>
      <c r="K1259" s="91">
        <f>SUMIFS(VENTAS[Cantidad],VENTAS[Código del producto Vendido],STOCK[[#This Row],[Code]])</f>
        <v>0</v>
      </c>
      <c r="L1259" s="91">
        <f>STOCK[[#This Row],[Entradas]]-STOCK[[#This Row],[Salidas]]</f>
        <v>1</v>
      </c>
      <c r="M1259" s="76">
        <f>STOCK[[#This Row],[Precio Final]]*10%</f>
        <v>2.5</v>
      </c>
      <c r="N1259" s="76">
        <v>0</v>
      </c>
      <c r="O1259" s="76">
        <v>0</v>
      </c>
      <c r="P1259" s="76">
        <v>11.47</v>
      </c>
      <c r="Q1259" s="91">
        <v>0</v>
      </c>
      <c r="R1259" s="76">
        <v>0</v>
      </c>
      <c r="S1259" s="76">
        <v>1.97</v>
      </c>
      <c r="T1259" s="76">
        <f>STOCK[[#This Row],[Costo Unitario (USD)]]+STOCK[[#This Row],[Costo Envío (USD)]]+STOCK[[#This Row],[Comisión 10%]]</f>
        <v>15.94</v>
      </c>
      <c r="U1259" s="76">
        <f>STOCK[[#This Row],[Costo total]]*1.5</f>
        <v>23.91</v>
      </c>
      <c r="V1259" s="76">
        <v>25</v>
      </c>
      <c r="W1259" s="76">
        <f>STOCK[[#This Row],[Precio Final]]-STOCK[[#This Row],[Costo total]]</f>
        <v>9.06</v>
      </c>
      <c r="X1259" s="76">
        <f>STOCK[[#This Row],[Ganancia Unitaria]]*STOCK[[#This Row],[Salidas]]</f>
        <v>0</v>
      </c>
      <c r="AA1259" s="76">
        <f>STOCK[[#This Row],[Costo total]]*STOCK[[#This Row],[Entradas]]</f>
        <v>15.94</v>
      </c>
      <c r="AB1259" s="76">
        <f>STOCK[[#This Row],[Stock Actual]]*STOCK[[#This Row],[Costo total]]</f>
        <v>15.94</v>
      </c>
    </row>
    <row r="1260" s="77" customFormat="1" ht="50" customHeight="1" spans="1:28">
      <c r="A1260" s="77" t="s">
        <v>2607</v>
      </c>
      <c r="B1260" s="6"/>
      <c r="C1260" s="77" t="s">
        <v>30</v>
      </c>
      <c r="D1260" s="77" t="s">
        <v>1210</v>
      </c>
      <c r="E1260" s="77" t="s">
        <v>2608</v>
      </c>
      <c r="F1260" s="77" t="s">
        <v>60</v>
      </c>
      <c r="H1260" s="77">
        <f>STOCK[[#This Row],[Precio Final]]</f>
        <v>25</v>
      </c>
      <c r="I1260" s="77">
        <f>STOCK[[#This Row],[Precio Venta Ideal (x1.5)]]</f>
        <v>27.315</v>
      </c>
      <c r="J1260" s="92">
        <v>1</v>
      </c>
      <c r="K1260" s="92">
        <f>SUMIFS(VENTAS[Cantidad],VENTAS[Código del producto Vendido],STOCK[[#This Row],[Code]])</f>
        <v>0</v>
      </c>
      <c r="L1260" s="92">
        <f>STOCK[[#This Row],[Entradas]]-STOCK[[#This Row],[Salidas]]</f>
        <v>1</v>
      </c>
      <c r="M1260" s="77">
        <f>STOCK[[#This Row],[Precio Final]]*10%</f>
        <v>2.5</v>
      </c>
      <c r="N1260" s="77">
        <v>0</v>
      </c>
      <c r="O1260" s="77">
        <v>0</v>
      </c>
      <c r="P1260" s="77">
        <v>13.74</v>
      </c>
      <c r="Q1260" s="92">
        <v>0</v>
      </c>
      <c r="R1260" s="77">
        <v>0</v>
      </c>
      <c r="S1260" s="77">
        <v>1.97</v>
      </c>
      <c r="T1260" s="76">
        <f>STOCK[[#This Row],[Costo Unitario (USD)]]+STOCK[[#This Row],[Costo Envío (USD)]]+STOCK[[#This Row],[Comisión 10%]]</f>
        <v>18.21</v>
      </c>
      <c r="U1260" s="77">
        <f>STOCK[[#This Row],[Costo total]]*1.5</f>
        <v>27.315</v>
      </c>
      <c r="V1260" s="77">
        <v>25</v>
      </c>
      <c r="W1260" s="77">
        <f>STOCK[[#This Row],[Precio Final]]-STOCK[[#This Row],[Costo total]]</f>
        <v>6.79</v>
      </c>
      <c r="X1260" s="77">
        <f>STOCK[[#This Row],[Ganancia Unitaria]]*STOCK[[#This Row],[Salidas]]</f>
        <v>0</v>
      </c>
      <c r="AA1260" s="77">
        <f>STOCK[[#This Row],[Costo total]]*STOCK[[#This Row],[Entradas]]</f>
        <v>18.21</v>
      </c>
      <c r="AB1260" s="77">
        <f>STOCK[[#This Row],[Stock Actual]]*STOCK[[#This Row],[Costo total]]</f>
        <v>18.21</v>
      </c>
    </row>
    <row r="1261" s="76" customFormat="1" ht="50" customHeight="1" spans="1:28">
      <c r="A1261" s="76" t="s">
        <v>2609</v>
      </c>
      <c r="B1261" s="6"/>
      <c r="C1261" s="76" t="s">
        <v>30</v>
      </c>
      <c r="D1261" s="76" t="s">
        <v>1210</v>
      </c>
      <c r="E1261" s="76" t="s">
        <v>2610</v>
      </c>
      <c r="F1261" s="76" t="s">
        <v>47</v>
      </c>
      <c r="H1261" s="76">
        <f>STOCK[[#This Row],[Precio Final]]</f>
        <v>20</v>
      </c>
      <c r="I1261" s="76">
        <f>STOCK[[#This Row],[Precio Venta Ideal (x1.5)]]</f>
        <v>18.54</v>
      </c>
      <c r="J1261" s="91">
        <v>1</v>
      </c>
      <c r="K1261" s="91">
        <f>SUMIFS(VENTAS[Cantidad],VENTAS[Código del producto Vendido],STOCK[[#This Row],[Code]])</f>
        <v>0</v>
      </c>
      <c r="L1261" s="91">
        <f>STOCK[[#This Row],[Entradas]]-STOCK[[#This Row],[Salidas]]</f>
        <v>1</v>
      </c>
      <c r="M1261" s="76">
        <f>STOCK[[#This Row],[Precio Final]]*10%</f>
        <v>2</v>
      </c>
      <c r="N1261" s="76">
        <v>0</v>
      </c>
      <c r="O1261" s="76">
        <v>0</v>
      </c>
      <c r="P1261" s="76">
        <v>8.39</v>
      </c>
      <c r="Q1261" s="91">
        <v>0</v>
      </c>
      <c r="R1261" s="76">
        <v>0</v>
      </c>
      <c r="S1261" s="76">
        <v>1.97</v>
      </c>
      <c r="T1261" s="76">
        <f>STOCK[[#This Row],[Costo Unitario (USD)]]+STOCK[[#This Row],[Costo Envío (USD)]]+STOCK[[#This Row],[Comisión 10%]]</f>
        <v>12.36</v>
      </c>
      <c r="U1261" s="76">
        <f>STOCK[[#This Row],[Costo total]]*1.5</f>
        <v>18.54</v>
      </c>
      <c r="V1261" s="76">
        <v>20</v>
      </c>
      <c r="W1261" s="76">
        <f>STOCK[[#This Row],[Precio Final]]-STOCK[[#This Row],[Costo total]]</f>
        <v>7.64</v>
      </c>
      <c r="X1261" s="76">
        <f>STOCK[[#This Row],[Ganancia Unitaria]]*STOCK[[#This Row],[Salidas]]</f>
        <v>0</v>
      </c>
      <c r="AA1261" s="76">
        <f>STOCK[[#This Row],[Costo total]]*STOCK[[#This Row],[Entradas]]</f>
        <v>12.36</v>
      </c>
      <c r="AB1261" s="76">
        <f>STOCK[[#This Row],[Stock Actual]]*STOCK[[#This Row],[Costo total]]</f>
        <v>12.36</v>
      </c>
    </row>
    <row r="1262" s="77" customFormat="1" ht="50" customHeight="1" spans="1:28">
      <c r="A1262" s="77" t="s">
        <v>2611</v>
      </c>
      <c r="B1262" s="6"/>
      <c r="C1262" s="77" t="s">
        <v>30</v>
      </c>
      <c r="D1262" s="77" t="s">
        <v>2116</v>
      </c>
      <c r="E1262" s="77" t="s">
        <v>2612</v>
      </c>
      <c r="F1262" s="77" t="s">
        <v>47</v>
      </c>
      <c r="H1262" s="77">
        <f>STOCK[[#This Row],[Precio Final]]</f>
        <v>25</v>
      </c>
      <c r="I1262" s="77">
        <f>STOCK[[#This Row],[Precio Venta Ideal (x1.5)]]</f>
        <v>23.46</v>
      </c>
      <c r="J1262" s="92">
        <v>1</v>
      </c>
      <c r="K1262" s="92">
        <f>SUMIFS(VENTAS[Cantidad],VENTAS[Código del producto Vendido],STOCK[[#This Row],[Code]])</f>
        <v>1</v>
      </c>
      <c r="L1262" s="92">
        <f>STOCK[[#This Row],[Entradas]]-STOCK[[#This Row],[Salidas]]</f>
        <v>0</v>
      </c>
      <c r="M1262" s="77">
        <f>STOCK[[#This Row],[Precio Final]]*10%</f>
        <v>2.5</v>
      </c>
      <c r="N1262" s="77">
        <v>0</v>
      </c>
      <c r="O1262" s="77">
        <v>0</v>
      </c>
      <c r="P1262" s="77">
        <v>11.17</v>
      </c>
      <c r="Q1262" s="92">
        <v>0</v>
      </c>
      <c r="R1262" s="77">
        <v>0</v>
      </c>
      <c r="S1262" s="77">
        <v>1.97</v>
      </c>
      <c r="T1262" s="76">
        <f>STOCK[[#This Row],[Costo Unitario (USD)]]+STOCK[[#This Row],[Costo Envío (USD)]]+STOCK[[#This Row],[Comisión 10%]]</f>
        <v>15.64</v>
      </c>
      <c r="U1262" s="77">
        <f>STOCK[[#This Row],[Costo total]]*1.5</f>
        <v>23.46</v>
      </c>
      <c r="V1262" s="77">
        <v>25</v>
      </c>
      <c r="W1262" s="77">
        <f>STOCK[[#This Row],[Precio Final]]-STOCK[[#This Row],[Costo total]]</f>
        <v>9.36</v>
      </c>
      <c r="X1262" s="77">
        <f>STOCK[[#This Row],[Ganancia Unitaria]]*STOCK[[#This Row],[Salidas]]</f>
        <v>9.36</v>
      </c>
      <c r="AA1262" s="77">
        <f>STOCK[[#This Row],[Costo total]]*STOCK[[#This Row],[Entradas]]</f>
        <v>15.64</v>
      </c>
      <c r="AB1262" s="77">
        <f>STOCK[[#This Row],[Stock Actual]]*STOCK[[#This Row],[Costo total]]</f>
        <v>0</v>
      </c>
    </row>
    <row r="1263" s="76" customFormat="1" ht="50" customHeight="1" spans="1:28">
      <c r="A1263" s="76" t="s">
        <v>2613</v>
      </c>
      <c r="B1263" s="6"/>
      <c r="C1263" s="76" t="s">
        <v>30</v>
      </c>
      <c r="D1263" s="76" t="s">
        <v>2116</v>
      </c>
      <c r="E1263" s="76" t="s">
        <v>2614</v>
      </c>
      <c r="F1263" s="76" t="s">
        <v>44</v>
      </c>
      <c r="H1263" s="76">
        <f>STOCK[[#This Row],[Precio Final]]</f>
        <v>25</v>
      </c>
      <c r="I1263" s="76">
        <f>STOCK[[#This Row],[Precio Venta Ideal (x1.5)]]</f>
        <v>23.97</v>
      </c>
      <c r="J1263" s="91">
        <v>1</v>
      </c>
      <c r="K1263" s="91">
        <f>SUMIFS(VENTAS[Cantidad],VENTAS[Código del producto Vendido],STOCK[[#This Row],[Code]])</f>
        <v>1</v>
      </c>
      <c r="L1263" s="91">
        <f>STOCK[[#This Row],[Entradas]]-STOCK[[#This Row],[Salidas]]</f>
        <v>0</v>
      </c>
      <c r="M1263" s="76">
        <f>STOCK[[#This Row],[Precio Final]]*10%</f>
        <v>2.5</v>
      </c>
      <c r="N1263" s="76">
        <v>0</v>
      </c>
      <c r="O1263" s="76">
        <v>0</v>
      </c>
      <c r="P1263" s="76">
        <v>11.51</v>
      </c>
      <c r="Q1263" s="91">
        <v>0</v>
      </c>
      <c r="R1263" s="76">
        <v>0</v>
      </c>
      <c r="S1263" s="76">
        <v>1.97</v>
      </c>
      <c r="T1263" s="76">
        <f>STOCK[[#This Row],[Costo Unitario (USD)]]+STOCK[[#This Row],[Costo Envío (USD)]]+STOCK[[#This Row],[Comisión 10%]]</f>
        <v>15.98</v>
      </c>
      <c r="U1263" s="76">
        <f>STOCK[[#This Row],[Costo total]]*1.5</f>
        <v>23.97</v>
      </c>
      <c r="V1263" s="76">
        <v>25</v>
      </c>
      <c r="W1263" s="76">
        <f>STOCK[[#This Row],[Precio Final]]-STOCK[[#This Row],[Costo total]]</f>
        <v>9.02</v>
      </c>
      <c r="X1263" s="76">
        <f>STOCK[[#This Row],[Ganancia Unitaria]]*STOCK[[#This Row],[Salidas]]</f>
        <v>9.02</v>
      </c>
      <c r="AA1263" s="76">
        <f>STOCK[[#This Row],[Costo total]]*STOCK[[#This Row],[Entradas]]</f>
        <v>15.98</v>
      </c>
      <c r="AB1263" s="76">
        <f>STOCK[[#This Row],[Stock Actual]]*STOCK[[#This Row],[Costo total]]</f>
        <v>0</v>
      </c>
    </row>
    <row r="1264" s="77" customFormat="1" ht="50" customHeight="1" spans="1:28">
      <c r="A1264" s="77" t="s">
        <v>2615</v>
      </c>
      <c r="B1264" s="6"/>
      <c r="C1264" s="77" t="s">
        <v>30</v>
      </c>
      <c r="D1264" s="77" t="s">
        <v>2116</v>
      </c>
      <c r="E1264" s="77" t="s">
        <v>2614</v>
      </c>
      <c r="F1264" s="77" t="s">
        <v>60</v>
      </c>
      <c r="H1264" s="77">
        <f>STOCK[[#This Row],[Precio Final]]</f>
        <v>25</v>
      </c>
      <c r="I1264" s="77">
        <f>STOCK[[#This Row],[Precio Venta Ideal (x1.5)]]</f>
        <v>23.97</v>
      </c>
      <c r="J1264" s="92">
        <v>1</v>
      </c>
      <c r="K1264" s="92">
        <f>SUMIFS(VENTAS[Cantidad],VENTAS[Código del producto Vendido],STOCK[[#This Row],[Code]])</f>
        <v>1</v>
      </c>
      <c r="L1264" s="92">
        <f>STOCK[[#This Row],[Entradas]]-STOCK[[#This Row],[Salidas]]</f>
        <v>0</v>
      </c>
      <c r="M1264" s="77">
        <f>STOCK[[#This Row],[Precio Final]]*10%</f>
        <v>2.5</v>
      </c>
      <c r="N1264" s="77">
        <v>0</v>
      </c>
      <c r="O1264" s="77">
        <v>0</v>
      </c>
      <c r="P1264" s="77">
        <v>11.51</v>
      </c>
      <c r="Q1264" s="92">
        <v>0</v>
      </c>
      <c r="R1264" s="77">
        <v>0</v>
      </c>
      <c r="S1264" s="77">
        <v>1.97</v>
      </c>
      <c r="T1264" s="76">
        <f>STOCK[[#This Row],[Costo Unitario (USD)]]+STOCK[[#This Row],[Costo Envío (USD)]]+STOCK[[#This Row],[Comisión 10%]]</f>
        <v>15.98</v>
      </c>
      <c r="U1264" s="77">
        <f>STOCK[[#This Row],[Costo total]]*1.5</f>
        <v>23.97</v>
      </c>
      <c r="V1264" s="77">
        <v>25</v>
      </c>
      <c r="W1264" s="77">
        <f>STOCK[[#This Row],[Precio Final]]-STOCK[[#This Row],[Costo total]]</f>
        <v>9.02</v>
      </c>
      <c r="X1264" s="77">
        <f>STOCK[[#This Row],[Ganancia Unitaria]]*STOCK[[#This Row],[Salidas]]</f>
        <v>9.02</v>
      </c>
      <c r="AA1264" s="77">
        <f>STOCK[[#This Row],[Costo total]]*STOCK[[#This Row],[Entradas]]</f>
        <v>15.98</v>
      </c>
      <c r="AB1264" s="77">
        <f>STOCK[[#This Row],[Stock Actual]]*STOCK[[#This Row],[Costo total]]</f>
        <v>0</v>
      </c>
    </row>
    <row r="1265" s="76" customFormat="1" ht="50" customHeight="1" spans="1:28">
      <c r="A1265" s="76" t="s">
        <v>2616</v>
      </c>
      <c r="B1265" s="6"/>
      <c r="C1265" s="76" t="s">
        <v>30</v>
      </c>
      <c r="D1265" s="76" t="s">
        <v>2116</v>
      </c>
      <c r="E1265" s="76" t="s">
        <v>2617</v>
      </c>
      <c r="F1265" s="76" t="s">
        <v>47</v>
      </c>
      <c r="H1265" s="76">
        <f>STOCK[[#This Row],[Precio Final]]</f>
        <v>35</v>
      </c>
      <c r="I1265" s="76">
        <f>STOCK[[#This Row],[Precio Venta Ideal (x1.5)]]</f>
        <v>28.44</v>
      </c>
      <c r="J1265" s="91">
        <v>1</v>
      </c>
      <c r="K1265" s="91">
        <f>SUMIFS(VENTAS[Cantidad],VENTAS[Código del producto Vendido],STOCK[[#This Row],[Code]])</f>
        <v>0</v>
      </c>
      <c r="L1265" s="91">
        <f>STOCK[[#This Row],[Entradas]]-STOCK[[#This Row],[Salidas]]</f>
        <v>1</v>
      </c>
      <c r="M1265" s="76">
        <f>STOCK[[#This Row],[Precio Final]]*10%</f>
        <v>3.5</v>
      </c>
      <c r="N1265" s="76">
        <v>0</v>
      </c>
      <c r="O1265" s="76">
        <v>0</v>
      </c>
      <c r="P1265" s="76">
        <v>13.49</v>
      </c>
      <c r="Q1265" s="91">
        <v>0</v>
      </c>
      <c r="R1265" s="76">
        <v>0</v>
      </c>
      <c r="S1265" s="76">
        <v>1.97</v>
      </c>
      <c r="T1265" s="76">
        <f>STOCK[[#This Row],[Costo Unitario (USD)]]+STOCK[[#This Row],[Costo Envío (USD)]]+STOCK[[#This Row],[Comisión 10%]]</f>
        <v>18.96</v>
      </c>
      <c r="U1265" s="76">
        <f>STOCK[[#This Row],[Costo total]]*1.5</f>
        <v>28.44</v>
      </c>
      <c r="V1265" s="76">
        <v>35</v>
      </c>
      <c r="W1265" s="76">
        <f>STOCK[[#This Row],[Precio Final]]-STOCK[[#This Row],[Costo total]]</f>
        <v>16.04</v>
      </c>
      <c r="X1265" s="76">
        <f>STOCK[[#This Row],[Ganancia Unitaria]]*STOCK[[#This Row],[Salidas]]</f>
        <v>0</v>
      </c>
      <c r="AA1265" s="76">
        <f>STOCK[[#This Row],[Costo total]]*STOCK[[#This Row],[Entradas]]</f>
        <v>18.96</v>
      </c>
      <c r="AB1265" s="76">
        <f>STOCK[[#This Row],[Stock Actual]]*STOCK[[#This Row],[Costo total]]</f>
        <v>18.96</v>
      </c>
    </row>
    <row r="1266" s="77" customFormat="1" ht="50" customHeight="1" spans="1:28">
      <c r="A1266" s="77" t="s">
        <v>2618</v>
      </c>
      <c r="B1266" s="6"/>
      <c r="C1266" s="77" t="s">
        <v>30</v>
      </c>
      <c r="D1266" s="77" t="s">
        <v>2619</v>
      </c>
      <c r="E1266" s="77" t="s">
        <v>2620</v>
      </c>
      <c r="F1266" s="77" t="s">
        <v>40</v>
      </c>
      <c r="H1266" s="77">
        <f>STOCK[[#This Row],[Precio Final]]</f>
        <v>28</v>
      </c>
      <c r="I1266" s="77">
        <f>STOCK[[#This Row],[Precio Venta Ideal (x1.5)]]</f>
        <v>25.14</v>
      </c>
      <c r="J1266" s="92">
        <v>1</v>
      </c>
      <c r="K1266" s="92">
        <f>SUMIFS(VENTAS[Cantidad],VENTAS[Código del producto Vendido],STOCK[[#This Row],[Code]])</f>
        <v>0</v>
      </c>
      <c r="L1266" s="92">
        <f>STOCK[[#This Row],[Entradas]]-STOCK[[#This Row],[Salidas]]</f>
        <v>1</v>
      </c>
      <c r="M1266" s="77">
        <f>STOCK[[#This Row],[Precio Final]]*10%</f>
        <v>2.8</v>
      </c>
      <c r="N1266" s="77">
        <v>0</v>
      </c>
      <c r="O1266" s="77">
        <v>0</v>
      </c>
      <c r="P1266" s="77">
        <v>11.99</v>
      </c>
      <c r="Q1266" s="92">
        <v>0</v>
      </c>
      <c r="R1266" s="77">
        <v>0</v>
      </c>
      <c r="S1266" s="77">
        <v>1.97</v>
      </c>
      <c r="T1266" s="76">
        <f>STOCK[[#This Row],[Costo Unitario (USD)]]+STOCK[[#This Row],[Costo Envío (USD)]]+STOCK[[#This Row],[Comisión 10%]]</f>
        <v>16.76</v>
      </c>
      <c r="U1266" s="77">
        <f>STOCK[[#This Row],[Costo total]]*1.5</f>
        <v>25.14</v>
      </c>
      <c r="V1266" s="77">
        <v>28</v>
      </c>
      <c r="W1266" s="77">
        <f>STOCK[[#This Row],[Precio Final]]-STOCK[[#This Row],[Costo total]]</f>
        <v>11.24</v>
      </c>
      <c r="X1266" s="77">
        <f>STOCK[[#This Row],[Ganancia Unitaria]]*STOCK[[#This Row],[Salidas]]</f>
        <v>0</v>
      </c>
      <c r="AA1266" s="77">
        <f>STOCK[[#This Row],[Costo total]]*STOCK[[#This Row],[Entradas]]</f>
        <v>16.76</v>
      </c>
      <c r="AB1266" s="77">
        <f>STOCK[[#This Row],[Stock Actual]]*STOCK[[#This Row],[Costo total]]</f>
        <v>16.76</v>
      </c>
    </row>
    <row r="1267" s="76" customFormat="1" ht="50" customHeight="1" spans="1:28">
      <c r="A1267" s="76" t="s">
        <v>2621</v>
      </c>
      <c r="B1267" s="6"/>
      <c r="C1267" s="76" t="s">
        <v>30</v>
      </c>
      <c r="D1267" s="76" t="s">
        <v>2622</v>
      </c>
      <c r="E1267" s="76" t="s">
        <v>2620</v>
      </c>
      <c r="F1267" s="76" t="s">
        <v>47</v>
      </c>
      <c r="H1267" s="76">
        <f>STOCK[[#This Row],[Precio Final]]</f>
        <v>28</v>
      </c>
      <c r="I1267" s="76">
        <f>STOCK[[#This Row],[Precio Venta Ideal (x1.5)]]</f>
        <v>25.14</v>
      </c>
      <c r="J1267" s="91">
        <v>1</v>
      </c>
      <c r="K1267" s="91">
        <f>SUMIFS(VENTAS[Cantidad],VENTAS[Código del producto Vendido],STOCK[[#This Row],[Code]])</f>
        <v>0</v>
      </c>
      <c r="L1267" s="91">
        <f>STOCK[[#This Row],[Entradas]]-STOCK[[#This Row],[Salidas]]</f>
        <v>1</v>
      </c>
      <c r="M1267" s="76">
        <f>STOCK[[#This Row],[Precio Final]]*10%</f>
        <v>2.8</v>
      </c>
      <c r="N1267" s="76">
        <v>0</v>
      </c>
      <c r="O1267" s="76">
        <v>0</v>
      </c>
      <c r="P1267" s="76">
        <v>11.99</v>
      </c>
      <c r="Q1267" s="91">
        <v>0</v>
      </c>
      <c r="R1267" s="76">
        <v>0</v>
      </c>
      <c r="S1267" s="76">
        <v>1.97</v>
      </c>
      <c r="T1267" s="76">
        <f>STOCK[[#This Row],[Costo Unitario (USD)]]+STOCK[[#This Row],[Costo Envío (USD)]]+STOCK[[#This Row],[Comisión 10%]]</f>
        <v>16.76</v>
      </c>
      <c r="U1267" s="76">
        <f>STOCK[[#This Row],[Costo total]]*1.5</f>
        <v>25.14</v>
      </c>
      <c r="V1267" s="76">
        <v>28</v>
      </c>
      <c r="W1267" s="76">
        <f>STOCK[[#This Row],[Precio Final]]-STOCK[[#This Row],[Costo total]]</f>
        <v>11.24</v>
      </c>
      <c r="X1267" s="76">
        <f>STOCK[[#This Row],[Ganancia Unitaria]]*STOCK[[#This Row],[Salidas]]</f>
        <v>0</v>
      </c>
      <c r="AA1267" s="76">
        <f>STOCK[[#This Row],[Costo total]]*STOCK[[#This Row],[Entradas]]</f>
        <v>16.76</v>
      </c>
      <c r="AB1267" s="76">
        <f>STOCK[[#This Row],[Stock Actual]]*STOCK[[#This Row],[Costo total]]</f>
        <v>16.76</v>
      </c>
    </row>
    <row r="1268" s="77" customFormat="1" ht="50" customHeight="1" spans="1:28">
      <c r="A1268" s="77" t="s">
        <v>2623</v>
      </c>
      <c r="B1268" s="6"/>
      <c r="C1268" s="77" t="s">
        <v>30</v>
      </c>
      <c r="D1268" s="77" t="s">
        <v>2619</v>
      </c>
      <c r="E1268" s="77" t="s">
        <v>2624</v>
      </c>
      <c r="F1268" s="77" t="s">
        <v>38</v>
      </c>
      <c r="H1268" s="77">
        <f>STOCK[[#This Row],[Precio Final]]</f>
        <v>28</v>
      </c>
      <c r="I1268" s="77">
        <f>STOCK[[#This Row],[Precio Venta Ideal (x1.5)]]</f>
        <v>25.14</v>
      </c>
      <c r="J1268" s="92">
        <v>1</v>
      </c>
      <c r="K1268" s="92">
        <f>SUMIFS(VENTAS[Cantidad],VENTAS[Código del producto Vendido],STOCK[[#This Row],[Code]])</f>
        <v>0</v>
      </c>
      <c r="L1268" s="92">
        <f>STOCK[[#This Row],[Entradas]]-STOCK[[#This Row],[Salidas]]</f>
        <v>1</v>
      </c>
      <c r="M1268" s="77">
        <f>STOCK[[#This Row],[Precio Final]]*10%</f>
        <v>2.8</v>
      </c>
      <c r="N1268" s="77">
        <v>0</v>
      </c>
      <c r="O1268" s="77">
        <v>0</v>
      </c>
      <c r="P1268" s="77">
        <v>11.99</v>
      </c>
      <c r="Q1268" s="92">
        <v>0</v>
      </c>
      <c r="R1268" s="77">
        <v>0</v>
      </c>
      <c r="S1268" s="77">
        <v>1.97</v>
      </c>
      <c r="T1268" s="76">
        <f>STOCK[[#This Row],[Costo Unitario (USD)]]+STOCK[[#This Row],[Costo Envío (USD)]]+STOCK[[#This Row],[Comisión 10%]]</f>
        <v>16.76</v>
      </c>
      <c r="U1268" s="77">
        <f>STOCK[[#This Row],[Costo total]]*1.5</f>
        <v>25.14</v>
      </c>
      <c r="V1268" s="77">
        <v>28</v>
      </c>
      <c r="W1268" s="77">
        <f>STOCK[[#This Row],[Precio Final]]-STOCK[[#This Row],[Costo total]]</f>
        <v>11.24</v>
      </c>
      <c r="X1268" s="77">
        <f>STOCK[[#This Row],[Ganancia Unitaria]]*STOCK[[#This Row],[Salidas]]</f>
        <v>0</v>
      </c>
      <c r="AA1268" s="77">
        <f>STOCK[[#This Row],[Costo total]]*STOCK[[#This Row],[Entradas]]</f>
        <v>16.76</v>
      </c>
      <c r="AB1268" s="77">
        <f>STOCK[[#This Row],[Stock Actual]]*STOCK[[#This Row],[Costo total]]</f>
        <v>16.76</v>
      </c>
    </row>
    <row r="1269" s="76" customFormat="1" ht="50" customHeight="1" spans="1:28">
      <c r="A1269" s="76" t="s">
        <v>2625</v>
      </c>
      <c r="B1269" s="6"/>
      <c r="C1269" s="76" t="s">
        <v>30</v>
      </c>
      <c r="D1269" s="76" t="s">
        <v>2626</v>
      </c>
      <c r="E1269" s="76" t="s">
        <v>2624</v>
      </c>
      <c r="F1269" s="76" t="s">
        <v>47</v>
      </c>
      <c r="H1269" s="76">
        <f>STOCK[[#This Row],[Precio Final]]</f>
        <v>28</v>
      </c>
      <c r="I1269" s="76">
        <f>STOCK[[#This Row],[Precio Venta Ideal (x1.5)]]</f>
        <v>25.14</v>
      </c>
      <c r="J1269" s="91">
        <v>1</v>
      </c>
      <c r="K1269" s="91">
        <f>SUMIFS(VENTAS[Cantidad],VENTAS[Código del producto Vendido],STOCK[[#This Row],[Code]])</f>
        <v>1</v>
      </c>
      <c r="L1269" s="91">
        <f>STOCK[[#This Row],[Entradas]]-STOCK[[#This Row],[Salidas]]</f>
        <v>0</v>
      </c>
      <c r="M1269" s="76">
        <f>STOCK[[#This Row],[Precio Final]]*10%</f>
        <v>2.8</v>
      </c>
      <c r="N1269" s="76">
        <v>0</v>
      </c>
      <c r="O1269" s="76">
        <v>0</v>
      </c>
      <c r="P1269" s="76">
        <v>11.99</v>
      </c>
      <c r="Q1269" s="91">
        <v>0</v>
      </c>
      <c r="R1269" s="76">
        <v>0</v>
      </c>
      <c r="S1269" s="76">
        <v>1.97</v>
      </c>
      <c r="T1269" s="76">
        <f>STOCK[[#This Row],[Costo Unitario (USD)]]+STOCK[[#This Row],[Costo Envío (USD)]]+STOCK[[#This Row],[Comisión 10%]]</f>
        <v>16.76</v>
      </c>
      <c r="U1269" s="76">
        <f>STOCK[[#This Row],[Costo total]]*1.5</f>
        <v>25.14</v>
      </c>
      <c r="V1269" s="76">
        <v>28</v>
      </c>
      <c r="W1269" s="76">
        <f>STOCK[[#This Row],[Precio Final]]-STOCK[[#This Row],[Costo total]]</f>
        <v>11.24</v>
      </c>
      <c r="X1269" s="76">
        <f>STOCK[[#This Row],[Ganancia Unitaria]]*STOCK[[#This Row],[Salidas]]</f>
        <v>11.24</v>
      </c>
      <c r="AA1269" s="76">
        <f>STOCK[[#This Row],[Costo total]]*STOCK[[#This Row],[Entradas]]</f>
        <v>16.76</v>
      </c>
      <c r="AB1269" s="76">
        <f>STOCK[[#This Row],[Stock Actual]]*STOCK[[#This Row],[Costo total]]</f>
        <v>0</v>
      </c>
    </row>
    <row r="1270" s="77" customFormat="1" ht="50" customHeight="1" spans="1:28">
      <c r="A1270" s="77" t="s">
        <v>2627</v>
      </c>
      <c r="B1270" s="6"/>
      <c r="C1270" s="77" t="s">
        <v>30</v>
      </c>
      <c r="D1270" s="77" t="s">
        <v>2628</v>
      </c>
      <c r="E1270" s="77" t="s">
        <v>2629</v>
      </c>
      <c r="F1270" s="77" t="s">
        <v>38</v>
      </c>
      <c r="H1270" s="77">
        <f>STOCK[[#This Row],[Precio Final]]</f>
        <v>30</v>
      </c>
      <c r="I1270" s="77">
        <f>STOCK[[#This Row],[Precio Venta Ideal (x1.5)]]</f>
        <v>23.94</v>
      </c>
      <c r="J1270" s="92">
        <v>1</v>
      </c>
      <c r="K1270" s="92">
        <f>SUMIFS(VENTAS[Cantidad],VENTAS[Código del producto Vendido],STOCK[[#This Row],[Code]])</f>
        <v>0</v>
      </c>
      <c r="L1270" s="92">
        <f>STOCK[[#This Row],[Entradas]]-STOCK[[#This Row],[Salidas]]</f>
        <v>1</v>
      </c>
      <c r="M1270" s="77">
        <f>STOCK[[#This Row],[Precio Final]]*10%</f>
        <v>3</v>
      </c>
      <c r="N1270" s="77">
        <v>0</v>
      </c>
      <c r="O1270" s="77">
        <v>0</v>
      </c>
      <c r="P1270" s="77">
        <v>10.99</v>
      </c>
      <c r="Q1270" s="92">
        <v>0</v>
      </c>
      <c r="R1270" s="77">
        <v>0</v>
      </c>
      <c r="S1270" s="77">
        <v>1.97</v>
      </c>
      <c r="T1270" s="76">
        <f>STOCK[[#This Row],[Costo Unitario (USD)]]+STOCK[[#This Row],[Costo Envío (USD)]]+STOCK[[#This Row],[Comisión 10%]]</f>
        <v>15.96</v>
      </c>
      <c r="U1270" s="77">
        <f>STOCK[[#This Row],[Costo total]]*1.5</f>
        <v>23.94</v>
      </c>
      <c r="V1270" s="77">
        <v>30</v>
      </c>
      <c r="W1270" s="77">
        <f>STOCK[[#This Row],[Precio Final]]-STOCK[[#This Row],[Costo total]]</f>
        <v>14.04</v>
      </c>
      <c r="X1270" s="77">
        <f>STOCK[[#This Row],[Ganancia Unitaria]]*STOCK[[#This Row],[Salidas]]</f>
        <v>0</v>
      </c>
      <c r="AA1270" s="77">
        <f>STOCK[[#This Row],[Costo total]]*STOCK[[#This Row],[Entradas]]</f>
        <v>15.96</v>
      </c>
      <c r="AB1270" s="77">
        <f>STOCK[[#This Row],[Stock Actual]]*STOCK[[#This Row],[Costo total]]</f>
        <v>15.96</v>
      </c>
    </row>
    <row r="1271" s="76" customFormat="1" ht="50" customHeight="1" spans="1:28">
      <c r="A1271" s="76" t="s">
        <v>2630</v>
      </c>
      <c r="B1271" s="6"/>
      <c r="C1271" s="76" t="s">
        <v>30</v>
      </c>
      <c r="D1271" s="76" t="s">
        <v>1210</v>
      </c>
      <c r="E1271" s="76" t="s">
        <v>2631</v>
      </c>
      <c r="F1271" s="76" t="s">
        <v>60</v>
      </c>
      <c r="H1271" s="76">
        <f>STOCK[[#This Row],[Precio Final]]</f>
        <v>35</v>
      </c>
      <c r="I1271" s="76">
        <f>STOCK[[#This Row],[Precio Venta Ideal (x1.5)]]</f>
        <v>36.69</v>
      </c>
      <c r="J1271" s="91">
        <v>1</v>
      </c>
      <c r="K1271" s="91">
        <f>SUMIFS(VENTAS[Cantidad],VENTAS[Código del producto Vendido],STOCK[[#This Row],[Code]])</f>
        <v>1</v>
      </c>
      <c r="L1271" s="91">
        <f>STOCK[[#This Row],[Entradas]]-STOCK[[#This Row],[Salidas]]</f>
        <v>0</v>
      </c>
      <c r="M1271" s="76">
        <f>STOCK[[#This Row],[Precio Final]]*10%</f>
        <v>3.5</v>
      </c>
      <c r="N1271" s="76">
        <v>0</v>
      </c>
      <c r="O1271" s="76">
        <v>0</v>
      </c>
      <c r="P1271" s="76">
        <v>18.99</v>
      </c>
      <c r="Q1271" s="91">
        <v>0</v>
      </c>
      <c r="R1271" s="76">
        <v>0</v>
      </c>
      <c r="S1271" s="76">
        <v>1.97</v>
      </c>
      <c r="T1271" s="76">
        <f>STOCK[[#This Row],[Costo Unitario (USD)]]+STOCK[[#This Row],[Costo Envío (USD)]]+STOCK[[#This Row],[Comisión 10%]]</f>
        <v>24.46</v>
      </c>
      <c r="U1271" s="76">
        <f>STOCK[[#This Row],[Costo total]]*1.5</f>
        <v>36.69</v>
      </c>
      <c r="V1271" s="76">
        <v>35</v>
      </c>
      <c r="W1271" s="76">
        <f>STOCK[[#This Row],[Precio Final]]-STOCK[[#This Row],[Costo total]]</f>
        <v>10.54</v>
      </c>
      <c r="X1271" s="76">
        <f>STOCK[[#This Row],[Ganancia Unitaria]]*STOCK[[#This Row],[Salidas]]</f>
        <v>10.54</v>
      </c>
      <c r="AA1271" s="76">
        <f>STOCK[[#This Row],[Costo total]]*STOCK[[#This Row],[Entradas]]</f>
        <v>24.46</v>
      </c>
      <c r="AB1271" s="76">
        <f>STOCK[[#This Row],[Stock Actual]]*STOCK[[#This Row],[Costo total]]</f>
        <v>0</v>
      </c>
    </row>
    <row r="1272" s="77" customFormat="1" ht="50" customHeight="1" spans="1:28">
      <c r="A1272" s="77" t="s">
        <v>2632</v>
      </c>
      <c r="B1272" s="6"/>
      <c r="C1272" s="77" t="s">
        <v>30</v>
      </c>
      <c r="D1272" s="77" t="s">
        <v>2628</v>
      </c>
      <c r="E1272" s="77" t="s">
        <v>2633</v>
      </c>
      <c r="F1272" s="77" t="s">
        <v>2634</v>
      </c>
      <c r="H1272" s="77">
        <f>STOCK[[#This Row],[Precio Final]]</f>
        <v>35</v>
      </c>
      <c r="I1272" s="77">
        <f>STOCK[[#This Row],[Precio Venta Ideal (x1.5)]]</f>
        <v>27.705</v>
      </c>
      <c r="J1272" s="92">
        <v>1</v>
      </c>
      <c r="K1272" s="92">
        <f>SUMIFS(VENTAS[Cantidad],VENTAS[Código del producto Vendido],STOCK[[#This Row],[Code]])</f>
        <v>0</v>
      </c>
      <c r="L1272" s="92">
        <f>STOCK[[#This Row],[Entradas]]-STOCK[[#This Row],[Salidas]]</f>
        <v>1</v>
      </c>
      <c r="M1272" s="77">
        <f>STOCK[[#This Row],[Precio Final]]*10%</f>
        <v>3.5</v>
      </c>
      <c r="N1272" s="77">
        <v>0</v>
      </c>
      <c r="O1272" s="77">
        <v>0</v>
      </c>
      <c r="P1272" s="77">
        <v>13</v>
      </c>
      <c r="Q1272" s="92">
        <v>0</v>
      </c>
      <c r="R1272" s="77">
        <v>0</v>
      </c>
      <c r="S1272" s="77">
        <v>1.97</v>
      </c>
      <c r="T1272" s="76">
        <f>STOCK[[#This Row],[Costo Unitario (USD)]]+STOCK[[#This Row],[Costo Envío (USD)]]+STOCK[[#This Row],[Comisión 10%]]</f>
        <v>18.47</v>
      </c>
      <c r="U1272" s="77">
        <f>STOCK[[#This Row],[Costo total]]*1.5</f>
        <v>27.705</v>
      </c>
      <c r="V1272" s="77">
        <v>35</v>
      </c>
      <c r="W1272" s="77">
        <f>STOCK[[#This Row],[Precio Final]]-STOCK[[#This Row],[Costo total]]</f>
        <v>16.53</v>
      </c>
      <c r="X1272" s="77">
        <f>STOCK[[#This Row],[Ganancia Unitaria]]*STOCK[[#This Row],[Salidas]]</f>
        <v>0</v>
      </c>
      <c r="AA1272" s="77">
        <f>STOCK[[#This Row],[Costo total]]*STOCK[[#This Row],[Entradas]]</f>
        <v>18.47</v>
      </c>
      <c r="AB1272" s="77">
        <f>STOCK[[#This Row],[Stock Actual]]*STOCK[[#This Row],[Costo total]]</f>
        <v>18.47</v>
      </c>
    </row>
    <row r="1273" s="76" customFormat="1" ht="50" customHeight="1" spans="1:28">
      <c r="A1273" s="76" t="s">
        <v>2635</v>
      </c>
      <c r="B1273" s="6"/>
      <c r="C1273" s="76" t="s">
        <v>30</v>
      </c>
      <c r="D1273" s="76" t="s">
        <v>2636</v>
      </c>
      <c r="E1273" s="76" t="s">
        <v>2637</v>
      </c>
      <c r="F1273" s="76" t="s">
        <v>38</v>
      </c>
      <c r="H1273" s="76">
        <f>STOCK[[#This Row],[Precio Final]]</f>
        <v>20</v>
      </c>
      <c r="I1273" s="76">
        <f>STOCK[[#This Row],[Precio Venta Ideal (x1.5)]]</f>
        <v>19.44</v>
      </c>
      <c r="J1273" s="91">
        <v>2</v>
      </c>
      <c r="K1273" s="91">
        <f>SUMIFS(VENTAS[Cantidad],VENTAS[Código del producto Vendido],STOCK[[#This Row],[Code]])</f>
        <v>0</v>
      </c>
      <c r="L1273" s="91">
        <f>STOCK[[#This Row],[Entradas]]-STOCK[[#This Row],[Salidas]]</f>
        <v>2</v>
      </c>
      <c r="M1273" s="76">
        <f>STOCK[[#This Row],[Precio Final]]*10%</f>
        <v>2</v>
      </c>
      <c r="N1273" s="76">
        <v>0</v>
      </c>
      <c r="O1273" s="76">
        <v>0</v>
      </c>
      <c r="P1273" s="76">
        <v>8.99</v>
      </c>
      <c r="Q1273" s="91">
        <v>0</v>
      </c>
      <c r="R1273" s="76">
        <v>0</v>
      </c>
      <c r="S1273" s="76">
        <v>1.97</v>
      </c>
      <c r="T1273" s="76">
        <f>STOCK[[#This Row],[Costo Unitario (USD)]]+STOCK[[#This Row],[Costo Envío (USD)]]+STOCK[[#This Row],[Comisión 10%]]</f>
        <v>12.96</v>
      </c>
      <c r="U1273" s="76">
        <f>STOCK[[#This Row],[Costo total]]*1.5</f>
        <v>19.44</v>
      </c>
      <c r="V1273" s="76">
        <v>20</v>
      </c>
      <c r="W1273" s="76">
        <f>STOCK[[#This Row],[Precio Final]]-STOCK[[#This Row],[Costo total]]</f>
        <v>7.04</v>
      </c>
      <c r="X1273" s="76">
        <f>STOCK[[#This Row],[Ganancia Unitaria]]*STOCK[[#This Row],[Salidas]]</f>
        <v>0</v>
      </c>
      <c r="AA1273" s="76">
        <f>STOCK[[#This Row],[Costo total]]*STOCK[[#This Row],[Entradas]]</f>
        <v>25.92</v>
      </c>
      <c r="AB1273" s="76">
        <f>STOCK[[#This Row],[Stock Actual]]*STOCK[[#This Row],[Costo total]]</f>
        <v>25.92</v>
      </c>
    </row>
    <row r="1274" s="77" customFormat="1" ht="50" customHeight="1" spans="1:28">
      <c r="A1274" s="77" t="s">
        <v>2638</v>
      </c>
      <c r="B1274" s="6"/>
      <c r="C1274" s="77" t="s">
        <v>30</v>
      </c>
      <c r="D1274" s="77" t="s">
        <v>2636</v>
      </c>
      <c r="E1274" s="77" t="s">
        <v>2637</v>
      </c>
      <c r="F1274" s="77" t="s">
        <v>60</v>
      </c>
      <c r="H1274" s="77">
        <f>STOCK[[#This Row],[Precio Final]]</f>
        <v>20</v>
      </c>
      <c r="I1274" s="77">
        <f>STOCK[[#This Row],[Precio Venta Ideal (x1.5)]]</f>
        <v>19.44</v>
      </c>
      <c r="J1274" s="92">
        <v>2</v>
      </c>
      <c r="K1274" s="92">
        <f>SUMIFS(VENTAS[Cantidad],VENTAS[Código del producto Vendido],STOCK[[#This Row],[Code]])</f>
        <v>1</v>
      </c>
      <c r="L1274" s="92">
        <f>STOCK[[#This Row],[Entradas]]-STOCK[[#This Row],[Salidas]]</f>
        <v>1</v>
      </c>
      <c r="M1274" s="77">
        <f>STOCK[[#This Row],[Precio Final]]*10%</f>
        <v>2</v>
      </c>
      <c r="N1274" s="77">
        <v>0</v>
      </c>
      <c r="O1274" s="77">
        <v>0</v>
      </c>
      <c r="P1274" s="77">
        <v>8.99</v>
      </c>
      <c r="Q1274" s="92">
        <v>0</v>
      </c>
      <c r="R1274" s="77">
        <v>0</v>
      </c>
      <c r="S1274" s="77">
        <v>1.97</v>
      </c>
      <c r="T1274" s="76">
        <f>STOCK[[#This Row],[Costo Unitario (USD)]]+STOCK[[#This Row],[Costo Envío (USD)]]+STOCK[[#This Row],[Comisión 10%]]</f>
        <v>12.96</v>
      </c>
      <c r="U1274" s="77">
        <f>STOCK[[#This Row],[Costo total]]*1.5</f>
        <v>19.44</v>
      </c>
      <c r="V1274" s="77">
        <v>20</v>
      </c>
      <c r="W1274" s="77">
        <f>STOCK[[#This Row],[Precio Final]]-STOCK[[#This Row],[Costo total]]</f>
        <v>7.04</v>
      </c>
      <c r="X1274" s="77">
        <f>STOCK[[#This Row],[Ganancia Unitaria]]*STOCK[[#This Row],[Salidas]]</f>
        <v>7.04</v>
      </c>
      <c r="AA1274" s="77">
        <f>STOCK[[#This Row],[Costo total]]*STOCK[[#This Row],[Entradas]]</f>
        <v>25.92</v>
      </c>
      <c r="AB1274" s="77">
        <f>STOCK[[#This Row],[Stock Actual]]*STOCK[[#This Row],[Costo total]]</f>
        <v>12.96</v>
      </c>
    </row>
    <row r="1275" s="76" customFormat="1" ht="50" customHeight="1" spans="1:28">
      <c r="A1275" s="76" t="s">
        <v>2639</v>
      </c>
      <c r="B1275" s="6"/>
      <c r="C1275" s="76" t="s">
        <v>30</v>
      </c>
      <c r="D1275" s="76" t="s">
        <v>1188</v>
      </c>
      <c r="E1275" s="76" t="s">
        <v>2637</v>
      </c>
      <c r="F1275" s="76" t="s">
        <v>47</v>
      </c>
      <c r="H1275" s="76">
        <f>STOCK[[#This Row],[Precio Final]]</f>
        <v>20</v>
      </c>
      <c r="I1275" s="76">
        <f>STOCK[[#This Row],[Precio Venta Ideal (x1.5)]]</f>
        <v>19.44</v>
      </c>
      <c r="J1275" s="91">
        <v>1</v>
      </c>
      <c r="K1275" s="91">
        <f>SUMIFS(VENTAS[Cantidad],VENTAS[Código del producto Vendido],STOCK[[#This Row],[Code]])</f>
        <v>1</v>
      </c>
      <c r="L1275" s="91">
        <f>STOCK[[#This Row],[Entradas]]-STOCK[[#This Row],[Salidas]]</f>
        <v>0</v>
      </c>
      <c r="M1275" s="76">
        <f>STOCK[[#This Row],[Precio Final]]*10%</f>
        <v>2</v>
      </c>
      <c r="N1275" s="76">
        <v>0</v>
      </c>
      <c r="O1275" s="76">
        <v>0</v>
      </c>
      <c r="P1275" s="76">
        <v>8.99</v>
      </c>
      <c r="Q1275" s="91">
        <v>0</v>
      </c>
      <c r="R1275" s="76">
        <v>0</v>
      </c>
      <c r="S1275" s="76">
        <v>1.97</v>
      </c>
      <c r="T1275" s="76">
        <f>STOCK[[#This Row],[Costo Unitario (USD)]]+STOCK[[#This Row],[Costo Envío (USD)]]+STOCK[[#This Row],[Comisión 10%]]</f>
        <v>12.96</v>
      </c>
      <c r="U1275" s="76">
        <f>STOCK[[#This Row],[Costo total]]*1.5</f>
        <v>19.44</v>
      </c>
      <c r="V1275" s="76">
        <v>20</v>
      </c>
      <c r="W1275" s="76">
        <f>STOCK[[#This Row],[Precio Final]]-STOCK[[#This Row],[Costo total]]</f>
        <v>7.04</v>
      </c>
      <c r="X1275" s="76">
        <f>STOCK[[#This Row],[Ganancia Unitaria]]*STOCK[[#This Row],[Salidas]]</f>
        <v>7.04</v>
      </c>
      <c r="AA1275" s="76">
        <f>STOCK[[#This Row],[Costo total]]*STOCK[[#This Row],[Entradas]]</f>
        <v>12.96</v>
      </c>
      <c r="AB1275" s="76">
        <f>STOCK[[#This Row],[Stock Actual]]*STOCK[[#This Row],[Costo total]]</f>
        <v>0</v>
      </c>
    </row>
    <row r="1276" s="77" customFormat="1" ht="50" customHeight="1" spans="1:28">
      <c r="A1276" s="77" t="s">
        <v>2640</v>
      </c>
      <c r="B1276" s="6"/>
      <c r="C1276" s="77" t="s">
        <v>30</v>
      </c>
      <c r="D1276" s="77" t="s">
        <v>2636</v>
      </c>
      <c r="E1276" s="77" t="s">
        <v>2641</v>
      </c>
      <c r="F1276" s="77" t="s">
        <v>38</v>
      </c>
      <c r="H1276" s="77">
        <f>STOCK[[#This Row],[Precio Final]]</f>
        <v>20</v>
      </c>
      <c r="I1276" s="77">
        <f>STOCK[[#This Row],[Precio Venta Ideal (x1.5)]]</f>
        <v>19.44</v>
      </c>
      <c r="J1276" s="92">
        <v>2</v>
      </c>
      <c r="K1276" s="92">
        <f>SUMIFS(VENTAS[Cantidad],VENTAS[Código del producto Vendido],STOCK[[#This Row],[Code]])</f>
        <v>1</v>
      </c>
      <c r="L1276" s="92">
        <f>STOCK[[#This Row],[Entradas]]-STOCK[[#This Row],[Salidas]]</f>
        <v>1</v>
      </c>
      <c r="M1276" s="77">
        <f>STOCK[[#This Row],[Precio Final]]*10%</f>
        <v>2</v>
      </c>
      <c r="N1276" s="77">
        <v>0</v>
      </c>
      <c r="O1276" s="77">
        <v>0</v>
      </c>
      <c r="P1276" s="77">
        <v>8.99</v>
      </c>
      <c r="Q1276" s="92">
        <v>0</v>
      </c>
      <c r="R1276" s="77">
        <v>0</v>
      </c>
      <c r="S1276" s="77">
        <v>1.97</v>
      </c>
      <c r="T1276" s="76">
        <f>STOCK[[#This Row],[Costo Unitario (USD)]]+STOCK[[#This Row],[Costo Envío (USD)]]+STOCK[[#This Row],[Comisión 10%]]</f>
        <v>12.96</v>
      </c>
      <c r="U1276" s="77">
        <f>STOCK[[#This Row],[Costo total]]*1.5</f>
        <v>19.44</v>
      </c>
      <c r="V1276" s="77">
        <v>20</v>
      </c>
      <c r="W1276" s="77">
        <f>STOCK[[#This Row],[Precio Final]]-STOCK[[#This Row],[Costo total]]</f>
        <v>7.04</v>
      </c>
      <c r="X1276" s="77">
        <f>STOCK[[#This Row],[Ganancia Unitaria]]*STOCK[[#This Row],[Salidas]]</f>
        <v>7.04</v>
      </c>
      <c r="AA1276" s="77">
        <f>STOCK[[#This Row],[Costo total]]*STOCK[[#This Row],[Entradas]]</f>
        <v>25.92</v>
      </c>
      <c r="AB1276" s="77">
        <f>STOCK[[#This Row],[Stock Actual]]*STOCK[[#This Row],[Costo total]]</f>
        <v>12.96</v>
      </c>
    </row>
    <row r="1277" s="76" customFormat="1" ht="50" customHeight="1" spans="1:28">
      <c r="A1277" s="76" t="s">
        <v>2642</v>
      </c>
      <c r="B1277" s="6"/>
      <c r="C1277" s="76" t="s">
        <v>30</v>
      </c>
      <c r="D1277" s="76" t="s">
        <v>1188</v>
      </c>
      <c r="E1277" s="76" t="s">
        <v>2641</v>
      </c>
      <c r="F1277" s="76" t="s">
        <v>47</v>
      </c>
      <c r="H1277" s="76">
        <f>STOCK[[#This Row],[Precio Final]]</f>
        <v>20</v>
      </c>
      <c r="I1277" s="76">
        <f>STOCK[[#This Row],[Precio Venta Ideal (x1.5)]]</f>
        <v>19.44</v>
      </c>
      <c r="J1277" s="91">
        <v>2</v>
      </c>
      <c r="K1277" s="91">
        <f>SUMIFS(VENTAS[Cantidad],VENTAS[Código del producto Vendido],STOCK[[#This Row],[Code]])</f>
        <v>2</v>
      </c>
      <c r="L1277" s="91">
        <f>STOCK[[#This Row],[Entradas]]-STOCK[[#This Row],[Salidas]]</f>
        <v>0</v>
      </c>
      <c r="M1277" s="76">
        <f>STOCK[[#This Row],[Precio Final]]*10%</f>
        <v>2</v>
      </c>
      <c r="N1277" s="76">
        <v>0</v>
      </c>
      <c r="O1277" s="76">
        <v>0</v>
      </c>
      <c r="P1277" s="76">
        <v>8.99</v>
      </c>
      <c r="Q1277" s="91">
        <v>0</v>
      </c>
      <c r="R1277" s="76">
        <v>0</v>
      </c>
      <c r="S1277" s="76">
        <v>1.97</v>
      </c>
      <c r="T1277" s="76">
        <f>STOCK[[#This Row],[Costo Unitario (USD)]]+STOCK[[#This Row],[Costo Envío (USD)]]+STOCK[[#This Row],[Comisión 10%]]</f>
        <v>12.96</v>
      </c>
      <c r="U1277" s="76">
        <f>STOCK[[#This Row],[Costo total]]*1.5</f>
        <v>19.44</v>
      </c>
      <c r="V1277" s="76">
        <v>20</v>
      </c>
      <c r="W1277" s="76">
        <f>STOCK[[#This Row],[Precio Final]]-STOCK[[#This Row],[Costo total]]</f>
        <v>7.04</v>
      </c>
      <c r="X1277" s="76">
        <f>STOCK[[#This Row],[Ganancia Unitaria]]*STOCK[[#This Row],[Salidas]]</f>
        <v>14.08</v>
      </c>
      <c r="AA1277" s="76">
        <f>STOCK[[#This Row],[Costo total]]*STOCK[[#This Row],[Entradas]]</f>
        <v>25.92</v>
      </c>
      <c r="AB1277" s="76">
        <f>STOCK[[#This Row],[Stock Actual]]*STOCK[[#This Row],[Costo total]]</f>
        <v>0</v>
      </c>
    </row>
    <row r="1278" s="77" customFormat="1" ht="50" customHeight="1" spans="1:28">
      <c r="A1278" s="77" t="s">
        <v>2643</v>
      </c>
      <c r="B1278" s="6"/>
      <c r="C1278" s="77" t="s">
        <v>30</v>
      </c>
      <c r="D1278" s="77" t="s">
        <v>1188</v>
      </c>
      <c r="E1278" s="77" t="s">
        <v>2644</v>
      </c>
      <c r="F1278" s="77" t="s">
        <v>38</v>
      </c>
      <c r="H1278" s="77">
        <f>STOCK[[#This Row],[Precio Final]]</f>
        <v>25</v>
      </c>
      <c r="I1278" s="77">
        <f>STOCK[[#This Row],[Precio Venta Ideal (x1.5)]]</f>
        <v>21.69</v>
      </c>
      <c r="J1278" s="92">
        <v>1</v>
      </c>
      <c r="K1278" s="92">
        <f>SUMIFS(VENTAS[Cantidad],VENTAS[Código del producto Vendido],STOCK[[#This Row],[Code]])</f>
        <v>1</v>
      </c>
      <c r="L1278" s="92">
        <f>STOCK[[#This Row],[Entradas]]-STOCK[[#This Row],[Salidas]]</f>
        <v>0</v>
      </c>
      <c r="M1278" s="77">
        <f>STOCK[[#This Row],[Precio Final]]*10%</f>
        <v>2.5</v>
      </c>
      <c r="N1278" s="77">
        <v>0</v>
      </c>
      <c r="O1278" s="77">
        <v>0</v>
      </c>
      <c r="P1278" s="77">
        <v>9.99</v>
      </c>
      <c r="Q1278" s="92">
        <v>0</v>
      </c>
      <c r="R1278" s="77">
        <v>0</v>
      </c>
      <c r="S1278" s="77">
        <v>1.97</v>
      </c>
      <c r="T1278" s="76">
        <f>STOCK[[#This Row],[Costo Unitario (USD)]]+STOCK[[#This Row],[Costo Envío (USD)]]+STOCK[[#This Row],[Comisión 10%]]</f>
        <v>14.46</v>
      </c>
      <c r="U1278" s="77">
        <f>STOCK[[#This Row],[Costo total]]*1.5</f>
        <v>21.69</v>
      </c>
      <c r="V1278" s="77">
        <v>25</v>
      </c>
      <c r="W1278" s="77">
        <f>STOCK[[#This Row],[Precio Final]]-STOCK[[#This Row],[Costo total]]</f>
        <v>10.54</v>
      </c>
      <c r="X1278" s="77">
        <f>STOCK[[#This Row],[Ganancia Unitaria]]*STOCK[[#This Row],[Salidas]]</f>
        <v>10.54</v>
      </c>
      <c r="AA1278" s="77">
        <f>STOCK[[#This Row],[Costo total]]*STOCK[[#This Row],[Entradas]]</f>
        <v>14.46</v>
      </c>
      <c r="AB1278" s="77">
        <f>STOCK[[#This Row],[Stock Actual]]*STOCK[[#This Row],[Costo total]]</f>
        <v>0</v>
      </c>
    </row>
    <row r="1279" s="76" customFormat="1" ht="50" customHeight="1" spans="1:28">
      <c r="A1279" s="76" t="s">
        <v>2645</v>
      </c>
      <c r="B1279" s="6"/>
      <c r="C1279" s="76" t="s">
        <v>30</v>
      </c>
      <c r="D1279" s="76" t="s">
        <v>1188</v>
      </c>
      <c r="E1279" s="76" t="s">
        <v>2646</v>
      </c>
      <c r="F1279" s="76" t="s">
        <v>38</v>
      </c>
      <c r="H1279" s="76">
        <f>STOCK[[#This Row],[Precio Final]]</f>
        <v>35</v>
      </c>
      <c r="I1279" s="76">
        <f>STOCK[[#This Row],[Precio Venta Ideal (x1.5)]]</f>
        <v>47.58</v>
      </c>
      <c r="J1279" s="91">
        <v>1</v>
      </c>
      <c r="K1279" s="91">
        <f>SUMIFS(VENTAS[Cantidad],VENTAS[Código del producto Vendido],STOCK[[#This Row],[Code]])</f>
        <v>1</v>
      </c>
      <c r="L1279" s="91">
        <f>STOCK[[#This Row],[Entradas]]-STOCK[[#This Row],[Salidas]]</f>
        <v>0</v>
      </c>
      <c r="M1279" s="76">
        <f>STOCK[[#This Row],[Precio Final]]*10%</f>
        <v>3.5</v>
      </c>
      <c r="N1279" s="76">
        <v>0</v>
      </c>
      <c r="O1279" s="76">
        <v>0</v>
      </c>
      <c r="P1279" s="76">
        <v>26.25</v>
      </c>
      <c r="Q1279" s="91">
        <v>0</v>
      </c>
      <c r="R1279" s="76">
        <v>0</v>
      </c>
      <c r="S1279" s="76">
        <v>1.97</v>
      </c>
      <c r="T1279" s="76">
        <f>STOCK[[#This Row],[Costo Unitario (USD)]]+STOCK[[#This Row],[Costo Envío (USD)]]+STOCK[[#This Row],[Comisión 10%]]</f>
        <v>31.72</v>
      </c>
      <c r="U1279" s="76">
        <f>STOCK[[#This Row],[Costo total]]*1.5</f>
        <v>47.58</v>
      </c>
      <c r="V1279" s="76">
        <v>35</v>
      </c>
      <c r="W1279" s="76">
        <f>STOCK[[#This Row],[Precio Final]]-STOCK[[#This Row],[Costo total]]</f>
        <v>3.28</v>
      </c>
      <c r="X1279" s="76">
        <f>STOCK[[#This Row],[Ganancia Unitaria]]*STOCK[[#This Row],[Salidas]]</f>
        <v>3.28</v>
      </c>
      <c r="AA1279" s="76">
        <f>STOCK[[#This Row],[Costo total]]*STOCK[[#This Row],[Entradas]]</f>
        <v>31.72</v>
      </c>
      <c r="AB1279" s="76">
        <f>STOCK[[#This Row],[Stock Actual]]*STOCK[[#This Row],[Costo total]]</f>
        <v>0</v>
      </c>
    </row>
    <row r="1280" s="77" customFormat="1" ht="50" customHeight="1" spans="1:28">
      <c r="A1280" s="77" t="s">
        <v>2647</v>
      </c>
      <c r="B1280" s="6"/>
      <c r="C1280" s="77" t="s">
        <v>30</v>
      </c>
      <c r="D1280" s="77" t="s">
        <v>2636</v>
      </c>
      <c r="E1280" s="77" t="s">
        <v>2648</v>
      </c>
      <c r="F1280" s="77" t="s">
        <v>47</v>
      </c>
      <c r="H1280" s="77">
        <f>STOCK[[#This Row],[Precio Final]]</f>
        <v>30</v>
      </c>
      <c r="I1280" s="77">
        <f>STOCK[[#This Row],[Precio Venta Ideal (x1.5)]]</f>
        <v>29.955</v>
      </c>
      <c r="J1280" s="92">
        <v>1</v>
      </c>
      <c r="K1280" s="92">
        <f>SUMIFS(VENTAS[Cantidad],VENTAS[Código del producto Vendido],STOCK[[#This Row],[Code]])</f>
        <v>0</v>
      </c>
      <c r="L1280" s="92">
        <f>STOCK[[#This Row],[Entradas]]-STOCK[[#This Row],[Salidas]]</f>
        <v>1</v>
      </c>
      <c r="M1280" s="77">
        <f>STOCK[[#This Row],[Precio Final]]*10%</f>
        <v>3</v>
      </c>
      <c r="N1280" s="77">
        <v>0</v>
      </c>
      <c r="O1280" s="77">
        <v>0</v>
      </c>
      <c r="P1280" s="77">
        <v>15</v>
      </c>
      <c r="Q1280" s="92">
        <v>0</v>
      </c>
      <c r="R1280" s="77">
        <v>0</v>
      </c>
      <c r="S1280" s="77">
        <v>1.97</v>
      </c>
      <c r="T1280" s="76">
        <f>STOCK[[#This Row],[Costo Unitario (USD)]]+STOCK[[#This Row],[Costo Envío (USD)]]+STOCK[[#This Row],[Comisión 10%]]</f>
        <v>19.97</v>
      </c>
      <c r="U1280" s="77">
        <f>STOCK[[#This Row],[Costo total]]*1.5</f>
        <v>29.955</v>
      </c>
      <c r="V1280" s="77">
        <v>30</v>
      </c>
      <c r="W1280" s="77">
        <f>STOCK[[#This Row],[Precio Final]]-STOCK[[#This Row],[Costo total]]</f>
        <v>10.03</v>
      </c>
      <c r="X1280" s="77">
        <f>STOCK[[#This Row],[Ganancia Unitaria]]*STOCK[[#This Row],[Salidas]]</f>
        <v>0</v>
      </c>
      <c r="AA1280" s="77">
        <f>STOCK[[#This Row],[Costo total]]*STOCK[[#This Row],[Entradas]]</f>
        <v>19.97</v>
      </c>
      <c r="AB1280" s="77">
        <f>STOCK[[#This Row],[Stock Actual]]*STOCK[[#This Row],[Costo total]]</f>
        <v>19.97</v>
      </c>
    </row>
    <row r="1281" s="76" customFormat="1" ht="50" customHeight="1" spans="1:28">
      <c r="A1281" s="76" t="s">
        <v>2649</v>
      </c>
      <c r="B1281" s="6"/>
      <c r="C1281" s="76" t="s">
        <v>30</v>
      </c>
      <c r="D1281" s="76" t="s">
        <v>1806</v>
      </c>
      <c r="E1281" s="76" t="s">
        <v>2650</v>
      </c>
      <c r="F1281" s="76" t="s">
        <v>880</v>
      </c>
      <c r="H1281" s="76">
        <f>STOCK[[#This Row],[Precio Final]]</f>
        <v>19</v>
      </c>
      <c r="I1281" s="76">
        <f>STOCK[[#This Row],[Precio Venta Ideal (x1.5)]]</f>
        <v>25.29</v>
      </c>
      <c r="J1281" s="91">
        <v>1</v>
      </c>
      <c r="K1281" s="91">
        <f>SUMIFS(VENTAS[Cantidad],VENTAS[Código del producto Vendido],STOCK[[#This Row],[Code]])</f>
        <v>1</v>
      </c>
      <c r="L1281" s="91">
        <f>STOCK[[#This Row],[Entradas]]-STOCK[[#This Row],[Salidas]]</f>
        <v>0</v>
      </c>
      <c r="M1281" s="76">
        <f>STOCK[[#This Row],[Precio Final]]*10%</f>
        <v>1.9</v>
      </c>
      <c r="N1281" s="76">
        <v>0</v>
      </c>
      <c r="O1281" s="76">
        <v>0</v>
      </c>
      <c r="P1281" s="76">
        <v>12.99</v>
      </c>
      <c r="Q1281" s="91">
        <v>0</v>
      </c>
      <c r="R1281" s="76">
        <v>0</v>
      </c>
      <c r="S1281" s="76">
        <v>1.97</v>
      </c>
      <c r="T1281" s="76">
        <f>STOCK[[#This Row],[Costo Unitario (USD)]]+STOCK[[#This Row],[Costo Envío (USD)]]+STOCK[[#This Row],[Comisión 10%]]</f>
        <v>16.86</v>
      </c>
      <c r="U1281" s="76">
        <f>STOCK[[#This Row],[Costo total]]*1.5</f>
        <v>25.29</v>
      </c>
      <c r="V1281" s="76">
        <v>19</v>
      </c>
      <c r="W1281" s="76">
        <f>STOCK[[#This Row],[Precio Final]]-STOCK[[#This Row],[Costo total]]</f>
        <v>2.14</v>
      </c>
      <c r="X1281" s="76">
        <f>STOCK[[#This Row],[Ganancia Unitaria]]*STOCK[[#This Row],[Salidas]]</f>
        <v>2.14</v>
      </c>
      <c r="AA1281" s="76">
        <f>STOCK[[#This Row],[Costo total]]*STOCK[[#This Row],[Entradas]]</f>
        <v>16.86</v>
      </c>
      <c r="AB1281" s="76">
        <f>STOCK[[#This Row],[Stock Actual]]*STOCK[[#This Row],[Costo total]]</f>
        <v>0</v>
      </c>
    </row>
    <row r="1282" s="77" customFormat="1" ht="50" customHeight="1" spans="1:28">
      <c r="A1282" s="77" t="s">
        <v>2651</v>
      </c>
      <c r="B1282" s="6"/>
      <c r="C1282" s="77" t="s">
        <v>30</v>
      </c>
      <c r="D1282" s="77" t="s">
        <v>2628</v>
      </c>
      <c r="E1282" s="77" t="s">
        <v>2652</v>
      </c>
      <c r="F1282" s="77" t="s">
        <v>2634</v>
      </c>
      <c r="H1282" s="77">
        <f>STOCK[[#This Row],[Precio Final]]</f>
        <v>25</v>
      </c>
      <c r="I1282" s="77">
        <f>STOCK[[#This Row],[Precio Venta Ideal (x1.5)]]</f>
        <v>21.69</v>
      </c>
      <c r="J1282" s="92">
        <v>3</v>
      </c>
      <c r="K1282" s="92">
        <f>SUMIFS(VENTAS[Cantidad],VENTAS[Código del producto Vendido],STOCK[[#This Row],[Code]])</f>
        <v>0</v>
      </c>
      <c r="L1282" s="92">
        <f>STOCK[[#This Row],[Entradas]]-STOCK[[#This Row],[Salidas]]</f>
        <v>3</v>
      </c>
      <c r="M1282" s="77">
        <f>STOCK[[#This Row],[Precio Final]]*10%</f>
        <v>2.5</v>
      </c>
      <c r="N1282" s="77">
        <v>0</v>
      </c>
      <c r="O1282" s="77">
        <v>0</v>
      </c>
      <c r="P1282" s="77">
        <v>9.99</v>
      </c>
      <c r="Q1282" s="92">
        <v>0</v>
      </c>
      <c r="R1282" s="77">
        <v>0</v>
      </c>
      <c r="S1282" s="77">
        <v>1.97</v>
      </c>
      <c r="T1282" s="76">
        <f>STOCK[[#This Row],[Costo Unitario (USD)]]+STOCK[[#This Row],[Costo Envío (USD)]]+STOCK[[#This Row],[Comisión 10%]]</f>
        <v>14.46</v>
      </c>
      <c r="U1282" s="77">
        <f>STOCK[[#This Row],[Costo total]]*1.5</f>
        <v>21.69</v>
      </c>
      <c r="V1282" s="77">
        <v>25</v>
      </c>
      <c r="W1282" s="77">
        <f>STOCK[[#This Row],[Precio Final]]-STOCK[[#This Row],[Costo total]]</f>
        <v>10.54</v>
      </c>
      <c r="X1282" s="77">
        <f>STOCK[[#This Row],[Ganancia Unitaria]]*STOCK[[#This Row],[Salidas]]</f>
        <v>0</v>
      </c>
      <c r="AA1282" s="77">
        <f>STOCK[[#This Row],[Costo total]]*STOCK[[#This Row],[Entradas]]</f>
        <v>43.38</v>
      </c>
      <c r="AB1282" s="77">
        <f>STOCK[[#This Row],[Stock Actual]]*STOCK[[#This Row],[Costo total]]</f>
        <v>43.38</v>
      </c>
    </row>
    <row r="1283" s="76" customFormat="1" ht="50" customHeight="1" spans="1:28">
      <c r="A1283" s="76" t="s">
        <v>2653</v>
      </c>
      <c r="B1283" s="6"/>
      <c r="C1283" s="76" t="s">
        <v>30</v>
      </c>
      <c r="D1283" s="76" t="s">
        <v>1224</v>
      </c>
      <c r="E1283" s="76" t="s">
        <v>2654</v>
      </c>
      <c r="F1283" s="76" t="s">
        <v>764</v>
      </c>
      <c r="H1283" s="76">
        <f>STOCK[[#This Row],[Precio Final]]</f>
        <v>35</v>
      </c>
      <c r="I1283" s="76">
        <f>STOCK[[#This Row],[Precio Venta Ideal (x1.5)]]</f>
        <v>36.75</v>
      </c>
      <c r="J1283" s="91">
        <v>1</v>
      </c>
      <c r="K1283" s="91">
        <f>SUMIFS(VENTAS[Cantidad],VENTAS[Código del producto Vendido],STOCK[[#This Row],[Code]])</f>
        <v>1</v>
      </c>
      <c r="L1283" s="91">
        <f>STOCK[[#This Row],[Entradas]]-STOCK[[#This Row],[Salidas]]</f>
        <v>0</v>
      </c>
      <c r="M1283" s="76">
        <f>STOCK[[#This Row],[Precio Final]]*10%</f>
        <v>3.5</v>
      </c>
      <c r="N1283" s="76">
        <v>0</v>
      </c>
      <c r="O1283" s="76">
        <v>0</v>
      </c>
      <c r="P1283" s="76">
        <v>21</v>
      </c>
      <c r="Q1283" s="91">
        <v>0</v>
      </c>
      <c r="R1283" s="76">
        <v>0</v>
      </c>
      <c r="S1283" s="76">
        <v>0</v>
      </c>
      <c r="T1283" s="76">
        <f>STOCK[[#This Row],[Costo Unitario (USD)]]+STOCK[[#This Row],[Costo Envío (USD)]]+STOCK[[#This Row],[Comisión 10%]]</f>
        <v>24.5</v>
      </c>
      <c r="U1283" s="76">
        <f>STOCK[[#This Row],[Costo total]]*1.5</f>
        <v>36.75</v>
      </c>
      <c r="V1283" s="76">
        <v>35</v>
      </c>
      <c r="W1283" s="76">
        <f>STOCK[[#This Row],[Precio Final]]-STOCK[[#This Row],[Costo total]]</f>
        <v>10.5</v>
      </c>
      <c r="X1283" s="76">
        <f>STOCK[[#This Row],[Ganancia Unitaria]]*STOCK[[#This Row],[Salidas]]</f>
        <v>10.5</v>
      </c>
      <c r="AA1283" s="76">
        <f>STOCK[[#This Row],[Costo total]]*STOCK[[#This Row],[Entradas]]</f>
        <v>24.5</v>
      </c>
      <c r="AB1283" s="76">
        <f>STOCK[[#This Row],[Stock Actual]]*STOCK[[#This Row],[Costo total]]</f>
        <v>0</v>
      </c>
    </row>
    <row r="1284" s="77" customFormat="1" ht="50" customHeight="1" spans="1:28">
      <c r="A1284" s="77" t="s">
        <v>2655</v>
      </c>
      <c r="B1284" s="6"/>
      <c r="C1284" s="77" t="s">
        <v>30</v>
      </c>
      <c r="D1284" s="77" t="s">
        <v>1224</v>
      </c>
      <c r="E1284" s="77" t="s">
        <v>2656</v>
      </c>
      <c r="F1284" s="77" t="s">
        <v>516</v>
      </c>
      <c r="H1284" s="77">
        <f>STOCK[[#This Row],[Precio Final]]</f>
        <v>40</v>
      </c>
      <c r="I1284" s="77">
        <f>STOCK[[#This Row],[Precio Venta Ideal (x1.5)]]</f>
        <v>48</v>
      </c>
      <c r="J1284" s="92">
        <v>1</v>
      </c>
      <c r="K1284" s="92">
        <f>SUMIFS(VENTAS[Cantidad],VENTAS[Código del producto Vendido],STOCK[[#This Row],[Code]])</f>
        <v>1</v>
      </c>
      <c r="L1284" s="92">
        <f>STOCK[[#This Row],[Entradas]]-STOCK[[#This Row],[Salidas]]</f>
        <v>0</v>
      </c>
      <c r="M1284" s="77">
        <f>STOCK[[#This Row],[Precio Final]]*10%</f>
        <v>4</v>
      </c>
      <c r="N1284" s="77">
        <v>0</v>
      </c>
      <c r="O1284" s="77">
        <v>0</v>
      </c>
      <c r="P1284" s="77">
        <v>25</v>
      </c>
      <c r="Q1284" s="92">
        <v>0</v>
      </c>
      <c r="R1284" s="77">
        <v>0</v>
      </c>
      <c r="S1284" s="77">
        <v>3</v>
      </c>
      <c r="T1284" s="76">
        <f>STOCK[[#This Row],[Costo Unitario (USD)]]+STOCK[[#This Row],[Costo Envío (USD)]]+STOCK[[#This Row],[Comisión 10%]]</f>
        <v>32</v>
      </c>
      <c r="U1284" s="77">
        <f>STOCK[[#This Row],[Costo total]]*1.5</f>
        <v>48</v>
      </c>
      <c r="V1284" s="77">
        <v>40</v>
      </c>
      <c r="W1284" s="77">
        <f>STOCK[[#This Row],[Precio Final]]-STOCK[[#This Row],[Costo total]]</f>
        <v>8</v>
      </c>
      <c r="X1284" s="77">
        <f>STOCK[[#This Row],[Ganancia Unitaria]]*STOCK[[#This Row],[Salidas]]</f>
        <v>8</v>
      </c>
      <c r="AA1284" s="77">
        <f>STOCK[[#This Row],[Costo total]]*STOCK[[#This Row],[Entradas]]</f>
        <v>32</v>
      </c>
      <c r="AB1284" s="77">
        <f>STOCK[[#This Row],[Stock Actual]]*STOCK[[#This Row],[Costo total]]</f>
        <v>0</v>
      </c>
    </row>
    <row r="1285" s="76" customFormat="1" ht="50" customHeight="1" spans="1:28">
      <c r="A1285" s="76" t="s">
        <v>2657</v>
      </c>
      <c r="B1285" s="6"/>
      <c r="C1285" s="76" t="s">
        <v>30</v>
      </c>
      <c r="D1285" s="76" t="s">
        <v>1188</v>
      </c>
      <c r="E1285" s="76" t="s">
        <v>2658</v>
      </c>
      <c r="F1285" s="76" t="s">
        <v>60</v>
      </c>
      <c r="H1285" s="76">
        <f>STOCK[[#This Row],[Precio Final]]</f>
        <v>12</v>
      </c>
      <c r="I1285" s="76">
        <f>STOCK[[#This Row],[Precio Venta Ideal (x1.5)]]</f>
        <v>15.255</v>
      </c>
      <c r="J1285" s="91">
        <v>1</v>
      </c>
      <c r="K1285" s="91">
        <f>SUMIFS(VENTAS[Cantidad],VENTAS[Código del producto Vendido],STOCK[[#This Row],[Code]])</f>
        <v>1</v>
      </c>
      <c r="L1285" s="91">
        <f>STOCK[[#This Row],[Entradas]]-STOCK[[#This Row],[Salidas]]</f>
        <v>0</v>
      </c>
      <c r="M1285" s="76">
        <f>STOCK[[#This Row],[Precio Final]]*10%</f>
        <v>1.2</v>
      </c>
      <c r="N1285" s="76">
        <v>0</v>
      </c>
      <c r="O1285" s="76">
        <v>0</v>
      </c>
      <c r="P1285" s="76">
        <v>7</v>
      </c>
      <c r="Q1285" s="91">
        <v>0</v>
      </c>
      <c r="R1285" s="76">
        <v>0</v>
      </c>
      <c r="S1285" s="77">
        <v>1.97</v>
      </c>
      <c r="T1285" s="76">
        <f>STOCK[[#This Row],[Costo Unitario (USD)]]+STOCK[[#This Row],[Costo Envío (USD)]]+STOCK[[#This Row],[Comisión 10%]]</f>
        <v>10.17</v>
      </c>
      <c r="U1285" s="76">
        <f>STOCK[[#This Row],[Costo total]]*1.5</f>
        <v>15.255</v>
      </c>
      <c r="V1285" s="76">
        <v>12</v>
      </c>
      <c r="W1285" s="76">
        <f>STOCK[[#This Row],[Precio Final]]-STOCK[[#This Row],[Costo total]]</f>
        <v>1.83</v>
      </c>
      <c r="X1285" s="76">
        <f>STOCK[[#This Row],[Ganancia Unitaria]]*STOCK[[#This Row],[Salidas]]</f>
        <v>1.83</v>
      </c>
      <c r="AA1285" s="76">
        <f>STOCK[[#This Row],[Costo total]]*STOCK[[#This Row],[Entradas]]</f>
        <v>10.17</v>
      </c>
      <c r="AB1285" s="76">
        <f>STOCK[[#This Row],[Stock Actual]]*STOCK[[#This Row],[Costo total]]</f>
        <v>0</v>
      </c>
    </row>
    <row r="1286" s="77" customFormat="1" ht="50" customHeight="1" spans="1:28">
      <c r="A1286" s="77" t="s">
        <v>2659</v>
      </c>
      <c r="B1286" s="6"/>
      <c r="C1286" s="77" t="s">
        <v>30</v>
      </c>
      <c r="D1286" s="77" t="s">
        <v>1188</v>
      </c>
      <c r="E1286" s="77" t="s">
        <v>2658</v>
      </c>
      <c r="F1286" s="77" t="s">
        <v>47</v>
      </c>
      <c r="H1286" s="77">
        <f>STOCK[[#This Row],[Precio Final]]</f>
        <v>12</v>
      </c>
      <c r="I1286" s="77">
        <f>STOCK[[#This Row],[Precio Venta Ideal (x1.5)]]</f>
        <v>15.255</v>
      </c>
      <c r="J1286" s="92">
        <v>1</v>
      </c>
      <c r="K1286" s="92">
        <f>SUMIFS(VENTAS[Cantidad],VENTAS[Código del producto Vendido],STOCK[[#This Row],[Code]])</f>
        <v>1</v>
      </c>
      <c r="L1286" s="92">
        <f>STOCK[[#This Row],[Entradas]]-STOCK[[#This Row],[Salidas]]</f>
        <v>0</v>
      </c>
      <c r="M1286" s="77">
        <f>STOCK[[#This Row],[Precio Final]]*10%</f>
        <v>1.2</v>
      </c>
      <c r="N1286" s="77">
        <v>0</v>
      </c>
      <c r="O1286" s="77">
        <v>0</v>
      </c>
      <c r="P1286" s="77">
        <v>7</v>
      </c>
      <c r="Q1286" s="92">
        <v>0</v>
      </c>
      <c r="R1286" s="77">
        <v>0</v>
      </c>
      <c r="S1286" s="77">
        <v>1.97</v>
      </c>
      <c r="T1286" s="76">
        <f>STOCK[[#This Row],[Costo Unitario (USD)]]+STOCK[[#This Row],[Costo Envío (USD)]]+STOCK[[#This Row],[Comisión 10%]]</f>
        <v>10.17</v>
      </c>
      <c r="U1286" s="77">
        <f>STOCK[[#This Row],[Costo total]]*1.5</f>
        <v>15.255</v>
      </c>
      <c r="V1286" s="77">
        <v>12</v>
      </c>
      <c r="W1286" s="77">
        <f>STOCK[[#This Row],[Precio Final]]-STOCK[[#This Row],[Costo total]]</f>
        <v>1.83</v>
      </c>
      <c r="X1286" s="77">
        <f>STOCK[[#This Row],[Ganancia Unitaria]]*STOCK[[#This Row],[Salidas]]</f>
        <v>1.83</v>
      </c>
      <c r="AA1286" s="77">
        <f>STOCK[[#This Row],[Costo total]]*STOCK[[#This Row],[Entradas]]</f>
        <v>10.17</v>
      </c>
      <c r="AB1286" s="77">
        <f>STOCK[[#This Row],[Stock Actual]]*STOCK[[#This Row],[Costo total]]</f>
        <v>0</v>
      </c>
    </row>
    <row r="1287" s="76" customFormat="1" ht="50" customHeight="1" spans="1:28">
      <c r="A1287" s="76" t="s">
        <v>2660</v>
      </c>
      <c r="B1287" s="6"/>
      <c r="C1287" s="76" t="s">
        <v>30</v>
      </c>
      <c r="D1287" s="76" t="s">
        <v>1188</v>
      </c>
      <c r="E1287" s="76" t="s">
        <v>2661</v>
      </c>
      <c r="F1287" s="76" t="s">
        <v>47</v>
      </c>
      <c r="H1287" s="76">
        <f>STOCK[[#This Row],[Precio Final]]</f>
        <v>13</v>
      </c>
      <c r="I1287" s="76">
        <f>STOCK[[#This Row],[Precio Venta Ideal (x1.5)]]</f>
        <v>12.45</v>
      </c>
      <c r="J1287" s="91">
        <v>2</v>
      </c>
      <c r="K1287" s="91">
        <f>SUMIFS(VENTAS[Cantidad],VENTAS[Código del producto Vendido],STOCK[[#This Row],[Code]])</f>
        <v>1</v>
      </c>
      <c r="L1287" s="91">
        <f>STOCK[[#This Row],[Entradas]]-STOCK[[#This Row],[Salidas]]</f>
        <v>1</v>
      </c>
      <c r="M1287" s="76">
        <f>STOCK[[#This Row],[Precio Final]]*10%</f>
        <v>1.3</v>
      </c>
      <c r="N1287" s="76">
        <v>0</v>
      </c>
      <c r="O1287" s="76">
        <v>0</v>
      </c>
      <c r="P1287" s="76">
        <v>7</v>
      </c>
      <c r="Q1287" s="91">
        <v>0</v>
      </c>
      <c r="R1287" s="76">
        <v>0</v>
      </c>
      <c r="S1287" s="77">
        <v>0</v>
      </c>
      <c r="T1287" s="76">
        <f>STOCK[[#This Row],[Costo Unitario (USD)]]+STOCK[[#This Row],[Costo Envío (USD)]]+STOCK[[#This Row],[Comisión 10%]]</f>
        <v>8.3</v>
      </c>
      <c r="U1287" s="76">
        <f>STOCK[[#This Row],[Costo total]]*1.5</f>
        <v>12.45</v>
      </c>
      <c r="V1287" s="76">
        <v>13</v>
      </c>
      <c r="W1287" s="76">
        <f>STOCK[[#This Row],[Precio Final]]-STOCK[[#This Row],[Costo total]]</f>
        <v>4.7</v>
      </c>
      <c r="X1287" s="76">
        <f>STOCK[[#This Row],[Ganancia Unitaria]]*STOCK[[#This Row],[Salidas]]</f>
        <v>4.7</v>
      </c>
      <c r="AA1287" s="76">
        <f>STOCK[[#This Row],[Costo total]]*STOCK[[#This Row],[Entradas]]</f>
        <v>16.6</v>
      </c>
      <c r="AB1287" s="76">
        <f>STOCK[[#This Row],[Stock Actual]]*STOCK[[#This Row],[Costo total]]</f>
        <v>8.3</v>
      </c>
    </row>
    <row r="1288" s="77" customFormat="1" ht="50" customHeight="1" spans="1:28">
      <c r="A1288" s="77" t="s">
        <v>2662</v>
      </c>
      <c r="B1288" s="6"/>
      <c r="C1288" s="77" t="s">
        <v>30</v>
      </c>
      <c r="D1288" s="77" t="s">
        <v>1188</v>
      </c>
      <c r="E1288" s="77" t="s">
        <v>2663</v>
      </c>
      <c r="F1288" s="77" t="s">
        <v>47</v>
      </c>
      <c r="H1288" s="77">
        <f>STOCK[[#This Row],[Precio Final]]</f>
        <v>13</v>
      </c>
      <c r="I1288" s="77">
        <f>STOCK[[#This Row],[Precio Venta Ideal (x1.5)]]</f>
        <v>12.45</v>
      </c>
      <c r="J1288" s="92">
        <v>1</v>
      </c>
      <c r="K1288" s="92">
        <f>SUMIFS(VENTAS[Cantidad],VENTAS[Código del producto Vendido],STOCK[[#This Row],[Code]])</f>
        <v>1</v>
      </c>
      <c r="L1288" s="92">
        <f>STOCK[[#This Row],[Entradas]]-STOCK[[#This Row],[Salidas]]</f>
        <v>0</v>
      </c>
      <c r="M1288" s="77">
        <f>STOCK[[#This Row],[Precio Final]]*10%</f>
        <v>1.3</v>
      </c>
      <c r="N1288" s="77">
        <v>0</v>
      </c>
      <c r="O1288" s="77">
        <v>0</v>
      </c>
      <c r="P1288" s="77">
        <v>7</v>
      </c>
      <c r="Q1288" s="92">
        <v>0</v>
      </c>
      <c r="R1288" s="77">
        <v>0</v>
      </c>
      <c r="S1288" s="77">
        <v>0</v>
      </c>
      <c r="T1288" s="76">
        <f>STOCK[[#This Row],[Costo Unitario (USD)]]+STOCK[[#This Row],[Costo Envío (USD)]]+STOCK[[#This Row],[Comisión 10%]]</f>
        <v>8.3</v>
      </c>
      <c r="U1288" s="77">
        <f>STOCK[[#This Row],[Costo total]]*1.5</f>
        <v>12.45</v>
      </c>
      <c r="V1288" s="77">
        <v>13</v>
      </c>
      <c r="W1288" s="77">
        <f>STOCK[[#This Row],[Precio Final]]-STOCK[[#This Row],[Costo total]]</f>
        <v>4.7</v>
      </c>
      <c r="X1288" s="77">
        <f>STOCK[[#This Row],[Ganancia Unitaria]]*STOCK[[#This Row],[Salidas]]</f>
        <v>4.7</v>
      </c>
      <c r="AA1288" s="77">
        <f>STOCK[[#This Row],[Costo total]]*STOCK[[#This Row],[Entradas]]</f>
        <v>8.3</v>
      </c>
      <c r="AB1288" s="77">
        <f>STOCK[[#This Row],[Stock Actual]]*STOCK[[#This Row],[Costo total]]</f>
        <v>0</v>
      </c>
    </row>
    <row r="1289" s="76" customFormat="1" ht="50" customHeight="1" spans="1:28">
      <c r="A1289" s="76" t="s">
        <v>2664</v>
      </c>
      <c r="B1289" s="6"/>
      <c r="C1289" s="76" t="s">
        <v>30</v>
      </c>
      <c r="D1289" s="76" t="s">
        <v>1188</v>
      </c>
      <c r="E1289" s="76" t="s">
        <v>2665</v>
      </c>
      <c r="F1289" s="76" t="s">
        <v>47</v>
      </c>
      <c r="H1289" s="76">
        <f>STOCK[[#This Row],[Precio Final]]</f>
        <v>13</v>
      </c>
      <c r="I1289" s="76">
        <f>STOCK[[#This Row],[Precio Venta Ideal (x1.5)]]</f>
        <v>12.45</v>
      </c>
      <c r="J1289" s="91">
        <v>2</v>
      </c>
      <c r="K1289" s="91">
        <f>SUMIFS(VENTAS[Cantidad],VENTAS[Código del producto Vendido],STOCK[[#This Row],[Code]])</f>
        <v>1</v>
      </c>
      <c r="L1289" s="91">
        <f>STOCK[[#This Row],[Entradas]]-STOCK[[#This Row],[Salidas]]</f>
        <v>1</v>
      </c>
      <c r="M1289" s="76">
        <f>STOCK[[#This Row],[Precio Final]]*10%</f>
        <v>1.3</v>
      </c>
      <c r="N1289" s="76">
        <v>0</v>
      </c>
      <c r="O1289" s="76">
        <v>0</v>
      </c>
      <c r="P1289" s="76">
        <v>7</v>
      </c>
      <c r="Q1289" s="91">
        <v>0</v>
      </c>
      <c r="R1289" s="76">
        <v>0</v>
      </c>
      <c r="S1289" s="77">
        <v>0</v>
      </c>
      <c r="T1289" s="76">
        <f>STOCK[[#This Row],[Costo Unitario (USD)]]+STOCK[[#This Row],[Costo Envío (USD)]]+STOCK[[#This Row],[Comisión 10%]]</f>
        <v>8.3</v>
      </c>
      <c r="U1289" s="76">
        <f>STOCK[[#This Row],[Costo total]]*1.5</f>
        <v>12.45</v>
      </c>
      <c r="V1289" s="76">
        <v>13</v>
      </c>
      <c r="W1289" s="76">
        <f>STOCK[[#This Row],[Precio Final]]-STOCK[[#This Row],[Costo total]]</f>
        <v>4.7</v>
      </c>
      <c r="X1289" s="76">
        <f>STOCK[[#This Row],[Ganancia Unitaria]]*STOCK[[#This Row],[Salidas]]</f>
        <v>4.7</v>
      </c>
      <c r="AA1289" s="76">
        <f>STOCK[[#This Row],[Costo total]]*STOCK[[#This Row],[Entradas]]</f>
        <v>16.6</v>
      </c>
      <c r="AB1289" s="76">
        <f>STOCK[[#This Row],[Stock Actual]]*STOCK[[#This Row],[Costo total]]</f>
        <v>8.3</v>
      </c>
    </row>
    <row r="1290" s="77" customFormat="1" ht="50" customHeight="1" spans="1:28">
      <c r="A1290" s="77" t="s">
        <v>2666</v>
      </c>
      <c r="B1290" s="6"/>
      <c r="C1290" s="77" t="s">
        <v>30</v>
      </c>
      <c r="D1290" s="77" t="s">
        <v>1188</v>
      </c>
      <c r="E1290" s="77" t="s">
        <v>2667</v>
      </c>
      <c r="F1290" s="77" t="s">
        <v>47</v>
      </c>
      <c r="H1290" s="77">
        <f>STOCK[[#This Row],[Precio Final]]</f>
        <v>13</v>
      </c>
      <c r="I1290" s="77">
        <f>STOCK[[#This Row],[Precio Venta Ideal (x1.5)]]</f>
        <v>12.45</v>
      </c>
      <c r="J1290" s="92">
        <v>1</v>
      </c>
      <c r="K1290" s="92">
        <f>SUMIFS(VENTAS[Cantidad],VENTAS[Código del producto Vendido],STOCK[[#This Row],[Code]])</f>
        <v>0</v>
      </c>
      <c r="L1290" s="92">
        <f>STOCK[[#This Row],[Entradas]]-STOCK[[#This Row],[Salidas]]</f>
        <v>1</v>
      </c>
      <c r="M1290" s="77">
        <f>STOCK[[#This Row],[Precio Final]]*10%</f>
        <v>1.3</v>
      </c>
      <c r="N1290" s="77">
        <v>0</v>
      </c>
      <c r="O1290" s="77">
        <v>0</v>
      </c>
      <c r="P1290" s="77">
        <v>7</v>
      </c>
      <c r="Q1290" s="92">
        <v>0</v>
      </c>
      <c r="R1290" s="77">
        <v>0</v>
      </c>
      <c r="S1290" s="77">
        <v>0</v>
      </c>
      <c r="T1290" s="76">
        <f>STOCK[[#This Row],[Costo Unitario (USD)]]+STOCK[[#This Row],[Costo Envío (USD)]]+STOCK[[#This Row],[Comisión 10%]]</f>
        <v>8.3</v>
      </c>
      <c r="U1290" s="77">
        <f>STOCK[[#This Row],[Costo total]]*1.5</f>
        <v>12.45</v>
      </c>
      <c r="V1290" s="77">
        <v>13</v>
      </c>
      <c r="W1290" s="77">
        <f>STOCK[[#This Row],[Precio Final]]-STOCK[[#This Row],[Costo total]]</f>
        <v>4.7</v>
      </c>
      <c r="X1290" s="77">
        <f>STOCK[[#This Row],[Ganancia Unitaria]]*STOCK[[#This Row],[Salidas]]</f>
        <v>0</v>
      </c>
      <c r="AA1290" s="77">
        <f>STOCK[[#This Row],[Costo total]]*STOCK[[#This Row],[Entradas]]</f>
        <v>8.3</v>
      </c>
      <c r="AB1290" s="77">
        <f>STOCK[[#This Row],[Stock Actual]]*STOCK[[#This Row],[Costo total]]</f>
        <v>8.3</v>
      </c>
    </row>
    <row r="1291" s="76" customFormat="1" ht="50" customHeight="1" spans="1:28">
      <c r="A1291" s="76" t="s">
        <v>2668</v>
      </c>
      <c r="B1291" s="6"/>
      <c r="C1291" s="76" t="s">
        <v>30</v>
      </c>
      <c r="D1291" s="76" t="s">
        <v>1188</v>
      </c>
      <c r="E1291" s="76" t="s">
        <v>2669</v>
      </c>
      <c r="F1291" s="76" t="s">
        <v>47</v>
      </c>
      <c r="H1291" s="76">
        <f>STOCK[[#This Row],[Precio Final]]</f>
        <v>13</v>
      </c>
      <c r="I1291" s="76">
        <f>STOCK[[#This Row],[Precio Venta Ideal (x1.5)]]</f>
        <v>12.45</v>
      </c>
      <c r="J1291" s="91">
        <v>1</v>
      </c>
      <c r="K1291" s="91">
        <f>SUMIFS(VENTAS[Cantidad],VENTAS[Código del producto Vendido],STOCK[[#This Row],[Code]])</f>
        <v>1</v>
      </c>
      <c r="L1291" s="91">
        <f>STOCK[[#This Row],[Entradas]]-STOCK[[#This Row],[Salidas]]</f>
        <v>0</v>
      </c>
      <c r="M1291" s="76">
        <f>STOCK[[#This Row],[Precio Final]]*10%</f>
        <v>1.3</v>
      </c>
      <c r="N1291" s="76">
        <v>0</v>
      </c>
      <c r="O1291" s="76">
        <v>0</v>
      </c>
      <c r="P1291" s="76">
        <v>7</v>
      </c>
      <c r="Q1291" s="91">
        <v>0</v>
      </c>
      <c r="R1291" s="76">
        <v>0</v>
      </c>
      <c r="S1291" s="77">
        <v>0</v>
      </c>
      <c r="T1291" s="76">
        <f>STOCK[[#This Row],[Costo Unitario (USD)]]+STOCK[[#This Row],[Costo Envío (USD)]]+STOCK[[#This Row],[Comisión 10%]]</f>
        <v>8.3</v>
      </c>
      <c r="U1291" s="76">
        <f>STOCK[[#This Row],[Costo total]]*1.5</f>
        <v>12.45</v>
      </c>
      <c r="V1291" s="76">
        <v>13</v>
      </c>
      <c r="W1291" s="76">
        <f>STOCK[[#This Row],[Precio Final]]-STOCK[[#This Row],[Costo total]]</f>
        <v>4.7</v>
      </c>
      <c r="X1291" s="76">
        <f>STOCK[[#This Row],[Ganancia Unitaria]]*STOCK[[#This Row],[Salidas]]</f>
        <v>4.7</v>
      </c>
      <c r="AA1291" s="76">
        <f>STOCK[[#This Row],[Costo total]]*STOCK[[#This Row],[Entradas]]</f>
        <v>8.3</v>
      </c>
      <c r="AB1291" s="76">
        <f>STOCK[[#This Row],[Stock Actual]]*STOCK[[#This Row],[Costo total]]</f>
        <v>0</v>
      </c>
    </row>
    <row r="1292" s="77" customFormat="1" ht="50" customHeight="1" spans="1:28">
      <c r="A1292" s="77" t="s">
        <v>2670</v>
      </c>
      <c r="B1292" s="6"/>
      <c r="C1292" s="77" t="s">
        <v>30</v>
      </c>
      <c r="D1292" s="77" t="s">
        <v>1188</v>
      </c>
      <c r="E1292" s="77" t="s">
        <v>2671</v>
      </c>
      <c r="F1292" s="77" t="s">
        <v>44</v>
      </c>
      <c r="H1292" s="77">
        <f>STOCK[[#This Row],[Precio Final]]</f>
        <v>13</v>
      </c>
      <c r="I1292" s="77">
        <f>STOCK[[#This Row],[Precio Venta Ideal (x1.5)]]</f>
        <v>12.45</v>
      </c>
      <c r="J1292" s="92">
        <v>1</v>
      </c>
      <c r="K1292" s="92">
        <f>SUMIFS(VENTAS[Cantidad],VENTAS[Código del producto Vendido],STOCK[[#This Row],[Code]])</f>
        <v>0</v>
      </c>
      <c r="L1292" s="92">
        <f>STOCK[[#This Row],[Entradas]]-STOCK[[#This Row],[Salidas]]</f>
        <v>1</v>
      </c>
      <c r="M1292" s="77">
        <f>STOCK[[#This Row],[Precio Final]]*10%</f>
        <v>1.3</v>
      </c>
      <c r="N1292" s="77">
        <v>0</v>
      </c>
      <c r="O1292" s="77">
        <v>0</v>
      </c>
      <c r="P1292" s="77">
        <v>7</v>
      </c>
      <c r="Q1292" s="92">
        <v>0</v>
      </c>
      <c r="R1292" s="77">
        <v>0</v>
      </c>
      <c r="S1292" s="77">
        <v>0</v>
      </c>
      <c r="T1292" s="76">
        <f>STOCK[[#This Row],[Costo Unitario (USD)]]+STOCK[[#This Row],[Costo Envío (USD)]]+STOCK[[#This Row],[Comisión 10%]]</f>
        <v>8.3</v>
      </c>
      <c r="U1292" s="77">
        <f>STOCK[[#This Row],[Costo total]]*1.5</f>
        <v>12.45</v>
      </c>
      <c r="V1292" s="77">
        <v>13</v>
      </c>
      <c r="W1292" s="77">
        <f>STOCK[[#This Row],[Precio Final]]-STOCK[[#This Row],[Costo total]]</f>
        <v>4.7</v>
      </c>
      <c r="X1292" s="77">
        <f>STOCK[[#This Row],[Ganancia Unitaria]]*STOCK[[#This Row],[Salidas]]</f>
        <v>0</v>
      </c>
      <c r="AA1292" s="77">
        <f>STOCK[[#This Row],[Costo total]]*STOCK[[#This Row],[Entradas]]</f>
        <v>8.3</v>
      </c>
      <c r="AB1292" s="77">
        <f>STOCK[[#This Row],[Stock Actual]]*STOCK[[#This Row],[Costo total]]</f>
        <v>8.3</v>
      </c>
    </row>
    <row r="1293" s="76" customFormat="1" ht="50" customHeight="1" spans="1:28">
      <c r="A1293" s="76" t="s">
        <v>2672</v>
      </c>
      <c r="B1293" s="6"/>
      <c r="C1293" s="76" t="s">
        <v>30</v>
      </c>
      <c r="D1293" s="76" t="s">
        <v>2125</v>
      </c>
      <c r="E1293" s="76" t="s">
        <v>2673</v>
      </c>
      <c r="F1293" s="76" t="s">
        <v>60</v>
      </c>
      <c r="H1293" s="76">
        <f>STOCK[[#This Row],[Precio Final]]</f>
        <v>28</v>
      </c>
      <c r="I1293" s="76">
        <f>STOCK[[#This Row],[Precio Venta Ideal (x1.5)]]</f>
        <v>19.8</v>
      </c>
      <c r="J1293" s="91">
        <v>1</v>
      </c>
      <c r="K1293" s="91">
        <f>SUMIFS(VENTAS[Cantidad],VENTAS[Código del producto Vendido],STOCK[[#This Row],[Code]])</f>
        <v>1</v>
      </c>
      <c r="L1293" s="91">
        <f>STOCK[[#This Row],[Entradas]]-STOCK[[#This Row],[Salidas]]</f>
        <v>0</v>
      </c>
      <c r="M1293" s="76">
        <f>STOCK[[#This Row],[Precio Final]]*10%</f>
        <v>2.8</v>
      </c>
      <c r="N1293" s="76">
        <v>0</v>
      </c>
      <c r="O1293" s="76">
        <v>0</v>
      </c>
      <c r="P1293" s="76">
        <v>8.43</v>
      </c>
      <c r="Q1293" s="91">
        <v>0</v>
      </c>
      <c r="R1293" s="76">
        <v>0</v>
      </c>
      <c r="S1293" s="77">
        <v>1.97</v>
      </c>
      <c r="T1293" s="76">
        <f>STOCK[[#This Row],[Costo Unitario (USD)]]+STOCK[[#This Row],[Costo Envío (USD)]]+STOCK[[#This Row],[Comisión 10%]]</f>
        <v>13.2</v>
      </c>
      <c r="U1293" s="76">
        <f>STOCK[[#This Row],[Costo total]]*1.5</f>
        <v>19.8</v>
      </c>
      <c r="V1293" s="76">
        <v>28</v>
      </c>
      <c r="W1293" s="76">
        <f>STOCK[[#This Row],[Precio Final]]-STOCK[[#This Row],[Costo total]]</f>
        <v>14.8</v>
      </c>
      <c r="X1293" s="76">
        <f>STOCK[[#This Row],[Ganancia Unitaria]]*STOCK[[#This Row],[Salidas]]</f>
        <v>14.8</v>
      </c>
      <c r="AA1293" s="76">
        <f>STOCK[[#This Row],[Costo total]]*STOCK[[#This Row],[Entradas]]</f>
        <v>13.2</v>
      </c>
      <c r="AB1293" s="76">
        <f>STOCK[[#This Row],[Stock Actual]]*STOCK[[#This Row],[Costo total]]</f>
        <v>0</v>
      </c>
    </row>
    <row r="1294" s="77" customFormat="1" ht="50" customHeight="1" spans="1:28">
      <c r="A1294" s="77" t="s">
        <v>2674</v>
      </c>
      <c r="B1294" s="6"/>
      <c r="C1294" s="77" t="s">
        <v>30</v>
      </c>
      <c r="D1294" s="77" t="s">
        <v>2125</v>
      </c>
      <c r="E1294" s="77" t="s">
        <v>2673</v>
      </c>
      <c r="F1294" s="77" t="s">
        <v>47</v>
      </c>
      <c r="H1294" s="77">
        <f>STOCK[[#This Row],[Precio Final]]</f>
        <v>28</v>
      </c>
      <c r="I1294" s="77">
        <f>STOCK[[#This Row],[Precio Venta Ideal (x1.5)]]</f>
        <v>19.8</v>
      </c>
      <c r="J1294" s="92">
        <v>2</v>
      </c>
      <c r="K1294" s="92">
        <f>SUMIFS(VENTAS[Cantidad],VENTAS[Código del producto Vendido],STOCK[[#This Row],[Code]])</f>
        <v>2</v>
      </c>
      <c r="L1294" s="92">
        <f>STOCK[[#This Row],[Entradas]]-STOCK[[#This Row],[Salidas]]</f>
        <v>0</v>
      </c>
      <c r="M1294" s="77">
        <f>STOCK[[#This Row],[Precio Final]]*10%</f>
        <v>2.8</v>
      </c>
      <c r="N1294" s="77">
        <v>0</v>
      </c>
      <c r="O1294" s="77">
        <v>0</v>
      </c>
      <c r="P1294" s="77">
        <v>8.43</v>
      </c>
      <c r="Q1294" s="92">
        <v>0</v>
      </c>
      <c r="R1294" s="77">
        <v>0</v>
      </c>
      <c r="S1294" s="77">
        <v>1.97</v>
      </c>
      <c r="T1294" s="76">
        <f>STOCK[[#This Row],[Costo Unitario (USD)]]+STOCK[[#This Row],[Costo Envío (USD)]]+STOCK[[#This Row],[Comisión 10%]]</f>
        <v>13.2</v>
      </c>
      <c r="U1294" s="77">
        <f>STOCK[[#This Row],[Costo total]]*1.5</f>
        <v>19.8</v>
      </c>
      <c r="V1294" s="77">
        <v>28</v>
      </c>
      <c r="W1294" s="77">
        <f>STOCK[[#This Row],[Precio Final]]-STOCK[[#This Row],[Costo total]]</f>
        <v>14.8</v>
      </c>
      <c r="X1294" s="77">
        <f>STOCK[[#This Row],[Ganancia Unitaria]]*STOCK[[#This Row],[Salidas]]</f>
        <v>29.6</v>
      </c>
      <c r="AA1294" s="77">
        <f>STOCK[[#This Row],[Costo total]]*STOCK[[#This Row],[Entradas]]</f>
        <v>26.4</v>
      </c>
      <c r="AB1294" s="77">
        <f>STOCK[[#This Row],[Stock Actual]]*STOCK[[#This Row],[Costo total]]</f>
        <v>0</v>
      </c>
    </row>
    <row r="1295" s="76" customFormat="1" ht="50" customHeight="1" spans="1:28">
      <c r="A1295" s="76" t="s">
        <v>2675</v>
      </c>
      <c r="B1295" s="6"/>
      <c r="C1295" s="76" t="s">
        <v>30</v>
      </c>
      <c r="D1295" s="76" t="s">
        <v>1749</v>
      </c>
      <c r="E1295" s="76" t="s">
        <v>2673</v>
      </c>
      <c r="F1295" s="76" t="s">
        <v>44</v>
      </c>
      <c r="H1295" s="76">
        <f>STOCK[[#This Row],[Precio Final]]</f>
        <v>28</v>
      </c>
      <c r="I1295" s="76">
        <f>STOCK[[#This Row],[Precio Venta Ideal (x1.5)]]</f>
        <v>19.815</v>
      </c>
      <c r="J1295" s="91">
        <v>2</v>
      </c>
      <c r="K1295" s="91">
        <f>SUMIFS(VENTAS[Cantidad],VENTAS[Código del producto Vendido],STOCK[[#This Row],[Code]])</f>
        <v>1</v>
      </c>
      <c r="L1295" s="91">
        <f>STOCK[[#This Row],[Entradas]]-STOCK[[#This Row],[Salidas]]</f>
        <v>1</v>
      </c>
      <c r="M1295" s="76">
        <f>STOCK[[#This Row],[Precio Final]]*10%</f>
        <v>2.8</v>
      </c>
      <c r="N1295" s="76">
        <v>0</v>
      </c>
      <c r="O1295" s="76">
        <v>0</v>
      </c>
      <c r="P1295" s="77">
        <v>8.44</v>
      </c>
      <c r="Q1295" s="91">
        <v>0</v>
      </c>
      <c r="R1295" s="76">
        <v>0</v>
      </c>
      <c r="S1295" s="77">
        <v>1.97</v>
      </c>
      <c r="T1295" s="76">
        <f>STOCK[[#This Row],[Costo Unitario (USD)]]+STOCK[[#This Row],[Costo Envío (USD)]]+STOCK[[#This Row],[Comisión 10%]]</f>
        <v>13.21</v>
      </c>
      <c r="U1295" s="76">
        <f>STOCK[[#This Row],[Costo total]]*1.5</f>
        <v>19.815</v>
      </c>
      <c r="V1295" s="76">
        <v>28</v>
      </c>
      <c r="W1295" s="76">
        <f>STOCK[[#This Row],[Precio Final]]-STOCK[[#This Row],[Costo total]]</f>
        <v>14.79</v>
      </c>
      <c r="X1295" s="76">
        <f>STOCK[[#This Row],[Ganancia Unitaria]]*STOCK[[#This Row],[Salidas]]</f>
        <v>14.79</v>
      </c>
      <c r="AA1295" s="76">
        <f>STOCK[[#This Row],[Costo total]]*STOCK[[#This Row],[Entradas]]</f>
        <v>26.42</v>
      </c>
      <c r="AB1295" s="76">
        <f>STOCK[[#This Row],[Stock Actual]]*STOCK[[#This Row],[Costo total]]</f>
        <v>13.21</v>
      </c>
    </row>
    <row r="1296" s="77" customFormat="1" ht="50" customHeight="1" spans="1:28">
      <c r="A1296" s="77" t="s">
        <v>2676</v>
      </c>
      <c r="B1296" s="6"/>
      <c r="C1296" s="77" t="s">
        <v>30</v>
      </c>
      <c r="D1296" s="77" t="s">
        <v>1749</v>
      </c>
      <c r="E1296" s="77" t="s">
        <v>2673</v>
      </c>
      <c r="F1296" s="77" t="s">
        <v>40</v>
      </c>
      <c r="H1296" s="77">
        <f>STOCK[[#This Row],[Precio Final]]</f>
        <v>28</v>
      </c>
      <c r="I1296" s="77">
        <f>STOCK[[#This Row],[Precio Venta Ideal (x1.5)]]</f>
        <v>19.8</v>
      </c>
      <c r="J1296" s="92">
        <v>2</v>
      </c>
      <c r="K1296" s="92">
        <f>SUMIFS(VENTAS[Cantidad],VENTAS[Código del producto Vendido],STOCK[[#This Row],[Code]])</f>
        <v>2</v>
      </c>
      <c r="L1296" s="92">
        <f>STOCK[[#This Row],[Entradas]]-STOCK[[#This Row],[Salidas]]</f>
        <v>0</v>
      </c>
      <c r="M1296" s="77">
        <f>STOCK[[#This Row],[Precio Final]]*10%</f>
        <v>2.8</v>
      </c>
      <c r="N1296" s="77">
        <v>0</v>
      </c>
      <c r="O1296" s="77">
        <v>0</v>
      </c>
      <c r="P1296" s="77">
        <v>8.43</v>
      </c>
      <c r="Q1296" s="92">
        <v>0</v>
      </c>
      <c r="R1296" s="77">
        <v>0</v>
      </c>
      <c r="S1296" s="77">
        <v>1.97</v>
      </c>
      <c r="T1296" s="76">
        <f>STOCK[[#This Row],[Costo Unitario (USD)]]+STOCK[[#This Row],[Costo Envío (USD)]]+STOCK[[#This Row],[Comisión 10%]]</f>
        <v>13.2</v>
      </c>
      <c r="U1296" s="77">
        <f>STOCK[[#This Row],[Costo total]]*1.5</f>
        <v>19.8</v>
      </c>
      <c r="V1296" s="77">
        <v>28</v>
      </c>
      <c r="W1296" s="77">
        <f>STOCK[[#This Row],[Precio Final]]-STOCK[[#This Row],[Costo total]]</f>
        <v>14.8</v>
      </c>
      <c r="X1296" s="77">
        <f>STOCK[[#This Row],[Ganancia Unitaria]]*STOCK[[#This Row],[Salidas]]</f>
        <v>29.6</v>
      </c>
      <c r="AA1296" s="77">
        <f>STOCK[[#This Row],[Costo total]]*STOCK[[#This Row],[Entradas]]</f>
        <v>26.4</v>
      </c>
      <c r="AB1296" s="77">
        <f>STOCK[[#This Row],[Stock Actual]]*STOCK[[#This Row],[Costo total]]</f>
        <v>0</v>
      </c>
    </row>
    <row r="1297" s="76" customFormat="1" ht="50" customHeight="1" spans="1:28">
      <c r="A1297" s="76" t="s">
        <v>2677</v>
      </c>
      <c r="B1297" s="6"/>
      <c r="C1297" s="76" t="s">
        <v>30</v>
      </c>
      <c r="D1297" s="76" t="s">
        <v>1188</v>
      </c>
      <c r="E1297" s="76" t="s">
        <v>2678</v>
      </c>
      <c r="F1297" s="76" t="s">
        <v>60</v>
      </c>
      <c r="H1297" s="76">
        <f>STOCK[[#This Row],[Precio Final]]</f>
        <v>20</v>
      </c>
      <c r="I1297" s="76">
        <f>STOCK[[#This Row],[Precio Venta Ideal (x1.5)]]</f>
        <v>22.725</v>
      </c>
      <c r="J1297" s="91">
        <v>1</v>
      </c>
      <c r="K1297" s="91">
        <f>SUMIFS(VENTAS[Cantidad],VENTAS[Código del producto Vendido],STOCK[[#This Row],[Code]])</f>
        <v>1</v>
      </c>
      <c r="L1297" s="91">
        <f>STOCK[[#This Row],[Entradas]]-STOCK[[#This Row],[Salidas]]</f>
        <v>0</v>
      </c>
      <c r="M1297" s="76">
        <f>STOCK[[#This Row],[Precio Final]]*10%</f>
        <v>2</v>
      </c>
      <c r="N1297" s="76">
        <v>0</v>
      </c>
      <c r="O1297" s="76">
        <v>0</v>
      </c>
      <c r="P1297" s="76">
        <v>11.18</v>
      </c>
      <c r="Q1297" s="91">
        <v>0</v>
      </c>
      <c r="R1297" s="76">
        <v>0</v>
      </c>
      <c r="S1297" s="77">
        <v>1.97</v>
      </c>
      <c r="T1297" s="76">
        <f>STOCK[[#This Row],[Costo Unitario (USD)]]+STOCK[[#This Row],[Costo Envío (USD)]]+STOCK[[#This Row],[Comisión 10%]]</f>
        <v>15.15</v>
      </c>
      <c r="U1297" s="76">
        <f>STOCK[[#This Row],[Costo total]]*1.5</f>
        <v>22.725</v>
      </c>
      <c r="V1297" s="76">
        <v>20</v>
      </c>
      <c r="W1297" s="76">
        <f>STOCK[[#This Row],[Precio Final]]-STOCK[[#This Row],[Costo total]]</f>
        <v>4.85</v>
      </c>
      <c r="X1297" s="76">
        <f>STOCK[[#This Row],[Ganancia Unitaria]]*STOCK[[#This Row],[Salidas]]</f>
        <v>4.85</v>
      </c>
      <c r="AA1297" s="76">
        <f>STOCK[[#This Row],[Costo total]]*STOCK[[#This Row],[Entradas]]</f>
        <v>15.15</v>
      </c>
      <c r="AB1297" s="76">
        <f>STOCK[[#This Row],[Stock Actual]]*STOCK[[#This Row],[Costo total]]</f>
        <v>0</v>
      </c>
    </row>
    <row r="1298" s="77" customFormat="1" ht="50" customHeight="1" spans="1:28">
      <c r="A1298" s="77" t="s">
        <v>2679</v>
      </c>
      <c r="B1298" s="6"/>
      <c r="C1298" s="77" t="s">
        <v>30</v>
      </c>
      <c r="D1298" s="77" t="s">
        <v>1188</v>
      </c>
      <c r="E1298" s="77" t="s">
        <v>2680</v>
      </c>
      <c r="F1298" s="77" t="s">
        <v>38</v>
      </c>
      <c r="H1298" s="77">
        <f>STOCK[[#This Row],[Precio Final]]</f>
        <v>8</v>
      </c>
      <c r="I1298" s="77">
        <f>STOCK[[#This Row],[Precio Venta Ideal (x1.5)]]</f>
        <v>8.07</v>
      </c>
      <c r="J1298" s="92">
        <v>1</v>
      </c>
      <c r="K1298" s="92">
        <f>SUMIFS(VENTAS[Cantidad],VENTAS[Código del producto Vendido],STOCK[[#This Row],[Code]])</f>
        <v>1</v>
      </c>
      <c r="L1298" s="92">
        <f>STOCK[[#This Row],[Entradas]]-STOCK[[#This Row],[Salidas]]</f>
        <v>0</v>
      </c>
      <c r="M1298" s="77">
        <f>STOCK[[#This Row],[Precio Final]]*10%</f>
        <v>0.8</v>
      </c>
      <c r="N1298" s="77">
        <v>0</v>
      </c>
      <c r="O1298" s="77">
        <v>0</v>
      </c>
      <c r="P1298" s="77">
        <v>2.61</v>
      </c>
      <c r="Q1298" s="92">
        <v>0</v>
      </c>
      <c r="R1298" s="77">
        <v>0</v>
      </c>
      <c r="S1298" s="77">
        <v>1.97</v>
      </c>
      <c r="T1298" s="76">
        <f>STOCK[[#This Row],[Costo Unitario (USD)]]+STOCK[[#This Row],[Costo Envío (USD)]]+STOCK[[#This Row],[Comisión 10%]]</f>
        <v>5.38</v>
      </c>
      <c r="U1298" s="77">
        <f>STOCK[[#This Row],[Costo total]]*1.5</f>
        <v>8.07</v>
      </c>
      <c r="V1298" s="77">
        <v>8</v>
      </c>
      <c r="W1298" s="77">
        <f>STOCK[[#This Row],[Precio Final]]-STOCK[[#This Row],[Costo total]]</f>
        <v>2.62</v>
      </c>
      <c r="X1298" s="77">
        <f>STOCK[[#This Row],[Ganancia Unitaria]]*STOCK[[#This Row],[Salidas]]</f>
        <v>2.62</v>
      </c>
      <c r="AA1298" s="77">
        <f>STOCK[[#This Row],[Costo total]]*STOCK[[#This Row],[Entradas]]</f>
        <v>5.38</v>
      </c>
      <c r="AB1298" s="77">
        <f>STOCK[[#This Row],[Stock Actual]]*STOCK[[#This Row],[Costo total]]</f>
        <v>0</v>
      </c>
    </row>
    <row r="1299" s="76" customFormat="1" ht="50" customHeight="1" spans="1:28">
      <c r="A1299" s="76" t="s">
        <v>2681</v>
      </c>
      <c r="B1299" s="6"/>
      <c r="C1299" s="76" t="s">
        <v>30</v>
      </c>
      <c r="D1299" s="76" t="s">
        <v>1188</v>
      </c>
      <c r="E1299" s="76" t="s">
        <v>2682</v>
      </c>
      <c r="F1299" s="76" t="s">
        <v>38</v>
      </c>
      <c r="H1299" s="76">
        <f>STOCK[[#This Row],[Precio Final]]</f>
        <v>5</v>
      </c>
      <c r="I1299" s="76">
        <f>STOCK[[#This Row],[Precio Venta Ideal (x1.5)]]</f>
        <v>4.26</v>
      </c>
      <c r="J1299" s="91">
        <v>1</v>
      </c>
      <c r="K1299" s="91">
        <f>SUMIFS(VENTAS[Cantidad],VENTAS[Código del producto Vendido],STOCK[[#This Row],[Code]])</f>
        <v>0</v>
      </c>
      <c r="L1299" s="91">
        <f>STOCK[[#This Row],[Entradas]]-STOCK[[#This Row],[Salidas]]</f>
        <v>1</v>
      </c>
      <c r="M1299" s="76">
        <f>STOCK[[#This Row],[Precio Final]]*10%</f>
        <v>0.5</v>
      </c>
      <c r="N1299" s="76">
        <v>0</v>
      </c>
      <c r="O1299" s="76">
        <v>0</v>
      </c>
      <c r="P1299" s="76">
        <v>1.84</v>
      </c>
      <c r="Q1299" s="91">
        <v>0</v>
      </c>
      <c r="R1299" s="76">
        <v>0</v>
      </c>
      <c r="S1299" s="77">
        <v>0.5</v>
      </c>
      <c r="T1299" s="76">
        <f>STOCK[[#This Row],[Costo Unitario (USD)]]+STOCK[[#This Row],[Costo Envío (USD)]]+STOCK[[#This Row],[Comisión 10%]]</f>
        <v>2.84</v>
      </c>
      <c r="U1299" s="76">
        <f>STOCK[[#This Row],[Costo total]]*1.5</f>
        <v>4.26</v>
      </c>
      <c r="V1299" s="76">
        <v>5</v>
      </c>
      <c r="W1299" s="76">
        <f>STOCK[[#This Row],[Precio Final]]-STOCK[[#This Row],[Costo total]]</f>
        <v>2.16</v>
      </c>
      <c r="X1299" s="76">
        <f>STOCK[[#This Row],[Ganancia Unitaria]]*STOCK[[#This Row],[Salidas]]</f>
        <v>0</v>
      </c>
      <c r="AA1299" s="76">
        <f>STOCK[[#This Row],[Costo total]]*STOCK[[#This Row],[Entradas]]</f>
        <v>2.84</v>
      </c>
      <c r="AB1299" s="76">
        <f>STOCK[[#This Row],[Stock Actual]]*STOCK[[#This Row],[Costo total]]</f>
        <v>2.84</v>
      </c>
    </row>
    <row r="1300" s="77" customFormat="1" ht="50" customHeight="1" spans="1:28">
      <c r="A1300" s="77" t="s">
        <v>2683</v>
      </c>
      <c r="B1300" s="6"/>
      <c r="C1300" s="77" t="s">
        <v>30</v>
      </c>
      <c r="D1300" s="77" t="s">
        <v>1188</v>
      </c>
      <c r="E1300" s="77" t="s">
        <v>2684</v>
      </c>
      <c r="F1300" s="77" t="s">
        <v>38</v>
      </c>
      <c r="H1300" s="77">
        <f>STOCK[[#This Row],[Precio Final]]</f>
        <v>22</v>
      </c>
      <c r="I1300" s="77">
        <f>STOCK[[#This Row],[Precio Venta Ideal (x1.5)]]</f>
        <v>22.335</v>
      </c>
      <c r="J1300" s="92">
        <v>1</v>
      </c>
      <c r="K1300" s="92">
        <f>SUMIFS(VENTAS[Cantidad],VENTAS[Código del producto Vendido],STOCK[[#This Row],[Code]])</f>
        <v>1</v>
      </c>
      <c r="L1300" s="92">
        <f>STOCK[[#This Row],[Entradas]]-STOCK[[#This Row],[Salidas]]</f>
        <v>0</v>
      </c>
      <c r="M1300" s="77">
        <f>STOCK[[#This Row],[Precio Final]]*10%</f>
        <v>2.2</v>
      </c>
      <c r="N1300" s="77">
        <v>0</v>
      </c>
      <c r="O1300" s="77">
        <v>0</v>
      </c>
      <c r="P1300" s="77">
        <v>10.72</v>
      </c>
      <c r="Q1300" s="92">
        <v>0</v>
      </c>
      <c r="R1300" s="77">
        <v>0</v>
      </c>
      <c r="S1300" s="77">
        <v>1.97</v>
      </c>
      <c r="T1300" s="76">
        <f>STOCK[[#This Row],[Costo Unitario (USD)]]+STOCK[[#This Row],[Costo Envío (USD)]]+STOCK[[#This Row],[Comisión 10%]]</f>
        <v>14.89</v>
      </c>
      <c r="U1300" s="77">
        <f>STOCK[[#This Row],[Costo total]]*1.5</f>
        <v>22.335</v>
      </c>
      <c r="V1300" s="77">
        <v>22</v>
      </c>
      <c r="W1300" s="77">
        <f>STOCK[[#This Row],[Precio Final]]-STOCK[[#This Row],[Costo total]]</f>
        <v>7.11</v>
      </c>
      <c r="X1300" s="77">
        <f>STOCK[[#This Row],[Ganancia Unitaria]]*STOCK[[#This Row],[Salidas]]</f>
        <v>7.11</v>
      </c>
      <c r="AA1300" s="77">
        <f>STOCK[[#This Row],[Costo total]]*STOCK[[#This Row],[Entradas]]</f>
        <v>14.89</v>
      </c>
      <c r="AB1300" s="77">
        <f>STOCK[[#This Row],[Stock Actual]]*STOCK[[#This Row],[Costo total]]</f>
        <v>0</v>
      </c>
    </row>
    <row r="1301" s="76" customFormat="1" ht="50" customHeight="1" spans="1:28">
      <c r="A1301" s="76" t="s">
        <v>2685</v>
      </c>
      <c r="B1301" s="6"/>
      <c r="C1301" s="76" t="s">
        <v>30</v>
      </c>
      <c r="D1301" s="76" t="s">
        <v>1210</v>
      </c>
      <c r="E1301" s="76" t="s">
        <v>2686</v>
      </c>
      <c r="F1301" s="76" t="s">
        <v>38</v>
      </c>
      <c r="H1301" s="76">
        <f>STOCK[[#This Row],[Precio Final]]</f>
        <v>20</v>
      </c>
      <c r="I1301" s="76">
        <f>STOCK[[#This Row],[Precio Venta Ideal (x1.5)]]</f>
        <v>18.165</v>
      </c>
      <c r="J1301" s="91">
        <v>1</v>
      </c>
      <c r="K1301" s="91">
        <f>SUMIFS(VENTAS[Cantidad],VENTAS[Código del producto Vendido],STOCK[[#This Row],[Code]])</f>
        <v>0</v>
      </c>
      <c r="L1301" s="91">
        <f>STOCK[[#This Row],[Entradas]]-STOCK[[#This Row],[Salidas]]</f>
        <v>1</v>
      </c>
      <c r="M1301" s="76">
        <f>STOCK[[#This Row],[Precio Final]]*10%</f>
        <v>2</v>
      </c>
      <c r="N1301" s="76">
        <v>0</v>
      </c>
      <c r="O1301" s="76">
        <v>0</v>
      </c>
      <c r="P1301" s="76">
        <v>8.14</v>
      </c>
      <c r="Q1301" s="91">
        <v>0</v>
      </c>
      <c r="R1301" s="76">
        <v>0</v>
      </c>
      <c r="S1301" s="77">
        <v>1.97</v>
      </c>
      <c r="T1301" s="76">
        <f>STOCK[[#This Row],[Costo Unitario (USD)]]+STOCK[[#This Row],[Costo Envío (USD)]]+STOCK[[#This Row],[Comisión 10%]]</f>
        <v>12.11</v>
      </c>
      <c r="U1301" s="76">
        <f>STOCK[[#This Row],[Costo total]]*1.5</f>
        <v>18.165</v>
      </c>
      <c r="V1301" s="76">
        <v>20</v>
      </c>
      <c r="W1301" s="76">
        <f>STOCK[[#This Row],[Precio Final]]-STOCK[[#This Row],[Costo total]]</f>
        <v>7.89</v>
      </c>
      <c r="X1301" s="76">
        <f>STOCK[[#This Row],[Ganancia Unitaria]]*STOCK[[#This Row],[Salidas]]</f>
        <v>0</v>
      </c>
      <c r="AA1301" s="76">
        <f>STOCK[[#This Row],[Costo total]]*STOCK[[#This Row],[Entradas]]</f>
        <v>12.11</v>
      </c>
      <c r="AB1301" s="76">
        <f>STOCK[[#This Row],[Stock Actual]]*STOCK[[#This Row],[Costo total]]</f>
        <v>12.11</v>
      </c>
    </row>
    <row r="1302" s="77" customFormat="1" ht="50" customHeight="1" spans="1:28">
      <c r="A1302" s="77" t="s">
        <v>2687</v>
      </c>
      <c r="B1302" s="6"/>
      <c r="C1302" s="77" t="s">
        <v>30</v>
      </c>
      <c r="D1302" s="77" t="s">
        <v>1210</v>
      </c>
      <c r="E1302" s="77" t="s">
        <v>2688</v>
      </c>
      <c r="F1302" s="77" t="s">
        <v>60</v>
      </c>
      <c r="H1302" s="77">
        <f>STOCK[[#This Row],[Precio Final]]</f>
        <v>18</v>
      </c>
      <c r="I1302" s="77">
        <f>STOCK[[#This Row],[Precio Venta Ideal (x1.5)]]</f>
        <v>17.88</v>
      </c>
      <c r="J1302" s="92">
        <v>1</v>
      </c>
      <c r="K1302" s="92">
        <f>SUMIFS(VENTAS[Cantidad],VENTAS[Código del producto Vendido],STOCK[[#This Row],[Code]])</f>
        <v>1</v>
      </c>
      <c r="L1302" s="92">
        <f>STOCK[[#This Row],[Entradas]]-STOCK[[#This Row],[Salidas]]</f>
        <v>0</v>
      </c>
      <c r="M1302" s="77">
        <f>STOCK[[#This Row],[Precio Final]]*10%</f>
        <v>1.8</v>
      </c>
      <c r="N1302" s="77">
        <v>0</v>
      </c>
      <c r="O1302" s="77">
        <v>0</v>
      </c>
      <c r="P1302" s="77">
        <v>8.15</v>
      </c>
      <c r="Q1302" s="92">
        <v>0</v>
      </c>
      <c r="R1302" s="77">
        <v>0</v>
      </c>
      <c r="S1302" s="77">
        <v>1.97</v>
      </c>
      <c r="T1302" s="76">
        <f>STOCK[[#This Row],[Costo Unitario (USD)]]+STOCK[[#This Row],[Costo Envío (USD)]]+STOCK[[#This Row],[Comisión 10%]]</f>
        <v>11.92</v>
      </c>
      <c r="U1302" s="77">
        <f>STOCK[[#This Row],[Costo total]]*1.5</f>
        <v>17.88</v>
      </c>
      <c r="V1302" s="77">
        <v>18</v>
      </c>
      <c r="W1302" s="77">
        <f>STOCK[[#This Row],[Precio Final]]-STOCK[[#This Row],[Costo total]]</f>
        <v>6.08</v>
      </c>
      <c r="X1302" s="77">
        <f>STOCK[[#This Row],[Ganancia Unitaria]]*STOCK[[#This Row],[Salidas]]</f>
        <v>6.08</v>
      </c>
      <c r="AA1302" s="77">
        <f>STOCK[[#This Row],[Costo total]]*STOCK[[#This Row],[Entradas]]</f>
        <v>11.92</v>
      </c>
      <c r="AB1302" s="77">
        <f>STOCK[[#This Row],[Stock Actual]]*STOCK[[#This Row],[Costo total]]</f>
        <v>0</v>
      </c>
    </row>
    <row r="1303" s="76" customFormat="1" ht="50" customHeight="1" spans="1:28">
      <c r="A1303" s="76" t="s">
        <v>2689</v>
      </c>
      <c r="B1303" s="6"/>
      <c r="C1303" s="76" t="s">
        <v>30</v>
      </c>
      <c r="D1303" s="76" t="s">
        <v>2125</v>
      </c>
      <c r="E1303" s="76" t="s">
        <v>2690</v>
      </c>
      <c r="F1303" s="76" t="s">
        <v>60</v>
      </c>
      <c r="H1303" s="76">
        <f>STOCK[[#This Row],[Precio Final]]</f>
        <v>25</v>
      </c>
      <c r="I1303" s="76">
        <f>STOCK[[#This Row],[Precio Venta Ideal (x1.5)]]</f>
        <v>22.17</v>
      </c>
      <c r="J1303" s="91">
        <v>1</v>
      </c>
      <c r="K1303" s="91">
        <f>SUMIFS(VENTAS[Cantidad],VENTAS[Código del producto Vendido],STOCK[[#This Row],[Code]])</f>
        <v>1</v>
      </c>
      <c r="L1303" s="91">
        <f>STOCK[[#This Row],[Entradas]]-STOCK[[#This Row],[Salidas]]</f>
        <v>0</v>
      </c>
      <c r="M1303" s="76">
        <f>STOCK[[#This Row],[Precio Final]]*10%</f>
        <v>2.5</v>
      </c>
      <c r="N1303" s="76">
        <v>0</v>
      </c>
      <c r="O1303" s="76">
        <v>0</v>
      </c>
      <c r="P1303" s="76">
        <v>10.31</v>
      </c>
      <c r="Q1303" s="91">
        <v>0</v>
      </c>
      <c r="R1303" s="76">
        <v>0</v>
      </c>
      <c r="S1303" s="77">
        <v>1.97</v>
      </c>
      <c r="T1303" s="76">
        <f>STOCK[[#This Row],[Costo Unitario (USD)]]+STOCK[[#This Row],[Costo Envío (USD)]]+STOCK[[#This Row],[Comisión 10%]]</f>
        <v>14.78</v>
      </c>
      <c r="U1303" s="76">
        <f>STOCK[[#This Row],[Costo total]]*1.5</f>
        <v>22.17</v>
      </c>
      <c r="V1303" s="76">
        <v>25</v>
      </c>
      <c r="W1303" s="76">
        <f>STOCK[[#This Row],[Precio Final]]-STOCK[[#This Row],[Costo total]]</f>
        <v>10.22</v>
      </c>
      <c r="X1303" s="76">
        <f>STOCK[[#This Row],[Ganancia Unitaria]]*STOCK[[#This Row],[Salidas]]</f>
        <v>10.22</v>
      </c>
      <c r="AA1303" s="76">
        <f>STOCK[[#This Row],[Costo total]]*STOCK[[#This Row],[Entradas]]</f>
        <v>14.78</v>
      </c>
      <c r="AB1303" s="76">
        <f>STOCK[[#This Row],[Stock Actual]]*STOCK[[#This Row],[Costo total]]</f>
        <v>0</v>
      </c>
    </row>
    <row r="1304" s="77" customFormat="1" ht="50" customHeight="1" spans="1:28">
      <c r="A1304" s="77" t="s">
        <v>2691</v>
      </c>
      <c r="B1304" s="6"/>
      <c r="C1304" s="77" t="s">
        <v>30</v>
      </c>
      <c r="D1304" s="77" t="s">
        <v>391</v>
      </c>
      <c r="E1304" s="77" t="s">
        <v>2692</v>
      </c>
      <c r="H1304" s="77">
        <f>STOCK[[#This Row],[Precio Final]]</f>
        <v>40</v>
      </c>
      <c r="I1304" s="77">
        <f>STOCK[[#This Row],[Precio Venta Ideal (x1.5)]]</f>
        <v>30.555</v>
      </c>
      <c r="J1304" s="92">
        <v>1</v>
      </c>
      <c r="K1304" s="92">
        <f>SUMIFS(VENTAS[Cantidad],VENTAS[Código del producto Vendido],STOCK[[#This Row],[Code]])</f>
        <v>1</v>
      </c>
      <c r="L1304" s="92">
        <f>STOCK[[#This Row],[Entradas]]-STOCK[[#This Row],[Salidas]]</f>
        <v>0</v>
      </c>
      <c r="M1304" s="77">
        <f>STOCK[[#This Row],[Precio Final]]*10%</f>
        <v>4</v>
      </c>
      <c r="N1304" s="76">
        <v>0</v>
      </c>
      <c r="O1304" s="76">
        <v>0</v>
      </c>
      <c r="P1304" s="77">
        <v>14.4</v>
      </c>
      <c r="Q1304" s="92">
        <v>0</v>
      </c>
      <c r="R1304" s="77">
        <v>0</v>
      </c>
      <c r="S1304" s="77">
        <v>1.97</v>
      </c>
      <c r="T1304" s="76">
        <f>STOCK[[#This Row],[Costo Unitario (USD)]]+STOCK[[#This Row],[Costo Envío (USD)]]+STOCK[[#This Row],[Comisión 10%]]</f>
        <v>20.37</v>
      </c>
      <c r="U1304" s="77">
        <f>STOCK[[#This Row],[Costo total]]*1.5</f>
        <v>30.555</v>
      </c>
      <c r="V1304" s="77">
        <v>40</v>
      </c>
      <c r="W1304" s="77">
        <f>STOCK[[#This Row],[Precio Final]]-STOCK[[#This Row],[Costo total]]</f>
        <v>19.63</v>
      </c>
      <c r="X1304" s="77">
        <f>STOCK[[#This Row],[Ganancia Unitaria]]*STOCK[[#This Row],[Salidas]]</f>
        <v>19.63</v>
      </c>
      <c r="AA1304" s="77">
        <f>STOCK[[#This Row],[Costo total]]*STOCK[[#This Row],[Entradas]]</f>
        <v>20.37</v>
      </c>
      <c r="AB1304" s="77">
        <f>STOCK[[#This Row],[Stock Actual]]*STOCK[[#This Row],[Costo total]]</f>
        <v>0</v>
      </c>
    </row>
    <row r="1305" s="76" customFormat="1" ht="50" customHeight="1" spans="1:28">
      <c r="A1305" s="76" t="s">
        <v>2693</v>
      </c>
      <c r="B1305" s="6"/>
      <c r="C1305" s="76" t="s">
        <v>30</v>
      </c>
      <c r="D1305" s="76" t="s">
        <v>391</v>
      </c>
      <c r="E1305" s="76" t="s">
        <v>2694</v>
      </c>
      <c r="H1305" s="76">
        <f>STOCK[[#This Row],[Precio Final]]</f>
        <v>40</v>
      </c>
      <c r="I1305" s="76">
        <f>STOCK[[#This Row],[Precio Venta Ideal (x1.5)]]</f>
        <v>30.555</v>
      </c>
      <c r="J1305" s="91">
        <v>1</v>
      </c>
      <c r="K1305" s="91">
        <f>SUMIFS(VENTAS[Cantidad],VENTAS[Código del producto Vendido],STOCK[[#This Row],[Code]])</f>
        <v>1</v>
      </c>
      <c r="L1305" s="91">
        <f>STOCK[[#This Row],[Entradas]]-STOCK[[#This Row],[Salidas]]</f>
        <v>0</v>
      </c>
      <c r="M1305" s="76">
        <f>STOCK[[#This Row],[Precio Final]]*10%</f>
        <v>4</v>
      </c>
      <c r="N1305" s="76">
        <v>0</v>
      </c>
      <c r="O1305" s="76">
        <v>0</v>
      </c>
      <c r="P1305" s="77">
        <v>14.4</v>
      </c>
      <c r="Q1305" s="91">
        <v>0</v>
      </c>
      <c r="R1305" s="76">
        <v>0</v>
      </c>
      <c r="S1305" s="77">
        <v>1.97</v>
      </c>
      <c r="T1305" s="76">
        <f>STOCK[[#This Row],[Costo Unitario (USD)]]+STOCK[[#This Row],[Costo Envío (USD)]]+STOCK[[#This Row],[Comisión 10%]]</f>
        <v>20.37</v>
      </c>
      <c r="U1305" s="76">
        <f>STOCK[[#This Row],[Costo total]]*1.5</f>
        <v>30.555</v>
      </c>
      <c r="V1305" s="76">
        <v>40</v>
      </c>
      <c r="W1305" s="76">
        <f>STOCK[[#This Row],[Precio Final]]-STOCK[[#This Row],[Costo total]]</f>
        <v>19.63</v>
      </c>
      <c r="X1305" s="76">
        <f>STOCK[[#This Row],[Ganancia Unitaria]]*STOCK[[#This Row],[Salidas]]</f>
        <v>19.63</v>
      </c>
      <c r="AA1305" s="76">
        <f>STOCK[[#This Row],[Costo total]]*STOCK[[#This Row],[Entradas]]</f>
        <v>20.37</v>
      </c>
      <c r="AB1305" s="76">
        <f>STOCK[[#This Row],[Stock Actual]]*STOCK[[#This Row],[Costo total]]</f>
        <v>0</v>
      </c>
    </row>
    <row r="1306" s="77" customFormat="1" ht="50" customHeight="1" spans="1:28">
      <c r="A1306" s="77" t="s">
        <v>2695</v>
      </c>
      <c r="B1306" s="6"/>
      <c r="C1306" s="77" t="s">
        <v>30</v>
      </c>
      <c r="D1306" s="76" t="s">
        <v>391</v>
      </c>
      <c r="E1306" s="76" t="s">
        <v>2696</v>
      </c>
      <c r="F1306" s="77" t="s">
        <v>2697</v>
      </c>
      <c r="H1306" s="77">
        <f>STOCK[[#This Row],[Precio Final]]</f>
        <v>40</v>
      </c>
      <c r="I1306" s="77">
        <f>STOCK[[#This Row],[Precio Venta Ideal (x1.5)]]</f>
        <v>30.555</v>
      </c>
      <c r="J1306" s="92">
        <v>1</v>
      </c>
      <c r="K1306" s="92">
        <f>SUMIFS(VENTAS[Cantidad],VENTAS[Código del producto Vendido],STOCK[[#This Row],[Code]])</f>
        <v>1</v>
      </c>
      <c r="L1306" s="92">
        <f>STOCK[[#This Row],[Entradas]]-STOCK[[#This Row],[Salidas]]</f>
        <v>0</v>
      </c>
      <c r="M1306" s="77">
        <f>STOCK[[#This Row],[Precio Final]]*10%</f>
        <v>4</v>
      </c>
      <c r="N1306" s="76">
        <v>0</v>
      </c>
      <c r="O1306" s="76">
        <v>0</v>
      </c>
      <c r="P1306" s="77">
        <v>14.4</v>
      </c>
      <c r="Q1306" s="92">
        <v>0</v>
      </c>
      <c r="R1306" s="77">
        <v>0</v>
      </c>
      <c r="S1306" s="77">
        <v>1.97</v>
      </c>
      <c r="T1306" s="76">
        <f>STOCK[[#This Row],[Costo Unitario (USD)]]+STOCK[[#This Row],[Costo Envío (USD)]]+STOCK[[#This Row],[Comisión 10%]]</f>
        <v>20.37</v>
      </c>
      <c r="U1306" s="77">
        <f>STOCK[[#This Row],[Costo total]]*1.5</f>
        <v>30.555</v>
      </c>
      <c r="V1306" s="77">
        <v>40</v>
      </c>
      <c r="W1306" s="77">
        <f>STOCK[[#This Row],[Precio Final]]-STOCK[[#This Row],[Costo total]]</f>
        <v>19.63</v>
      </c>
      <c r="X1306" s="77">
        <f>STOCK[[#This Row],[Ganancia Unitaria]]*STOCK[[#This Row],[Salidas]]</f>
        <v>19.63</v>
      </c>
      <c r="AA1306" s="77">
        <f>STOCK[[#This Row],[Costo total]]*STOCK[[#This Row],[Entradas]]</f>
        <v>20.37</v>
      </c>
      <c r="AB1306" s="77">
        <f>STOCK[[#This Row],[Stock Actual]]*STOCK[[#This Row],[Costo total]]</f>
        <v>0</v>
      </c>
    </row>
    <row r="1307" s="76" customFormat="1" ht="50" customHeight="1" spans="1:28">
      <c r="A1307" s="76" t="s">
        <v>2698</v>
      </c>
      <c r="C1307" s="76" t="s">
        <v>30</v>
      </c>
      <c r="D1307" s="76" t="s">
        <v>391</v>
      </c>
      <c r="E1307" s="76" t="s">
        <v>2699</v>
      </c>
      <c r="F1307" s="76" t="s">
        <v>2697</v>
      </c>
      <c r="H1307" s="76">
        <f>STOCK[[#This Row],[Precio Final]]</f>
        <v>40</v>
      </c>
      <c r="I1307" s="76">
        <f>STOCK[[#This Row],[Precio Venta Ideal (x1.5)]]</f>
        <v>30.555</v>
      </c>
      <c r="J1307" s="91">
        <v>1</v>
      </c>
      <c r="K1307" s="91">
        <f>SUMIFS(VENTAS[Cantidad],VENTAS[Código del producto Vendido],STOCK[[#This Row],[Code]])</f>
        <v>0</v>
      </c>
      <c r="L1307" s="91">
        <f>STOCK[[#This Row],[Entradas]]-STOCK[[#This Row],[Salidas]]</f>
        <v>1</v>
      </c>
      <c r="M1307" s="76">
        <f>STOCK[[#This Row],[Precio Final]]*10%</f>
        <v>4</v>
      </c>
      <c r="N1307" s="76">
        <v>0</v>
      </c>
      <c r="O1307" s="76">
        <v>0</v>
      </c>
      <c r="P1307" s="77">
        <v>14.4</v>
      </c>
      <c r="Q1307" s="91">
        <v>0</v>
      </c>
      <c r="R1307" s="76">
        <v>0</v>
      </c>
      <c r="S1307" s="77">
        <v>1.97</v>
      </c>
      <c r="T1307" s="76">
        <f>STOCK[[#This Row],[Costo Unitario (USD)]]+STOCK[[#This Row],[Costo Envío (USD)]]+STOCK[[#This Row],[Comisión 10%]]</f>
        <v>20.37</v>
      </c>
      <c r="U1307" s="77">
        <f>STOCK[[#This Row],[Costo total]]*1.5</f>
        <v>30.555</v>
      </c>
      <c r="V1307" s="76">
        <v>40</v>
      </c>
      <c r="W1307" s="76">
        <f>STOCK[[#This Row],[Precio Final]]-STOCK[[#This Row],[Costo total]]</f>
        <v>19.63</v>
      </c>
      <c r="X1307" s="76">
        <f>STOCK[[#This Row],[Ganancia Unitaria]]*STOCK[[#This Row],[Salidas]]</f>
        <v>0</v>
      </c>
      <c r="AA1307" s="76">
        <f>STOCK[[#This Row],[Costo total]]*STOCK[[#This Row],[Entradas]]</f>
        <v>20.37</v>
      </c>
      <c r="AB1307" s="76">
        <f>STOCK[[#This Row],[Stock Actual]]*STOCK[[#This Row],[Costo total]]</f>
        <v>20.37</v>
      </c>
    </row>
    <row r="1308" s="76" customFormat="1" ht="50" customHeight="1" spans="1:29">
      <c r="A1308" s="76" t="s">
        <v>2700</v>
      </c>
      <c r="C1308" s="76" t="s">
        <v>30</v>
      </c>
      <c r="D1308" s="76" t="s">
        <v>391</v>
      </c>
      <c r="E1308" s="76" t="s">
        <v>2701</v>
      </c>
      <c r="F1308" s="94" t="s">
        <v>2702</v>
      </c>
      <c r="G1308" s="94"/>
      <c r="H1308" s="94">
        <f>STOCK[[#This Row],[Precio Final]]</f>
        <v>20</v>
      </c>
      <c r="I1308" s="94">
        <f>STOCK[[#This Row],[Precio Venta Ideal (x1.5)]]</f>
        <v>12</v>
      </c>
      <c r="J1308" s="96">
        <v>1</v>
      </c>
      <c r="K1308" s="96">
        <f>SUMIFS(VENTAS[Cantidad],VENTAS[Código del producto Vendido],STOCK[[#This Row],[Code]])</f>
        <v>1</v>
      </c>
      <c r="L1308" s="96">
        <f>STOCK[[#This Row],[Entradas]]-STOCK[[#This Row],[Salidas]]</f>
        <v>0</v>
      </c>
      <c r="M1308" s="94">
        <f>STOCK[[#This Row],[Precio Final]]*10%</f>
        <v>2</v>
      </c>
      <c r="N1308" s="76">
        <v>0</v>
      </c>
      <c r="O1308" s="76">
        <v>0</v>
      </c>
      <c r="P1308" s="77">
        <v>7.25</v>
      </c>
      <c r="Q1308" s="96">
        <v>0</v>
      </c>
      <c r="R1308" s="94">
        <v>0</v>
      </c>
      <c r="S1308" s="77">
        <v>1.97</v>
      </c>
      <c r="T1308" s="94">
        <f>STOCK[[#This Row],[Costo Unitario (USD)]]+STOCK[[#This Row],[Costo Envío (USD)]]+STOCK[[#This Row],[Comisión 10%]]</f>
        <v>11.22</v>
      </c>
      <c r="U1308" s="77">
        <f>ROUNDUP(T1308,0)</f>
        <v>12</v>
      </c>
      <c r="V1308" s="94">
        <v>20</v>
      </c>
      <c r="W1308" s="94">
        <f>STOCK[[#This Row],[Precio Final]]-STOCK[[#This Row],[Costo total]]</f>
        <v>8.78</v>
      </c>
      <c r="X1308" s="94">
        <f>STOCK[[#This Row],[Ganancia Unitaria]]*STOCK[[#This Row],[Salidas]]</f>
        <v>8.78</v>
      </c>
      <c r="Y1308" s="94"/>
      <c r="Z1308" s="94"/>
      <c r="AA1308" s="94">
        <f>STOCK[[#This Row],[Costo total]]*STOCK[[#This Row],[Entradas]]</f>
        <v>11.22</v>
      </c>
      <c r="AB1308" s="94">
        <f>STOCK[[#This Row],[Stock Actual]]*STOCK[[#This Row],[Costo total]]</f>
        <v>0</v>
      </c>
      <c r="AC1308" s="94"/>
    </row>
    <row r="1309" s="77" customFormat="1" ht="50" customHeight="1" spans="1:29">
      <c r="A1309" s="76" t="s">
        <v>2703</v>
      </c>
      <c r="B1309" s="76"/>
      <c r="C1309" s="76" t="s">
        <v>30</v>
      </c>
      <c r="D1309" s="76" t="s">
        <v>391</v>
      </c>
      <c r="E1309" s="76" t="s">
        <v>2704</v>
      </c>
      <c r="F1309" s="94" t="s">
        <v>2702</v>
      </c>
      <c r="G1309" s="94"/>
      <c r="H1309" s="94">
        <f>STOCK[[#This Row],[Precio Final]]</f>
        <v>22</v>
      </c>
      <c r="I1309" s="94">
        <f>STOCK[[#This Row],[Precio Venta Ideal (x1.5)]]</f>
        <v>17.13</v>
      </c>
      <c r="J1309" s="96">
        <v>1</v>
      </c>
      <c r="K1309" s="96">
        <f>SUMIFS(VENTAS[Cantidad],VENTAS[Código del producto Vendido],STOCK[[#This Row],[Code]])</f>
        <v>0</v>
      </c>
      <c r="L1309" s="96">
        <f>STOCK[[#This Row],[Entradas]]-STOCK[[#This Row],[Salidas]]</f>
        <v>1</v>
      </c>
      <c r="M1309" s="94">
        <f>STOCK[[#This Row],[Precio Final]]*10%</f>
        <v>2.2</v>
      </c>
      <c r="N1309" s="76">
        <v>0</v>
      </c>
      <c r="O1309" s="76">
        <v>0</v>
      </c>
      <c r="P1309" s="77">
        <v>7.25</v>
      </c>
      <c r="Q1309" s="96">
        <v>0</v>
      </c>
      <c r="R1309" s="94">
        <v>0</v>
      </c>
      <c r="S1309" s="77">
        <v>1.97</v>
      </c>
      <c r="T1309" s="94">
        <f>STOCK[[#This Row],[Costo Unitario (USD)]]+STOCK[[#This Row],[Costo Envío (USD)]]+STOCK[[#This Row],[Comisión 10%]]</f>
        <v>11.42</v>
      </c>
      <c r="U1309" s="77">
        <f>STOCK[[#This Row],[Costo total]]*1.5</f>
        <v>17.13</v>
      </c>
      <c r="V1309" s="94">
        <v>22</v>
      </c>
      <c r="W1309" s="94">
        <f>STOCK[[#This Row],[Precio Final]]-STOCK[[#This Row],[Costo total]]</f>
        <v>10.58</v>
      </c>
      <c r="X1309" s="94">
        <f>STOCK[[#This Row],[Ganancia Unitaria]]*STOCK[[#This Row],[Salidas]]</f>
        <v>0</v>
      </c>
      <c r="Y1309" s="94"/>
      <c r="Z1309" s="94"/>
      <c r="AA1309" s="94">
        <f>STOCK[[#This Row],[Costo total]]*STOCK[[#This Row],[Entradas]]</f>
        <v>11.42</v>
      </c>
      <c r="AB1309" s="94">
        <f>STOCK[[#This Row],[Stock Actual]]*STOCK[[#This Row],[Costo total]]</f>
        <v>11.42</v>
      </c>
      <c r="AC1309" s="94"/>
    </row>
    <row r="1310" s="76" customFormat="1" ht="50" customHeight="1" spans="1:29">
      <c r="A1310" s="76" t="s">
        <v>2705</v>
      </c>
      <c r="B1310" s="94"/>
      <c r="C1310" s="76" t="s">
        <v>30</v>
      </c>
      <c r="D1310" s="76" t="s">
        <v>391</v>
      </c>
      <c r="E1310" s="76" t="s">
        <v>2706</v>
      </c>
      <c r="F1310" s="94" t="s">
        <v>2707</v>
      </c>
      <c r="G1310" s="94"/>
      <c r="H1310" s="94">
        <v>22</v>
      </c>
      <c r="I1310" s="94">
        <f>STOCK[[#This Row],[Precio Venta Ideal (x1.5)]]</f>
        <v>16.83</v>
      </c>
      <c r="J1310" s="96">
        <v>1</v>
      </c>
      <c r="K1310" s="96">
        <f>SUMIFS(VENTAS[Cantidad],VENTAS[Código del producto Vendido],STOCK[[#This Row],[Code]])</f>
        <v>1</v>
      </c>
      <c r="L1310" s="96">
        <f>STOCK[[#This Row],[Entradas]]-STOCK[[#This Row],[Salidas]]</f>
        <v>0</v>
      </c>
      <c r="M1310" s="94">
        <f>STOCK[[#This Row],[Precio Final]]*10%</f>
        <v>2</v>
      </c>
      <c r="N1310" s="76">
        <v>0</v>
      </c>
      <c r="O1310" s="76">
        <v>0</v>
      </c>
      <c r="P1310" s="77">
        <v>7.25</v>
      </c>
      <c r="Q1310" s="96">
        <v>0</v>
      </c>
      <c r="R1310" s="94">
        <v>0</v>
      </c>
      <c r="S1310" s="77">
        <v>1.97</v>
      </c>
      <c r="T1310" s="94">
        <f>STOCK[[#This Row],[Costo Unitario (USD)]]+STOCK[[#This Row],[Costo Envío (USD)]]+STOCK[[#This Row],[Comisión 10%]]</f>
        <v>11.22</v>
      </c>
      <c r="U1310" s="77">
        <f>STOCK[[#This Row],[Costo total]]*1.5</f>
        <v>16.83</v>
      </c>
      <c r="V1310" s="94">
        <v>20</v>
      </c>
      <c r="W1310" s="94">
        <f>STOCK[[#This Row],[Precio Final]]-STOCK[[#This Row],[Costo total]]</f>
        <v>8.78</v>
      </c>
      <c r="X1310" s="94">
        <f>STOCK[[#This Row],[Ganancia Unitaria]]*STOCK[[#This Row],[Salidas]]</f>
        <v>8.78</v>
      </c>
      <c r="Y1310" s="94"/>
      <c r="Z1310" s="94"/>
      <c r="AA1310" s="94">
        <f>STOCK[[#This Row],[Costo total]]*STOCK[[#This Row],[Entradas]]</f>
        <v>11.22</v>
      </c>
      <c r="AB1310" s="94">
        <f>STOCK[[#This Row],[Stock Actual]]*STOCK[[#This Row],[Costo total]]</f>
        <v>0</v>
      </c>
      <c r="AC1310" s="94"/>
    </row>
    <row r="1311" s="76" customFormat="1" ht="50" customHeight="1" spans="1:29">
      <c r="A1311" s="76" t="s">
        <v>2708</v>
      </c>
      <c r="B1311" s="94"/>
      <c r="C1311" s="76" t="s">
        <v>30</v>
      </c>
      <c r="D1311" s="76" t="s">
        <v>391</v>
      </c>
      <c r="E1311" s="76" t="s">
        <v>2709</v>
      </c>
      <c r="F1311" s="94" t="s">
        <v>2707</v>
      </c>
      <c r="G1311" s="94"/>
      <c r="H1311" s="94">
        <v>20</v>
      </c>
      <c r="I1311" s="94">
        <f>STOCK[[#This Row],[Precio Venta Ideal (x1.5)]]</f>
        <v>12</v>
      </c>
      <c r="J1311" s="96">
        <v>1</v>
      </c>
      <c r="K1311" s="96">
        <f>SUMIFS(VENTAS[Cantidad],VENTAS[Código del producto Vendido],STOCK[[#This Row],[Code]])</f>
        <v>0</v>
      </c>
      <c r="L1311" s="96">
        <f>STOCK[[#This Row],[Entradas]]-STOCK[[#This Row],[Salidas]]</f>
        <v>1</v>
      </c>
      <c r="M1311" s="94">
        <f>STOCK[[#This Row],[Precio Final]]*10%</f>
        <v>2.2</v>
      </c>
      <c r="N1311" s="94">
        <v>0</v>
      </c>
      <c r="O1311" s="94">
        <v>0</v>
      </c>
      <c r="P1311" s="94">
        <v>7.25</v>
      </c>
      <c r="Q1311" s="96">
        <v>0</v>
      </c>
      <c r="R1311" s="94">
        <v>0</v>
      </c>
      <c r="S1311" s="77">
        <v>1.97</v>
      </c>
      <c r="T1311" s="94">
        <f>STOCK[[#This Row],[Costo Unitario (USD)]]+STOCK[[#This Row],[Costo Envío (USD)]]+STOCK[[#This Row],[Comisión 10%]]</f>
        <v>11.42</v>
      </c>
      <c r="U1311" s="94">
        <f>ROUNDUP(T1311,0)</f>
        <v>12</v>
      </c>
      <c r="V1311" s="94">
        <v>22</v>
      </c>
      <c r="W1311" s="94">
        <f>STOCK[[#This Row],[Precio Final]]-STOCK[[#This Row],[Costo total]]</f>
        <v>10.58</v>
      </c>
      <c r="X1311" s="94">
        <f>STOCK[[#This Row],[Ganancia Unitaria]]*STOCK[[#This Row],[Salidas]]</f>
        <v>0</v>
      </c>
      <c r="Y1311" s="94"/>
      <c r="Z1311" s="94"/>
      <c r="AA1311" s="94">
        <f>STOCK[[#This Row],[Costo total]]*STOCK[[#This Row],[Entradas]]</f>
        <v>11.42</v>
      </c>
      <c r="AB1311" s="94">
        <f>STOCK[[#This Row],[Stock Actual]]*STOCK[[#This Row],[Costo total]]</f>
        <v>11.42</v>
      </c>
      <c r="AC1311" s="94"/>
    </row>
    <row r="1312" s="77" customFormat="1" ht="50" customHeight="1" spans="1:29">
      <c r="A1312" s="76" t="s">
        <v>2710</v>
      </c>
      <c r="B1312" s="94"/>
      <c r="C1312" s="76" t="s">
        <v>30</v>
      </c>
      <c r="D1312" s="76" t="s">
        <v>391</v>
      </c>
      <c r="E1312" s="76" t="s">
        <v>2711</v>
      </c>
      <c r="F1312" s="94"/>
      <c r="G1312" s="94"/>
      <c r="H1312" s="94">
        <f>STOCK[[#This Row],[Precio Final]]</f>
        <v>40</v>
      </c>
      <c r="I1312" s="94">
        <f>STOCK[[#This Row],[Precio Venta Ideal (x1.5)]]</f>
        <v>21</v>
      </c>
      <c r="J1312" s="96">
        <v>1</v>
      </c>
      <c r="K1312" s="96">
        <f>SUMIFS(VENTAS[Cantidad],VENTAS[Código del producto Vendido],STOCK[[#This Row],[Code]])</f>
        <v>1</v>
      </c>
      <c r="L1312" s="96">
        <f>STOCK[[#This Row],[Entradas]]-STOCK[[#This Row],[Salidas]]</f>
        <v>0</v>
      </c>
      <c r="M1312" s="94">
        <f>STOCK[[#This Row],[Precio Final]]*10%</f>
        <v>4</v>
      </c>
      <c r="N1312" s="94">
        <v>0</v>
      </c>
      <c r="O1312" s="94">
        <v>0</v>
      </c>
      <c r="P1312" s="94">
        <v>14.4</v>
      </c>
      <c r="Q1312" s="96">
        <v>0</v>
      </c>
      <c r="R1312" s="94">
        <v>0</v>
      </c>
      <c r="S1312" s="94">
        <v>1.97</v>
      </c>
      <c r="T1312" s="94">
        <f>STOCK[[#This Row],[Costo Unitario (USD)]]+STOCK[[#This Row],[Costo Envío (USD)]]+STOCK[[#This Row],[Comisión 10%]]</f>
        <v>20.37</v>
      </c>
      <c r="U1312" s="94">
        <f>ROUNDUP(T1312,0)</f>
        <v>21</v>
      </c>
      <c r="V1312" s="94">
        <v>40</v>
      </c>
      <c r="W1312" s="94">
        <f>STOCK[[#This Row],[Precio Final]]-STOCK[[#This Row],[Costo total]]</f>
        <v>19.63</v>
      </c>
      <c r="X1312" s="94">
        <f>STOCK[[#This Row],[Ganancia Unitaria]]*STOCK[[#This Row],[Salidas]]</f>
        <v>19.63</v>
      </c>
      <c r="Y1312" s="94"/>
      <c r="Z1312" s="94"/>
      <c r="AA1312" s="94">
        <f>STOCK[[#This Row],[Costo total]]*STOCK[[#This Row],[Entradas]]</f>
        <v>20.37</v>
      </c>
      <c r="AB1312" s="94">
        <f>STOCK[[#This Row],[Stock Actual]]*STOCK[[#This Row],[Costo total]]</f>
        <v>0</v>
      </c>
      <c r="AC1312" s="94"/>
    </row>
    <row r="1313" s="76" customFormat="1" ht="50" customHeight="1" spans="1:28">
      <c r="A1313" s="76" t="s">
        <v>2712</v>
      </c>
      <c r="B1313" s="6"/>
      <c r="C1313" s="76" t="s">
        <v>30</v>
      </c>
      <c r="D1313" s="76" t="s">
        <v>1480</v>
      </c>
      <c r="E1313" s="76" t="s">
        <v>2458</v>
      </c>
      <c r="F1313" s="76" t="s">
        <v>516</v>
      </c>
      <c r="G1313" s="76" t="s">
        <v>2448</v>
      </c>
      <c r="H1313" s="76">
        <f>STOCK[[#This Row],[Precio Final]]</f>
        <v>45</v>
      </c>
      <c r="I1313" s="76">
        <f>STOCK[[#This Row],[Precio Venta Ideal (x1.5)]]</f>
        <v>43.455</v>
      </c>
      <c r="J1313" s="91">
        <v>2</v>
      </c>
      <c r="K1313" s="96">
        <f>SUMIFS(VENTAS[Cantidad],VENTAS[Código del producto Vendido],STOCK[[#This Row],[Code]])</f>
        <v>0</v>
      </c>
      <c r="L1313" s="91">
        <f>STOCK[[#This Row],[Entradas]]-STOCK[[#This Row],[Salidas]]</f>
        <v>2</v>
      </c>
      <c r="M1313" s="76">
        <f>STOCK[[#This Row],[Precio Final]]*10%</f>
        <v>4.5</v>
      </c>
      <c r="N1313" s="76">
        <v>0</v>
      </c>
      <c r="O1313" s="76">
        <v>0</v>
      </c>
      <c r="P1313" s="76">
        <v>22.5</v>
      </c>
      <c r="Q1313" s="91">
        <v>0</v>
      </c>
      <c r="R1313" s="76">
        <v>0</v>
      </c>
      <c r="S1313" s="76">
        <v>1.97</v>
      </c>
      <c r="T1313" s="76">
        <f>STOCK[[#This Row],[Costo Unitario (USD)]]+STOCK[[#This Row],[Costo Envío (USD)]]+STOCK[[#This Row],[Comisión 10%]]</f>
        <v>28.97</v>
      </c>
      <c r="U1313" s="76">
        <f>STOCK[[#This Row],[Costo total]]*1.5</f>
        <v>43.455</v>
      </c>
      <c r="V1313" s="76">
        <v>45</v>
      </c>
      <c r="W1313" s="76">
        <f>STOCK[[#This Row],[Precio Final]]-STOCK[[#This Row],[Costo total]]</f>
        <v>16.03</v>
      </c>
      <c r="X1313" s="76">
        <f>STOCK[[#This Row],[Ganancia Unitaria]]*STOCK[[#This Row],[Salidas]]</f>
        <v>0</v>
      </c>
      <c r="Y1313" s="76" t="s">
        <v>2449</v>
      </c>
      <c r="AA1313" s="76">
        <f>STOCK[[#This Row],[Costo total]]*STOCK[[#This Row],[Entradas]]</f>
        <v>57.94</v>
      </c>
      <c r="AB1313" s="76">
        <f>STOCK[[#This Row],[Stock Actual]]*STOCK[[#This Row],[Costo total]]</f>
        <v>57.94</v>
      </c>
    </row>
    <row r="1314" s="76" customFormat="1" ht="50" customHeight="1" spans="1:28">
      <c r="A1314" s="76" t="s">
        <v>2713</v>
      </c>
      <c r="B1314" s="6"/>
      <c r="C1314" s="76" t="s">
        <v>30</v>
      </c>
      <c r="D1314" s="76" t="s">
        <v>1480</v>
      </c>
      <c r="E1314" s="76" t="s">
        <v>2458</v>
      </c>
      <c r="F1314" s="76" t="s">
        <v>764</v>
      </c>
      <c r="G1314" s="76" t="s">
        <v>2448</v>
      </c>
      <c r="H1314" s="76">
        <f>STOCK[[#This Row],[Precio Final]]</f>
        <v>46</v>
      </c>
      <c r="I1314" s="76">
        <f>STOCK[[#This Row],[Precio Venta Ideal (x1.5)]]</f>
        <v>43.605</v>
      </c>
      <c r="J1314" s="91">
        <v>2</v>
      </c>
      <c r="K1314" s="96">
        <f>SUMIFS(VENTAS[Cantidad],VENTAS[Código del producto Vendido],STOCK[[#This Row],[Code]])</f>
        <v>2</v>
      </c>
      <c r="L1314" s="91">
        <f>STOCK[[#This Row],[Entradas]]-STOCK[[#This Row],[Salidas]]</f>
        <v>0</v>
      </c>
      <c r="M1314" s="76">
        <f>STOCK[[#This Row],[Precio Final]]*10%</f>
        <v>4.6</v>
      </c>
      <c r="N1314" s="76">
        <v>0</v>
      </c>
      <c r="O1314" s="76">
        <v>0</v>
      </c>
      <c r="P1314" s="76">
        <v>22.5</v>
      </c>
      <c r="Q1314" s="91">
        <v>0</v>
      </c>
      <c r="R1314" s="76">
        <v>0</v>
      </c>
      <c r="S1314" s="76">
        <v>1.97</v>
      </c>
      <c r="T1314" s="76">
        <f>STOCK[[#This Row],[Costo Unitario (USD)]]+STOCK[[#This Row],[Costo Envío (USD)]]+STOCK[[#This Row],[Comisión 10%]]</f>
        <v>29.07</v>
      </c>
      <c r="U1314" s="76">
        <f>STOCK[[#This Row],[Costo total]]*1.5</f>
        <v>43.605</v>
      </c>
      <c r="V1314" s="76">
        <v>46</v>
      </c>
      <c r="W1314" s="76">
        <f>STOCK[[#This Row],[Precio Final]]-STOCK[[#This Row],[Costo total]]</f>
        <v>16.93</v>
      </c>
      <c r="X1314" s="76">
        <f>STOCK[[#This Row],[Ganancia Unitaria]]*STOCK[[#This Row],[Salidas]]</f>
        <v>33.86</v>
      </c>
      <c r="Y1314" s="76" t="s">
        <v>2449</v>
      </c>
      <c r="AA1314" s="76">
        <f>STOCK[[#This Row],[Costo total]]*STOCK[[#This Row],[Entradas]]</f>
        <v>58.14</v>
      </c>
      <c r="AB1314" s="76">
        <f>STOCK[[#This Row],[Stock Actual]]*STOCK[[#This Row],[Costo total]]</f>
        <v>0</v>
      </c>
    </row>
    <row r="1315" s="76" customFormat="1" ht="50" customHeight="1" spans="1:28">
      <c r="A1315" s="76" t="s">
        <v>2714</v>
      </c>
      <c r="B1315" s="6"/>
      <c r="C1315" s="76" t="s">
        <v>30</v>
      </c>
      <c r="D1315" s="76" t="s">
        <v>1480</v>
      </c>
      <c r="E1315" s="76" t="s">
        <v>2458</v>
      </c>
      <c r="F1315" s="76" t="s">
        <v>539</v>
      </c>
      <c r="G1315" s="76" t="s">
        <v>2448</v>
      </c>
      <c r="H1315" s="76">
        <f>STOCK[[#This Row],[Precio Final]]</f>
        <v>47</v>
      </c>
      <c r="I1315" s="76">
        <f>STOCK[[#This Row],[Precio Venta Ideal (x1.5)]]</f>
        <v>43.755</v>
      </c>
      <c r="J1315" s="91">
        <v>2</v>
      </c>
      <c r="K1315" s="96">
        <f>SUMIFS(VENTAS[Cantidad],VENTAS[Código del producto Vendido],STOCK[[#This Row],[Code]])</f>
        <v>0</v>
      </c>
      <c r="L1315" s="91">
        <f>STOCK[[#This Row],[Entradas]]-STOCK[[#This Row],[Salidas]]</f>
        <v>2</v>
      </c>
      <c r="M1315" s="76">
        <f>STOCK[[#This Row],[Precio Final]]*10%</f>
        <v>4.7</v>
      </c>
      <c r="N1315" s="76">
        <v>0</v>
      </c>
      <c r="O1315" s="76">
        <v>0</v>
      </c>
      <c r="P1315" s="76">
        <v>22.5</v>
      </c>
      <c r="Q1315" s="91">
        <v>0</v>
      </c>
      <c r="R1315" s="76">
        <v>0</v>
      </c>
      <c r="S1315" s="76">
        <v>1.97</v>
      </c>
      <c r="T1315" s="76">
        <f>STOCK[[#This Row],[Costo Unitario (USD)]]+STOCK[[#This Row],[Costo Envío (USD)]]+STOCK[[#This Row],[Comisión 10%]]</f>
        <v>29.17</v>
      </c>
      <c r="U1315" s="76">
        <f>STOCK[[#This Row],[Costo total]]*1.5</f>
        <v>43.755</v>
      </c>
      <c r="V1315" s="76">
        <v>47</v>
      </c>
      <c r="W1315" s="76">
        <f>STOCK[[#This Row],[Precio Final]]-STOCK[[#This Row],[Costo total]]</f>
        <v>17.83</v>
      </c>
      <c r="X1315" s="76">
        <f>STOCK[[#This Row],[Ganancia Unitaria]]*STOCK[[#This Row],[Salidas]]</f>
        <v>0</v>
      </c>
      <c r="Y1315" s="76" t="s">
        <v>2449</v>
      </c>
      <c r="AA1315" s="76">
        <f>STOCK[[#This Row],[Costo total]]*STOCK[[#This Row],[Entradas]]</f>
        <v>58.34</v>
      </c>
      <c r="AB1315" s="76">
        <f>STOCK[[#This Row],[Stock Actual]]*STOCK[[#This Row],[Costo total]]</f>
        <v>58.34</v>
      </c>
    </row>
    <row r="1316" s="76" customFormat="1" ht="50" customHeight="1" spans="1:29">
      <c r="A1316" s="76" t="s">
        <v>2715</v>
      </c>
      <c r="B1316" s="95"/>
      <c r="C1316" s="94" t="s">
        <v>30</v>
      </c>
      <c r="D1316" s="94" t="s">
        <v>2636</v>
      </c>
      <c r="E1316" s="94" t="s">
        <v>2716</v>
      </c>
      <c r="F1316" s="94" t="s">
        <v>47</v>
      </c>
      <c r="G1316" s="94" t="s">
        <v>2392</v>
      </c>
      <c r="H1316" s="94">
        <f>STOCK[[#This Row],[Precio Final]]</f>
        <v>30</v>
      </c>
      <c r="I1316" s="76">
        <f>STOCK[[#This Row],[Precio Venta Ideal (x1.5)]]</f>
        <v>33</v>
      </c>
      <c r="J1316" s="96">
        <v>1</v>
      </c>
      <c r="K1316" s="96">
        <f>SUMIFS(VENTAS[Cantidad],VENTAS[Código del producto Vendido],STOCK[[#This Row],[Code]])</f>
        <v>1</v>
      </c>
      <c r="L1316" s="96">
        <f>STOCK[[#This Row],[Entradas]]-STOCK[[#This Row],[Salidas]]</f>
        <v>0</v>
      </c>
      <c r="M1316" s="94">
        <f>STOCK[[#This Row],[Precio Final]]*10%</f>
        <v>3</v>
      </c>
      <c r="N1316" s="76">
        <v>0</v>
      </c>
      <c r="O1316" s="76">
        <v>0</v>
      </c>
      <c r="P1316" s="94">
        <v>17</v>
      </c>
      <c r="Q1316" s="96">
        <v>0</v>
      </c>
      <c r="R1316" s="94">
        <v>0</v>
      </c>
      <c r="S1316" s="76">
        <v>2</v>
      </c>
      <c r="T1316" s="94">
        <f>STOCK[[#This Row],[Costo Unitario (USD)]]+STOCK[[#This Row],[Costo Envío (USD)]]+STOCK[[#This Row],[Comisión 10%]]</f>
        <v>22</v>
      </c>
      <c r="U1316" s="76">
        <f>STOCK[[#This Row],[Costo total]]*1.5</f>
        <v>33</v>
      </c>
      <c r="V1316" s="94">
        <v>30</v>
      </c>
      <c r="W1316" s="94">
        <f>STOCK[[#This Row],[Precio Final]]-STOCK[[#This Row],[Costo total]]</f>
        <v>8</v>
      </c>
      <c r="X1316" s="94">
        <f>STOCK[[#This Row],[Ganancia Unitaria]]*STOCK[[#This Row],[Salidas]]</f>
        <v>8</v>
      </c>
      <c r="Y1316" s="94"/>
      <c r="Z1316" s="94"/>
      <c r="AA1316" s="94">
        <f>STOCK[[#This Row],[Costo total]]*STOCK[[#This Row],[Entradas]]</f>
        <v>22</v>
      </c>
      <c r="AB1316" s="94">
        <f>STOCK[[#This Row],[Stock Actual]]*STOCK[[#This Row],[Costo total]]</f>
        <v>0</v>
      </c>
      <c r="AC1316" s="94"/>
    </row>
    <row r="1317" s="76" customFormat="1" ht="50" customHeight="1" spans="1:29">
      <c r="A1317" s="76" t="s">
        <v>2717</v>
      </c>
      <c r="B1317" s="95"/>
      <c r="C1317" s="94" t="s">
        <v>30</v>
      </c>
      <c r="D1317" s="94" t="s">
        <v>2718</v>
      </c>
      <c r="E1317" s="94" t="s">
        <v>2719</v>
      </c>
      <c r="F1317" s="94" t="s">
        <v>2720</v>
      </c>
      <c r="G1317" s="94" t="s">
        <v>2392</v>
      </c>
      <c r="H1317" s="94">
        <f>STOCK[[#This Row],[Precio Final]]</f>
        <v>35</v>
      </c>
      <c r="I1317" s="76">
        <f>STOCK[[#This Row],[Precio Venta Ideal (x1.5)]]</f>
        <v>47.7</v>
      </c>
      <c r="J1317" s="96">
        <v>1</v>
      </c>
      <c r="K1317" s="96">
        <f>SUMIFS(VENTAS[Cantidad],VENTAS[Código del producto Vendido],STOCK[[#This Row],[Code]])</f>
        <v>0</v>
      </c>
      <c r="L1317" s="96">
        <f>STOCK[[#This Row],[Entradas]]-STOCK[[#This Row],[Salidas]]</f>
        <v>1</v>
      </c>
      <c r="M1317" s="94">
        <f>STOCK[[#This Row],[Precio Final]]*10%</f>
        <v>3.5</v>
      </c>
      <c r="N1317" s="76">
        <v>0</v>
      </c>
      <c r="O1317" s="76">
        <v>0</v>
      </c>
      <c r="P1317" s="94">
        <v>26.3</v>
      </c>
      <c r="Q1317" s="96">
        <v>0</v>
      </c>
      <c r="R1317" s="94">
        <v>0</v>
      </c>
      <c r="S1317" s="76">
        <v>2</v>
      </c>
      <c r="T1317" s="94">
        <f>STOCK[[#This Row],[Costo Unitario (USD)]]+STOCK[[#This Row],[Costo Envío (USD)]]+STOCK[[#This Row],[Comisión 10%]]</f>
        <v>31.8</v>
      </c>
      <c r="U1317" s="76">
        <f>STOCK[[#This Row],[Costo total]]*1.5</f>
        <v>47.7</v>
      </c>
      <c r="V1317" s="94">
        <v>35</v>
      </c>
      <c r="W1317" s="94">
        <f>STOCK[[#This Row],[Precio Final]]-STOCK[[#This Row],[Costo total]]</f>
        <v>3.2</v>
      </c>
      <c r="X1317" s="94">
        <f>STOCK[[#This Row],[Ganancia Unitaria]]*STOCK[[#This Row],[Salidas]]</f>
        <v>0</v>
      </c>
      <c r="Y1317" s="94"/>
      <c r="Z1317" s="94"/>
      <c r="AA1317" s="94">
        <f>STOCK[[#This Row],[Costo total]]*STOCK[[#This Row],[Entradas]]</f>
        <v>31.8</v>
      </c>
      <c r="AB1317" s="94">
        <f>STOCK[[#This Row],[Stock Actual]]*STOCK[[#This Row],[Costo total]]</f>
        <v>31.8</v>
      </c>
      <c r="AC1317" s="94"/>
    </row>
    <row r="1318" s="76" customFormat="1" ht="50" customHeight="1" spans="1:29">
      <c r="A1318" s="76" t="s">
        <v>2721</v>
      </c>
      <c r="B1318" s="95"/>
      <c r="C1318" s="94" t="s">
        <v>30</v>
      </c>
      <c r="D1318" s="94" t="s">
        <v>2718</v>
      </c>
      <c r="E1318" s="94" t="s">
        <v>2722</v>
      </c>
      <c r="F1318" s="94" t="s">
        <v>2720</v>
      </c>
      <c r="G1318" s="94" t="s">
        <v>2392</v>
      </c>
      <c r="H1318" s="94">
        <f>STOCK[[#This Row],[Precio Final]]</f>
        <v>35</v>
      </c>
      <c r="I1318" s="76">
        <f>STOCK[[#This Row],[Precio Venta Ideal (x1.5)]]</f>
        <v>47.7</v>
      </c>
      <c r="J1318" s="96">
        <v>1</v>
      </c>
      <c r="K1318" s="96">
        <f>SUMIFS(VENTAS[Cantidad],VENTAS[Código del producto Vendido],STOCK[[#This Row],[Code]])</f>
        <v>0</v>
      </c>
      <c r="L1318" s="96">
        <f>STOCK[[#This Row],[Entradas]]-STOCK[[#This Row],[Salidas]]</f>
        <v>1</v>
      </c>
      <c r="M1318" s="94">
        <f>STOCK[[#This Row],[Precio Final]]*10%</f>
        <v>3.5</v>
      </c>
      <c r="N1318" s="76">
        <v>0</v>
      </c>
      <c r="O1318" s="76">
        <v>0</v>
      </c>
      <c r="P1318" s="94">
        <v>26.3</v>
      </c>
      <c r="Q1318" s="96">
        <v>0</v>
      </c>
      <c r="R1318" s="94">
        <v>0</v>
      </c>
      <c r="S1318" s="94">
        <v>2</v>
      </c>
      <c r="T1318" s="94">
        <f>STOCK[[#This Row],[Costo Unitario (USD)]]+STOCK[[#This Row],[Costo Envío (USD)]]+STOCK[[#This Row],[Comisión 10%]]</f>
        <v>31.8</v>
      </c>
      <c r="U1318" s="76">
        <f>STOCK[[#This Row],[Costo total]]*1.5</f>
        <v>47.7</v>
      </c>
      <c r="V1318" s="94">
        <v>35</v>
      </c>
      <c r="W1318" s="94">
        <f>STOCK[[#This Row],[Precio Final]]-STOCK[[#This Row],[Costo total]]</f>
        <v>3.2</v>
      </c>
      <c r="X1318" s="94">
        <f>STOCK[[#This Row],[Ganancia Unitaria]]*STOCK[[#This Row],[Salidas]]</f>
        <v>0</v>
      </c>
      <c r="Y1318" s="94"/>
      <c r="Z1318" s="94"/>
      <c r="AA1318" s="94">
        <f>STOCK[[#This Row],[Costo total]]*STOCK[[#This Row],[Entradas]]</f>
        <v>31.8</v>
      </c>
      <c r="AB1318" s="94">
        <f>STOCK[[#This Row],[Stock Actual]]*STOCK[[#This Row],[Costo total]]</f>
        <v>31.8</v>
      </c>
      <c r="AC1318" s="94"/>
    </row>
    <row r="1319" s="76" customFormat="1" ht="50" customHeight="1" spans="1:29">
      <c r="A1319" s="76" t="s">
        <v>2723</v>
      </c>
      <c r="B1319" s="95"/>
      <c r="C1319" s="94" t="s">
        <v>30</v>
      </c>
      <c r="D1319" s="94" t="s">
        <v>2718</v>
      </c>
      <c r="E1319" s="94" t="s">
        <v>2724</v>
      </c>
      <c r="F1319" s="94" t="s">
        <v>2720</v>
      </c>
      <c r="G1319" s="94" t="s">
        <v>2392</v>
      </c>
      <c r="H1319" s="94">
        <f>STOCK[[#This Row],[Precio Final]]</f>
        <v>35</v>
      </c>
      <c r="I1319" s="76">
        <f>STOCK[[#This Row],[Precio Venta Ideal (x1.5)]]</f>
        <v>47.7</v>
      </c>
      <c r="J1319" s="96">
        <v>1</v>
      </c>
      <c r="K1319" s="96">
        <f>SUMIFS(VENTAS[Cantidad],VENTAS[Código del producto Vendido],STOCK[[#This Row],[Code]])</f>
        <v>0</v>
      </c>
      <c r="L1319" s="96">
        <f>STOCK[[#This Row],[Entradas]]-STOCK[[#This Row],[Salidas]]</f>
        <v>1</v>
      </c>
      <c r="M1319" s="94">
        <f>STOCK[[#This Row],[Precio Final]]*10%</f>
        <v>3.5</v>
      </c>
      <c r="N1319" s="76">
        <v>0</v>
      </c>
      <c r="O1319" s="76">
        <v>0</v>
      </c>
      <c r="P1319" s="94">
        <v>26.3</v>
      </c>
      <c r="Q1319" s="96">
        <v>0</v>
      </c>
      <c r="R1319" s="94">
        <v>0</v>
      </c>
      <c r="S1319" s="94">
        <v>2</v>
      </c>
      <c r="T1319" s="94">
        <f>STOCK[[#This Row],[Costo Unitario (USD)]]+STOCK[[#This Row],[Costo Envío (USD)]]+STOCK[[#This Row],[Comisión 10%]]</f>
        <v>31.8</v>
      </c>
      <c r="U1319" s="76">
        <f>STOCK[[#This Row],[Costo total]]*1.5</f>
        <v>47.7</v>
      </c>
      <c r="V1319" s="94">
        <v>35</v>
      </c>
      <c r="W1319" s="94">
        <f>STOCK[[#This Row],[Precio Final]]-STOCK[[#This Row],[Costo total]]</f>
        <v>3.2</v>
      </c>
      <c r="X1319" s="94">
        <f>STOCK[[#This Row],[Ganancia Unitaria]]*STOCK[[#This Row],[Salidas]]</f>
        <v>0</v>
      </c>
      <c r="Y1319" s="94"/>
      <c r="Z1319" s="94"/>
      <c r="AA1319" s="94">
        <f>STOCK[[#This Row],[Costo total]]*STOCK[[#This Row],[Entradas]]</f>
        <v>31.8</v>
      </c>
      <c r="AB1319" s="94">
        <f>STOCK[[#This Row],[Stock Actual]]*STOCK[[#This Row],[Costo total]]</f>
        <v>31.8</v>
      </c>
      <c r="AC1319" s="94"/>
    </row>
    <row r="1320" s="76" customFormat="1" ht="50" customHeight="1" spans="1:29">
      <c r="A1320" s="76" t="s">
        <v>2725</v>
      </c>
      <c r="B1320" s="95"/>
      <c r="C1320" s="94" t="s">
        <v>30</v>
      </c>
      <c r="D1320" s="94" t="s">
        <v>1224</v>
      </c>
      <c r="E1320" s="94" t="s">
        <v>2726</v>
      </c>
      <c r="F1320" s="94" t="s">
        <v>539</v>
      </c>
      <c r="G1320" s="94" t="s">
        <v>1294</v>
      </c>
      <c r="H1320" s="94">
        <f>STOCK[[#This Row],[Precio Final]]</f>
        <v>60</v>
      </c>
      <c r="I1320" s="94">
        <f>STOCK[[#This Row],[Precio Venta Ideal (x1.5)]]</f>
        <v>61.5</v>
      </c>
      <c r="J1320" s="96">
        <v>1</v>
      </c>
      <c r="K1320" s="96">
        <f>SUMIFS(VENTAS[Cantidad],VENTAS[Código del producto Vendido],STOCK[[#This Row],[Code]])</f>
        <v>0</v>
      </c>
      <c r="L1320" s="96">
        <f>STOCK[[#This Row],[Entradas]]-STOCK[[#This Row],[Salidas]]</f>
        <v>1</v>
      </c>
      <c r="M1320" s="94">
        <f>STOCK[[#This Row],[Precio Final]]*10%</f>
        <v>6</v>
      </c>
      <c r="N1320" s="94">
        <v>0</v>
      </c>
      <c r="O1320" s="94">
        <v>0</v>
      </c>
      <c r="P1320" s="94">
        <v>35</v>
      </c>
      <c r="Q1320" s="96">
        <v>0</v>
      </c>
      <c r="R1320" s="94">
        <v>0</v>
      </c>
      <c r="S1320" s="94">
        <f>STOCK[[#This Row],[Peso (g)]]*STOCK[[#This Row],[Precio Envío Kilogramo (USD)]]/1000</f>
        <v>0</v>
      </c>
      <c r="T1320" s="94">
        <f>STOCK[[#This Row],[Costo Unitario (USD)]]+STOCK[[#This Row],[Costo Envío (USD)]]+STOCK[[#This Row],[Comisión 10%]]</f>
        <v>41</v>
      </c>
      <c r="U1320" s="76">
        <f>STOCK[[#This Row],[Costo total]]*1.5</f>
        <v>61.5</v>
      </c>
      <c r="V1320" s="94">
        <v>60</v>
      </c>
      <c r="W1320" s="94">
        <f>STOCK[[#This Row],[Precio Final]]-STOCK[[#This Row],[Costo total]]</f>
        <v>19</v>
      </c>
      <c r="X1320" s="94">
        <f>STOCK[[#This Row],[Ganancia Unitaria]]*STOCK[[#This Row],[Salidas]]</f>
        <v>0</v>
      </c>
      <c r="Y1320" s="94"/>
      <c r="Z1320" s="94"/>
      <c r="AA1320" s="94">
        <f>STOCK[[#This Row],[Costo total]]*STOCK[[#This Row],[Entradas]]</f>
        <v>41</v>
      </c>
      <c r="AB1320" s="94">
        <f>STOCK[[#This Row],[Stock Actual]]*STOCK[[#This Row],[Costo total]]</f>
        <v>41</v>
      </c>
      <c r="AC1320" s="94"/>
    </row>
    <row r="1321" s="76" customFormat="1" ht="50" customHeight="1" spans="1:29">
      <c r="A1321" s="76" t="s">
        <v>2727</v>
      </c>
      <c r="B1321" s="95"/>
      <c r="C1321" s="94" t="s">
        <v>30</v>
      </c>
      <c r="D1321" s="94" t="s">
        <v>42</v>
      </c>
      <c r="E1321" s="94" t="s">
        <v>2728</v>
      </c>
      <c r="F1321" s="94" t="s">
        <v>44</v>
      </c>
      <c r="G1321" s="94" t="s">
        <v>34</v>
      </c>
      <c r="H1321" s="94">
        <f>STOCK[[#This Row],[Precio Final]]</f>
        <v>55</v>
      </c>
      <c r="I1321" s="94">
        <f>STOCK[[#This Row],[Precio Venta Ideal (x1.5)]]</f>
        <v>55.935</v>
      </c>
      <c r="J1321" s="96">
        <v>0</v>
      </c>
      <c r="K1321" s="96">
        <f>SUMIFS(VENTAS[Cantidad],VENTAS[Código del producto Vendido],STOCK[[#This Row],[Code]])</f>
        <v>0</v>
      </c>
      <c r="L1321" s="96">
        <f>STOCK[[#This Row],[Entradas]]-STOCK[[#This Row],[Salidas]]</f>
        <v>0</v>
      </c>
      <c r="M1321" s="94">
        <f>STOCK[[#This Row],[Precio Final]]*10%</f>
        <v>5.5</v>
      </c>
      <c r="N1321" s="94">
        <v>0</v>
      </c>
      <c r="O1321" s="94">
        <v>0</v>
      </c>
      <c r="P1321" s="94">
        <v>29.41</v>
      </c>
      <c r="Q1321" s="96">
        <v>0</v>
      </c>
      <c r="R1321" s="94">
        <v>0</v>
      </c>
      <c r="S1321" s="94">
        <v>2.38</v>
      </c>
      <c r="T1321" s="94">
        <f>STOCK[[#This Row],[Costo Unitario (USD)]]+STOCK[[#This Row],[Costo Envío (USD)]]+STOCK[[#This Row],[Comisión 10%]]</f>
        <v>37.29</v>
      </c>
      <c r="U1321" s="76">
        <f>STOCK[[#This Row],[Costo total]]*1.5</f>
        <v>55.935</v>
      </c>
      <c r="V1321" s="94">
        <v>55</v>
      </c>
      <c r="W1321" s="94">
        <f>STOCK[[#This Row],[Precio Final]]-STOCK[[#This Row],[Costo total]]</f>
        <v>17.71</v>
      </c>
      <c r="X1321" s="94">
        <f>STOCK[[#This Row],[Ganancia Unitaria]]*STOCK[[#This Row],[Salidas]]</f>
        <v>0</v>
      </c>
      <c r="Y1321" s="94" t="s">
        <v>2729</v>
      </c>
      <c r="Z1321" s="94"/>
      <c r="AA1321" s="94">
        <f>STOCK[[#This Row],[Costo total]]*STOCK[[#This Row],[Entradas]]</f>
        <v>0</v>
      </c>
      <c r="AB1321" s="94">
        <f>STOCK[[#This Row],[Stock Actual]]*STOCK[[#This Row],[Costo total]]</f>
        <v>0</v>
      </c>
      <c r="AC1321" s="94"/>
    </row>
    <row r="1322" s="76" customFormat="1" ht="50" customHeight="1" spans="1:29">
      <c r="A1322" s="76" t="s">
        <v>2730</v>
      </c>
      <c r="B1322" s="95"/>
      <c r="C1322" s="94" t="s">
        <v>30</v>
      </c>
      <c r="D1322" s="94" t="s">
        <v>2125</v>
      </c>
      <c r="E1322" s="94" t="s">
        <v>2731</v>
      </c>
      <c r="F1322" s="94" t="s">
        <v>60</v>
      </c>
      <c r="G1322" s="94" t="s">
        <v>34</v>
      </c>
      <c r="H1322" s="94">
        <f>STOCK[[#This Row],[Precio Final]]</f>
        <v>20</v>
      </c>
      <c r="I1322" s="94">
        <f>STOCK[[#This Row],[Precio Venta Ideal (x1.5)]]</f>
        <v>19.59</v>
      </c>
      <c r="J1322" s="96">
        <v>2</v>
      </c>
      <c r="K1322" s="96">
        <f>SUMIFS(VENTAS[Cantidad],VENTAS[Código del producto Vendido],STOCK[[#This Row],[Code]])</f>
        <v>1</v>
      </c>
      <c r="L1322" s="96">
        <f>STOCK[[#This Row],[Entradas]]-STOCK[[#This Row],[Salidas]]</f>
        <v>1</v>
      </c>
      <c r="M1322" s="94">
        <f>STOCK[[#This Row],[Precio Final]]*10%</f>
        <v>2</v>
      </c>
      <c r="N1322" s="94">
        <v>0</v>
      </c>
      <c r="O1322" s="94">
        <v>0</v>
      </c>
      <c r="P1322" s="94">
        <v>8.69</v>
      </c>
      <c r="Q1322" s="96">
        <v>0</v>
      </c>
      <c r="R1322" s="94">
        <v>0</v>
      </c>
      <c r="S1322" s="94">
        <v>2.37</v>
      </c>
      <c r="T1322" s="94">
        <f>STOCK[[#This Row],[Costo Unitario (USD)]]+STOCK[[#This Row],[Costo Envío (USD)]]+STOCK[[#This Row],[Comisión 10%]]</f>
        <v>13.06</v>
      </c>
      <c r="U1322" s="76">
        <f>STOCK[[#This Row],[Costo total]]*1.5</f>
        <v>19.59</v>
      </c>
      <c r="V1322" s="94">
        <v>20</v>
      </c>
      <c r="W1322" s="94">
        <f>STOCK[[#This Row],[Precio Final]]-STOCK[[#This Row],[Costo total]]</f>
        <v>6.94</v>
      </c>
      <c r="X1322" s="94">
        <f>STOCK[[#This Row],[Ganancia Unitaria]]*STOCK[[#This Row],[Salidas]]</f>
        <v>6.94</v>
      </c>
      <c r="Y1322" s="94" t="s">
        <v>2729</v>
      </c>
      <c r="Z1322" s="94"/>
      <c r="AA1322" s="94">
        <f>STOCK[[#This Row],[Costo total]]*STOCK[[#This Row],[Entradas]]</f>
        <v>26.12</v>
      </c>
      <c r="AB1322" s="94">
        <f>STOCK[[#This Row],[Stock Actual]]*STOCK[[#This Row],[Costo total]]</f>
        <v>13.06</v>
      </c>
      <c r="AC1322" s="94"/>
    </row>
    <row r="1323" s="76" customFormat="1" ht="50" customHeight="1" spans="1:29">
      <c r="A1323" s="76" t="s">
        <v>2732</v>
      </c>
      <c r="B1323" s="95"/>
      <c r="C1323" s="94" t="s">
        <v>30</v>
      </c>
      <c r="D1323" s="94" t="s">
        <v>2125</v>
      </c>
      <c r="E1323" s="94" t="s">
        <v>2731</v>
      </c>
      <c r="F1323" s="94" t="s">
        <v>47</v>
      </c>
      <c r="G1323" s="94" t="s">
        <v>34</v>
      </c>
      <c r="H1323" s="94">
        <f>STOCK[[#This Row],[Precio Final]]</f>
        <v>20</v>
      </c>
      <c r="I1323" s="94">
        <f>STOCK[[#This Row],[Precio Venta Ideal (x1.5)]]</f>
        <v>19.59</v>
      </c>
      <c r="J1323" s="96">
        <v>2</v>
      </c>
      <c r="K1323" s="96">
        <f>SUMIFS(VENTAS[Cantidad],VENTAS[Código del producto Vendido],STOCK[[#This Row],[Code]])</f>
        <v>0</v>
      </c>
      <c r="L1323" s="96">
        <f>STOCK[[#This Row],[Entradas]]-STOCK[[#This Row],[Salidas]]</f>
        <v>2</v>
      </c>
      <c r="M1323" s="94">
        <f>STOCK[[#This Row],[Precio Final]]*10%</f>
        <v>2</v>
      </c>
      <c r="N1323" s="94">
        <v>0</v>
      </c>
      <c r="O1323" s="94">
        <v>0</v>
      </c>
      <c r="P1323" s="94">
        <v>8.69</v>
      </c>
      <c r="Q1323" s="96">
        <v>0</v>
      </c>
      <c r="R1323" s="94">
        <v>0</v>
      </c>
      <c r="S1323" s="94">
        <v>2.37</v>
      </c>
      <c r="T1323" s="94">
        <f>STOCK[[#This Row],[Costo Unitario (USD)]]+STOCK[[#This Row],[Costo Envío (USD)]]+STOCK[[#This Row],[Comisión 10%]]</f>
        <v>13.06</v>
      </c>
      <c r="U1323" s="76">
        <f>STOCK[[#This Row],[Costo total]]*1.5</f>
        <v>19.59</v>
      </c>
      <c r="V1323" s="94">
        <v>20</v>
      </c>
      <c r="W1323" s="94">
        <f>STOCK[[#This Row],[Precio Final]]-STOCK[[#This Row],[Costo total]]</f>
        <v>6.94</v>
      </c>
      <c r="X1323" s="94">
        <f>STOCK[[#This Row],[Ganancia Unitaria]]*STOCK[[#This Row],[Salidas]]</f>
        <v>0</v>
      </c>
      <c r="Y1323" s="94" t="s">
        <v>2729</v>
      </c>
      <c r="Z1323" s="94"/>
      <c r="AA1323" s="94">
        <f>STOCK[[#This Row],[Costo total]]*STOCK[[#This Row],[Entradas]]</f>
        <v>26.12</v>
      </c>
      <c r="AB1323" s="94">
        <f>STOCK[[#This Row],[Stock Actual]]*STOCK[[#This Row],[Costo total]]</f>
        <v>26.12</v>
      </c>
      <c r="AC1323" s="94"/>
    </row>
    <row r="1324" s="76" customFormat="1" ht="50" customHeight="1" spans="1:29">
      <c r="A1324" s="76" t="s">
        <v>2733</v>
      </c>
      <c r="B1324" s="95"/>
      <c r="C1324" s="94" t="s">
        <v>30</v>
      </c>
      <c r="D1324" s="94" t="s">
        <v>2125</v>
      </c>
      <c r="E1324" s="94" t="s">
        <v>2731</v>
      </c>
      <c r="F1324" s="94" t="s">
        <v>44</v>
      </c>
      <c r="G1324" s="94" t="s">
        <v>34</v>
      </c>
      <c r="H1324" s="94">
        <f>STOCK[[#This Row],[Precio Final]]</f>
        <v>20</v>
      </c>
      <c r="I1324" s="94">
        <f>STOCK[[#This Row],[Precio Venta Ideal (x1.5)]]</f>
        <v>19.59</v>
      </c>
      <c r="J1324" s="96">
        <v>2</v>
      </c>
      <c r="K1324" s="96">
        <f>SUMIFS(VENTAS[Cantidad],VENTAS[Código del producto Vendido],STOCK[[#This Row],[Code]])</f>
        <v>0</v>
      </c>
      <c r="L1324" s="96">
        <f>STOCK[[#This Row],[Entradas]]-STOCK[[#This Row],[Salidas]]</f>
        <v>2</v>
      </c>
      <c r="M1324" s="94">
        <f>STOCK[[#This Row],[Precio Final]]*10%</f>
        <v>2</v>
      </c>
      <c r="N1324" s="94">
        <v>0</v>
      </c>
      <c r="O1324" s="94">
        <v>0</v>
      </c>
      <c r="P1324" s="94">
        <v>8.69</v>
      </c>
      <c r="Q1324" s="96">
        <v>0</v>
      </c>
      <c r="R1324" s="94">
        <v>0</v>
      </c>
      <c r="S1324" s="94">
        <v>2.37</v>
      </c>
      <c r="T1324" s="94">
        <f>STOCK[[#This Row],[Costo Unitario (USD)]]+STOCK[[#This Row],[Costo Envío (USD)]]+STOCK[[#This Row],[Comisión 10%]]</f>
        <v>13.06</v>
      </c>
      <c r="U1324" s="76">
        <f>STOCK[[#This Row],[Costo total]]*1.5</f>
        <v>19.59</v>
      </c>
      <c r="V1324" s="94">
        <v>20</v>
      </c>
      <c r="W1324" s="94">
        <f>STOCK[[#This Row],[Precio Final]]-STOCK[[#This Row],[Costo total]]</f>
        <v>6.94</v>
      </c>
      <c r="X1324" s="94">
        <f>STOCK[[#This Row],[Ganancia Unitaria]]*STOCK[[#This Row],[Salidas]]</f>
        <v>0</v>
      </c>
      <c r="Y1324" s="94" t="s">
        <v>2729</v>
      </c>
      <c r="Z1324" s="94"/>
      <c r="AA1324" s="94">
        <f>STOCK[[#This Row],[Costo total]]*STOCK[[#This Row],[Entradas]]</f>
        <v>26.12</v>
      </c>
      <c r="AB1324" s="94">
        <f>STOCK[[#This Row],[Stock Actual]]*STOCK[[#This Row],[Costo total]]</f>
        <v>26.12</v>
      </c>
      <c r="AC1324" s="94"/>
    </row>
    <row r="1325" s="76" customFormat="1" ht="50" customHeight="1" spans="1:29">
      <c r="A1325" s="76" t="s">
        <v>2734</v>
      </c>
      <c r="B1325" s="95"/>
      <c r="C1325" s="94" t="s">
        <v>30</v>
      </c>
      <c r="D1325" s="94" t="s">
        <v>42</v>
      </c>
      <c r="E1325" s="94" t="s">
        <v>2735</v>
      </c>
      <c r="F1325" s="94" t="s">
        <v>60</v>
      </c>
      <c r="G1325" s="94" t="s">
        <v>34</v>
      </c>
      <c r="H1325" s="94">
        <f>STOCK[[#This Row],[Precio Final]]</f>
        <v>12</v>
      </c>
      <c r="I1325" s="94">
        <f>STOCK[[#This Row],[Precio Venta Ideal (x1.5)]]</f>
        <v>17.16</v>
      </c>
      <c r="J1325" s="96">
        <v>0</v>
      </c>
      <c r="K1325" s="96">
        <f>SUMIFS(VENTAS[Cantidad],VENTAS[Código del producto Vendido],STOCK[[#This Row],[Code]])</f>
        <v>0</v>
      </c>
      <c r="L1325" s="96">
        <f>STOCK[[#This Row],[Entradas]]-STOCK[[#This Row],[Salidas]]</f>
        <v>0</v>
      </c>
      <c r="M1325" s="94">
        <f>STOCK[[#This Row],[Precio Final]]*10%</f>
        <v>1.2</v>
      </c>
      <c r="N1325" s="94">
        <v>0</v>
      </c>
      <c r="O1325" s="94">
        <v>0</v>
      </c>
      <c r="P1325" s="94">
        <v>7.87</v>
      </c>
      <c r="Q1325" s="96">
        <v>0</v>
      </c>
      <c r="R1325" s="94">
        <v>0</v>
      </c>
      <c r="S1325" s="94">
        <v>2.37</v>
      </c>
      <c r="T1325" s="94">
        <f>STOCK[[#This Row],[Costo Unitario (USD)]]+STOCK[[#This Row],[Costo Envío (USD)]]+STOCK[[#This Row],[Comisión 10%]]</f>
        <v>11.44</v>
      </c>
      <c r="U1325" s="76">
        <f>STOCK[[#This Row],[Costo total]]*1.5</f>
        <v>17.16</v>
      </c>
      <c r="V1325" s="94">
        <v>12</v>
      </c>
      <c r="W1325" s="94">
        <f>STOCK[[#This Row],[Precio Final]]-STOCK[[#This Row],[Costo total]]</f>
        <v>0.559999999999999</v>
      </c>
      <c r="X1325" s="94">
        <f>STOCK[[#This Row],[Ganancia Unitaria]]*STOCK[[#This Row],[Salidas]]</f>
        <v>0</v>
      </c>
      <c r="Y1325" s="94" t="s">
        <v>2729</v>
      </c>
      <c r="Z1325" s="94"/>
      <c r="AA1325" s="94">
        <f>STOCK[[#This Row],[Costo total]]*STOCK[[#This Row],[Entradas]]</f>
        <v>0</v>
      </c>
      <c r="AB1325" s="94">
        <f>STOCK[[#This Row],[Stock Actual]]*STOCK[[#This Row],[Costo total]]</f>
        <v>0</v>
      </c>
      <c r="AC1325" s="94"/>
    </row>
    <row r="1326" s="76" customFormat="1" ht="50" customHeight="1" spans="1:29">
      <c r="A1326" s="76" t="s">
        <v>2736</v>
      </c>
      <c r="B1326" s="95"/>
      <c r="C1326" s="94" t="s">
        <v>30</v>
      </c>
      <c r="D1326" s="94" t="s">
        <v>1224</v>
      </c>
      <c r="E1326" s="94" t="s">
        <v>2737</v>
      </c>
      <c r="F1326" s="94" t="s">
        <v>752</v>
      </c>
      <c r="G1326" s="94" t="s">
        <v>34</v>
      </c>
      <c r="H1326" s="94">
        <f>STOCK[[#This Row],[Precio Final]]</f>
        <v>12</v>
      </c>
      <c r="I1326" s="94">
        <f>STOCK[[#This Row],[Precio Venta Ideal (x1.5)]]</f>
        <v>14.31</v>
      </c>
      <c r="J1326" s="96">
        <v>1</v>
      </c>
      <c r="K1326" s="96">
        <f>SUMIFS(VENTAS[Cantidad],VENTAS[Código del producto Vendido],STOCK[[#This Row],[Code]])</f>
        <v>0</v>
      </c>
      <c r="L1326" s="96">
        <f>STOCK[[#This Row],[Entradas]]-STOCK[[#This Row],[Salidas]]</f>
        <v>1</v>
      </c>
      <c r="M1326" s="94">
        <f>STOCK[[#This Row],[Precio Final]]*10%</f>
        <v>1.2</v>
      </c>
      <c r="N1326" s="94">
        <v>0</v>
      </c>
      <c r="O1326" s="94">
        <v>0</v>
      </c>
      <c r="P1326" s="94">
        <v>5.97</v>
      </c>
      <c r="Q1326" s="96">
        <v>0</v>
      </c>
      <c r="R1326" s="94">
        <v>0</v>
      </c>
      <c r="S1326" s="94">
        <v>2.37</v>
      </c>
      <c r="T1326" s="94">
        <f>STOCK[[#This Row],[Costo Unitario (USD)]]+STOCK[[#This Row],[Costo Envío (USD)]]+STOCK[[#This Row],[Comisión 10%]]</f>
        <v>9.54</v>
      </c>
      <c r="U1326" s="76">
        <f>STOCK[[#This Row],[Costo total]]*1.5</f>
        <v>14.31</v>
      </c>
      <c r="V1326" s="94">
        <v>12</v>
      </c>
      <c r="W1326" s="94">
        <f>STOCK[[#This Row],[Precio Final]]-STOCK[[#This Row],[Costo total]]</f>
        <v>2.46</v>
      </c>
      <c r="X1326" s="94">
        <f>STOCK[[#This Row],[Ganancia Unitaria]]*STOCK[[#This Row],[Salidas]]</f>
        <v>0</v>
      </c>
      <c r="Y1326" s="94" t="s">
        <v>2729</v>
      </c>
      <c r="Z1326" s="94"/>
      <c r="AA1326" s="94">
        <f>STOCK[[#This Row],[Costo total]]*STOCK[[#This Row],[Entradas]]</f>
        <v>9.54</v>
      </c>
      <c r="AB1326" s="94">
        <f>STOCK[[#This Row],[Stock Actual]]*STOCK[[#This Row],[Costo total]]</f>
        <v>9.54</v>
      </c>
      <c r="AC1326" s="94"/>
    </row>
    <row r="1327" s="76" customFormat="1" ht="50" customHeight="1" spans="1:29">
      <c r="A1327" s="76" t="s">
        <v>2738</v>
      </c>
      <c r="B1327" s="95"/>
      <c r="C1327" s="94" t="s">
        <v>30</v>
      </c>
      <c r="D1327" s="94" t="s">
        <v>1224</v>
      </c>
      <c r="E1327" s="94" t="s">
        <v>2739</v>
      </c>
      <c r="F1327" s="94" t="s">
        <v>2740</v>
      </c>
      <c r="G1327" s="94" t="s">
        <v>34</v>
      </c>
      <c r="H1327" s="94">
        <f>STOCK[[#This Row],[Precio Final]]</f>
        <v>12</v>
      </c>
      <c r="I1327" s="94">
        <f>STOCK[[#This Row],[Precio Venta Ideal (x1.5)]]</f>
        <v>14.31</v>
      </c>
      <c r="J1327" s="96">
        <v>1</v>
      </c>
      <c r="K1327" s="96">
        <f>SUMIFS(VENTAS[Cantidad],VENTAS[Código del producto Vendido],STOCK[[#This Row],[Code]])</f>
        <v>1</v>
      </c>
      <c r="L1327" s="96">
        <f>STOCK[[#This Row],[Entradas]]-STOCK[[#This Row],[Salidas]]</f>
        <v>0</v>
      </c>
      <c r="M1327" s="94">
        <f>STOCK[[#This Row],[Precio Final]]*10%</f>
        <v>1.2</v>
      </c>
      <c r="N1327" s="94">
        <v>0</v>
      </c>
      <c r="O1327" s="94">
        <v>0</v>
      </c>
      <c r="P1327" s="94">
        <v>5.97</v>
      </c>
      <c r="Q1327" s="96">
        <v>0</v>
      </c>
      <c r="R1327" s="94">
        <v>0</v>
      </c>
      <c r="S1327" s="94">
        <v>2.37</v>
      </c>
      <c r="T1327" s="94">
        <f>STOCK[[#This Row],[Costo Unitario (USD)]]+STOCK[[#This Row],[Costo Envío (USD)]]+STOCK[[#This Row],[Comisión 10%]]</f>
        <v>9.54</v>
      </c>
      <c r="U1327" s="76">
        <f>STOCK[[#This Row],[Costo total]]*1.5</f>
        <v>14.31</v>
      </c>
      <c r="V1327" s="94">
        <v>12</v>
      </c>
      <c r="W1327" s="94">
        <f>STOCK[[#This Row],[Precio Final]]-STOCK[[#This Row],[Costo total]]</f>
        <v>2.46</v>
      </c>
      <c r="X1327" s="94">
        <f>STOCK[[#This Row],[Ganancia Unitaria]]*STOCK[[#This Row],[Salidas]]</f>
        <v>2.46</v>
      </c>
      <c r="Y1327" s="94" t="s">
        <v>2729</v>
      </c>
      <c r="Z1327" s="94"/>
      <c r="AA1327" s="94">
        <f>STOCK[[#This Row],[Costo total]]*STOCK[[#This Row],[Entradas]]</f>
        <v>9.54</v>
      </c>
      <c r="AB1327" s="94">
        <f>STOCK[[#This Row],[Stock Actual]]*STOCK[[#This Row],[Costo total]]</f>
        <v>0</v>
      </c>
      <c r="AC1327" s="94"/>
    </row>
    <row r="1328" s="76" customFormat="1" ht="50" customHeight="1" spans="1:29">
      <c r="A1328" s="76" t="s">
        <v>2741</v>
      </c>
      <c r="B1328" s="95"/>
      <c r="C1328" s="94" t="s">
        <v>30</v>
      </c>
      <c r="D1328" s="94" t="s">
        <v>2125</v>
      </c>
      <c r="E1328" s="94" t="s">
        <v>2742</v>
      </c>
      <c r="F1328" s="94" t="s">
        <v>44</v>
      </c>
      <c r="G1328" s="94" t="s">
        <v>34</v>
      </c>
      <c r="H1328" s="94">
        <f>STOCK[[#This Row],[Precio Final]]</f>
        <v>15</v>
      </c>
      <c r="I1328" s="94">
        <f>STOCK[[#This Row],[Precio Venta Ideal (x1.5)]]</f>
        <v>13.095</v>
      </c>
      <c r="J1328" s="96">
        <v>1</v>
      </c>
      <c r="K1328" s="96">
        <f>SUMIFS(VENTAS[Cantidad],VENTAS[Código del producto Vendido],STOCK[[#This Row],[Code]])</f>
        <v>0</v>
      </c>
      <c r="L1328" s="96">
        <f>STOCK[[#This Row],[Entradas]]-STOCK[[#This Row],[Salidas]]</f>
        <v>1</v>
      </c>
      <c r="M1328" s="94">
        <f>STOCK[[#This Row],[Precio Final]]*10%</f>
        <v>1.5</v>
      </c>
      <c r="N1328" s="94">
        <v>0</v>
      </c>
      <c r="O1328" s="94">
        <v>0</v>
      </c>
      <c r="P1328" s="94">
        <v>4.86</v>
      </c>
      <c r="Q1328" s="96">
        <v>0</v>
      </c>
      <c r="R1328" s="94">
        <v>0</v>
      </c>
      <c r="S1328" s="94">
        <v>2.37</v>
      </c>
      <c r="T1328" s="94">
        <f>STOCK[[#This Row],[Costo Unitario (USD)]]+STOCK[[#This Row],[Costo Envío (USD)]]+STOCK[[#This Row],[Comisión 10%]]</f>
        <v>8.73</v>
      </c>
      <c r="U1328" s="76">
        <f>STOCK[[#This Row],[Costo total]]*1.5</f>
        <v>13.095</v>
      </c>
      <c r="V1328" s="94">
        <v>15</v>
      </c>
      <c r="W1328" s="94">
        <f>STOCK[[#This Row],[Precio Final]]-STOCK[[#This Row],[Costo total]]</f>
        <v>6.27</v>
      </c>
      <c r="X1328" s="94">
        <f>STOCK[[#This Row],[Ganancia Unitaria]]*STOCK[[#This Row],[Salidas]]</f>
        <v>0</v>
      </c>
      <c r="Y1328" s="94" t="s">
        <v>2729</v>
      </c>
      <c r="Z1328" s="94"/>
      <c r="AA1328" s="94">
        <f>STOCK[[#This Row],[Costo total]]*STOCK[[#This Row],[Entradas]]</f>
        <v>8.73</v>
      </c>
      <c r="AB1328" s="94">
        <f>STOCK[[#This Row],[Stock Actual]]*STOCK[[#This Row],[Costo total]]</f>
        <v>8.73</v>
      </c>
      <c r="AC1328" s="94"/>
    </row>
    <row r="1329" s="76" customFormat="1" ht="50" customHeight="1" spans="1:29">
      <c r="A1329" s="76" t="s">
        <v>2743</v>
      </c>
      <c r="B1329" s="95"/>
      <c r="C1329" s="94" t="s">
        <v>30</v>
      </c>
      <c r="D1329" s="94" t="s">
        <v>2125</v>
      </c>
      <c r="E1329" s="94" t="s">
        <v>2744</v>
      </c>
      <c r="F1329" s="94" t="s">
        <v>47</v>
      </c>
      <c r="G1329" s="94" t="s">
        <v>34</v>
      </c>
      <c r="H1329" s="94">
        <f>STOCK[[#This Row],[Precio Final]]</f>
        <v>25</v>
      </c>
      <c r="I1329" s="94">
        <f>STOCK[[#This Row],[Precio Venta Ideal (x1.5)]]</f>
        <v>26.73</v>
      </c>
      <c r="J1329" s="96">
        <v>1</v>
      </c>
      <c r="K1329" s="96">
        <f>SUMIFS(VENTAS[Cantidad],VENTAS[Código del producto Vendido],STOCK[[#This Row],[Code]])</f>
        <v>0</v>
      </c>
      <c r="L1329" s="96">
        <f>STOCK[[#This Row],[Entradas]]-STOCK[[#This Row],[Salidas]]</f>
        <v>1</v>
      </c>
      <c r="M1329" s="94">
        <f>STOCK[[#This Row],[Precio Final]]*10%</f>
        <v>2.5</v>
      </c>
      <c r="N1329" s="94">
        <v>0</v>
      </c>
      <c r="O1329" s="94">
        <v>0</v>
      </c>
      <c r="P1329" s="94">
        <v>12.95</v>
      </c>
      <c r="Q1329" s="96">
        <v>0</v>
      </c>
      <c r="R1329" s="94">
        <v>0</v>
      </c>
      <c r="S1329" s="94">
        <v>2.37</v>
      </c>
      <c r="T1329" s="94">
        <f>STOCK[[#This Row],[Costo Unitario (USD)]]+STOCK[[#This Row],[Costo Envío (USD)]]+STOCK[[#This Row],[Comisión 10%]]</f>
        <v>17.82</v>
      </c>
      <c r="U1329" s="76">
        <f>STOCK[[#This Row],[Costo total]]*1.5</f>
        <v>26.73</v>
      </c>
      <c r="V1329" s="94">
        <v>25</v>
      </c>
      <c r="W1329" s="94">
        <f>STOCK[[#This Row],[Precio Final]]-STOCK[[#This Row],[Costo total]]</f>
        <v>7.18</v>
      </c>
      <c r="X1329" s="94">
        <f>STOCK[[#This Row],[Ganancia Unitaria]]*STOCK[[#This Row],[Salidas]]</f>
        <v>0</v>
      </c>
      <c r="Y1329" s="94" t="s">
        <v>2729</v>
      </c>
      <c r="Z1329" s="94"/>
      <c r="AA1329" s="94">
        <f>STOCK[[#This Row],[Costo total]]*STOCK[[#This Row],[Entradas]]</f>
        <v>17.82</v>
      </c>
      <c r="AB1329" s="94">
        <f>STOCK[[#This Row],[Stock Actual]]*STOCK[[#This Row],[Costo total]]</f>
        <v>17.82</v>
      </c>
      <c r="AC1329" s="94"/>
    </row>
    <row r="1330" s="76" customFormat="1" ht="50" customHeight="1" spans="1:29">
      <c r="A1330" s="76" t="s">
        <v>2745</v>
      </c>
      <c r="B1330" s="95"/>
      <c r="C1330" s="94" t="s">
        <v>30</v>
      </c>
      <c r="D1330" s="94" t="s">
        <v>2131</v>
      </c>
      <c r="E1330" s="94" t="s">
        <v>2746</v>
      </c>
      <c r="F1330" s="94" t="s">
        <v>60</v>
      </c>
      <c r="G1330" s="94" t="s">
        <v>34</v>
      </c>
      <c r="H1330" s="94">
        <f>STOCK[[#This Row],[Precio Final]]</f>
        <v>35</v>
      </c>
      <c r="I1330" s="94">
        <f>STOCK[[#This Row],[Precio Venta Ideal (x1.5)]]</f>
        <v>27.03</v>
      </c>
      <c r="J1330" s="96">
        <v>2</v>
      </c>
      <c r="K1330" s="96">
        <f>SUMIFS(VENTAS[Cantidad],VENTAS[Código del producto Vendido],STOCK[[#This Row],[Code]])</f>
        <v>1</v>
      </c>
      <c r="L1330" s="96">
        <f>STOCK[[#This Row],[Entradas]]-STOCK[[#This Row],[Salidas]]</f>
        <v>1</v>
      </c>
      <c r="M1330" s="94">
        <f>STOCK[[#This Row],[Precio Final]]*10%</f>
        <v>3.5</v>
      </c>
      <c r="N1330" s="94">
        <v>0</v>
      </c>
      <c r="O1330" s="94">
        <v>0</v>
      </c>
      <c r="P1330" s="94">
        <v>12.15</v>
      </c>
      <c r="Q1330" s="96">
        <v>0</v>
      </c>
      <c r="R1330" s="94">
        <v>0</v>
      </c>
      <c r="S1330" s="94">
        <v>2.37</v>
      </c>
      <c r="T1330" s="94">
        <f>STOCK[[#This Row],[Costo Unitario (USD)]]+STOCK[[#This Row],[Costo Envío (USD)]]+STOCK[[#This Row],[Comisión 10%]]</f>
        <v>18.02</v>
      </c>
      <c r="U1330" s="76">
        <f>STOCK[[#This Row],[Costo total]]*1.5</f>
        <v>27.03</v>
      </c>
      <c r="V1330" s="94">
        <v>35</v>
      </c>
      <c r="W1330" s="94">
        <f>STOCK[[#This Row],[Precio Final]]-STOCK[[#This Row],[Costo total]]</f>
        <v>16.98</v>
      </c>
      <c r="X1330" s="94">
        <f>STOCK[[#This Row],[Ganancia Unitaria]]*STOCK[[#This Row],[Salidas]]</f>
        <v>16.98</v>
      </c>
      <c r="Y1330" s="94" t="s">
        <v>2729</v>
      </c>
      <c r="Z1330" s="94"/>
      <c r="AA1330" s="94">
        <f>STOCK[[#This Row],[Costo total]]*STOCK[[#This Row],[Entradas]]</f>
        <v>36.04</v>
      </c>
      <c r="AB1330" s="94">
        <f>STOCK[[#This Row],[Stock Actual]]*STOCK[[#This Row],[Costo total]]</f>
        <v>18.02</v>
      </c>
      <c r="AC1330" s="94"/>
    </row>
    <row r="1331" s="76" customFormat="1" ht="50" customHeight="1" spans="1:29">
      <c r="A1331" s="76" t="s">
        <v>2747</v>
      </c>
      <c r="B1331" s="95"/>
      <c r="C1331" s="94" t="s">
        <v>30</v>
      </c>
      <c r="D1331" s="94" t="s">
        <v>2626</v>
      </c>
      <c r="E1331" s="94" t="s">
        <v>2748</v>
      </c>
      <c r="F1331" s="94" t="s">
        <v>60</v>
      </c>
      <c r="G1331" s="94" t="s">
        <v>34</v>
      </c>
      <c r="H1331" s="94">
        <f>STOCK[[#This Row],[Precio Final]]</f>
        <v>20</v>
      </c>
      <c r="I1331" s="94">
        <f>STOCK[[#This Row],[Precio Venta Ideal (x1.5)]]</f>
        <v>12.18</v>
      </c>
      <c r="J1331" s="96">
        <v>2</v>
      </c>
      <c r="K1331" s="96">
        <f>SUMIFS(VENTAS[Cantidad],VENTAS[Código del producto Vendido],STOCK[[#This Row],[Code]])</f>
        <v>0</v>
      </c>
      <c r="L1331" s="96">
        <f>STOCK[[#This Row],[Entradas]]-STOCK[[#This Row],[Salidas]]</f>
        <v>2</v>
      </c>
      <c r="M1331" s="94">
        <f>STOCK[[#This Row],[Precio Final]]*10%</f>
        <v>2</v>
      </c>
      <c r="N1331" s="94">
        <v>0</v>
      </c>
      <c r="O1331" s="94">
        <v>0</v>
      </c>
      <c r="P1331" s="94">
        <v>3.75</v>
      </c>
      <c r="Q1331" s="96">
        <v>0</v>
      </c>
      <c r="R1331" s="94">
        <v>0</v>
      </c>
      <c r="S1331" s="94">
        <v>2.37</v>
      </c>
      <c r="T1331" s="94">
        <f>STOCK[[#This Row],[Costo Unitario (USD)]]+STOCK[[#This Row],[Costo Envío (USD)]]+STOCK[[#This Row],[Comisión 10%]]</f>
        <v>8.12</v>
      </c>
      <c r="U1331" s="76">
        <f>STOCK[[#This Row],[Costo total]]*1.5</f>
        <v>12.18</v>
      </c>
      <c r="V1331" s="94">
        <v>20</v>
      </c>
      <c r="W1331" s="94">
        <f>STOCK[[#This Row],[Precio Final]]-STOCK[[#This Row],[Costo total]]</f>
        <v>11.88</v>
      </c>
      <c r="X1331" s="94">
        <f>STOCK[[#This Row],[Ganancia Unitaria]]*STOCK[[#This Row],[Salidas]]</f>
        <v>0</v>
      </c>
      <c r="Y1331" s="94" t="s">
        <v>2729</v>
      </c>
      <c r="Z1331" s="94"/>
      <c r="AA1331" s="94">
        <f>STOCK[[#This Row],[Costo total]]*STOCK[[#This Row],[Entradas]]</f>
        <v>16.24</v>
      </c>
      <c r="AB1331" s="94">
        <f>STOCK[[#This Row],[Stock Actual]]*STOCK[[#This Row],[Costo total]]</f>
        <v>16.24</v>
      </c>
      <c r="AC1331" s="94"/>
    </row>
    <row r="1332" s="76" customFormat="1" ht="50" customHeight="1" spans="1:29">
      <c r="A1332" s="76" t="s">
        <v>2749</v>
      </c>
      <c r="B1332" s="95"/>
      <c r="C1332" s="94" t="s">
        <v>30</v>
      </c>
      <c r="D1332" s="94" t="s">
        <v>2626</v>
      </c>
      <c r="E1332" s="94" t="s">
        <v>2748</v>
      </c>
      <c r="F1332" s="94" t="s">
        <v>47</v>
      </c>
      <c r="G1332" s="94" t="s">
        <v>34</v>
      </c>
      <c r="H1332" s="94">
        <f>STOCK[[#This Row],[Precio Final]]</f>
        <v>20</v>
      </c>
      <c r="I1332" s="94">
        <f>STOCK[[#This Row],[Precio Venta Ideal (x1.5)]]</f>
        <v>12.18</v>
      </c>
      <c r="J1332" s="96">
        <v>2</v>
      </c>
      <c r="K1332" s="96">
        <f>SUMIFS(VENTAS[Cantidad],VENTAS[Código del producto Vendido],STOCK[[#This Row],[Code]])</f>
        <v>1</v>
      </c>
      <c r="L1332" s="96">
        <f>STOCK[[#This Row],[Entradas]]-STOCK[[#This Row],[Salidas]]</f>
        <v>1</v>
      </c>
      <c r="M1332" s="94">
        <f>STOCK[[#This Row],[Precio Final]]*10%</f>
        <v>2</v>
      </c>
      <c r="N1332" s="94">
        <v>0</v>
      </c>
      <c r="O1332" s="94">
        <v>0</v>
      </c>
      <c r="P1332" s="94">
        <v>3.75</v>
      </c>
      <c r="Q1332" s="96">
        <v>0</v>
      </c>
      <c r="R1332" s="94">
        <v>0</v>
      </c>
      <c r="S1332" s="94">
        <v>2.37</v>
      </c>
      <c r="T1332" s="94">
        <f>STOCK[[#This Row],[Costo Unitario (USD)]]+STOCK[[#This Row],[Costo Envío (USD)]]+STOCK[[#This Row],[Comisión 10%]]</f>
        <v>8.12</v>
      </c>
      <c r="U1332" s="76">
        <f>STOCK[[#This Row],[Costo total]]*1.5</f>
        <v>12.18</v>
      </c>
      <c r="V1332" s="94">
        <v>20</v>
      </c>
      <c r="W1332" s="94">
        <f>STOCK[[#This Row],[Precio Final]]-STOCK[[#This Row],[Costo total]]</f>
        <v>11.88</v>
      </c>
      <c r="X1332" s="94">
        <f>STOCK[[#This Row],[Ganancia Unitaria]]*STOCK[[#This Row],[Salidas]]</f>
        <v>11.88</v>
      </c>
      <c r="Y1332" s="94" t="s">
        <v>2729</v>
      </c>
      <c r="Z1332" s="94"/>
      <c r="AA1332" s="94">
        <f>STOCK[[#This Row],[Costo total]]*STOCK[[#This Row],[Entradas]]</f>
        <v>16.24</v>
      </c>
      <c r="AB1332" s="94">
        <f>STOCK[[#This Row],[Stock Actual]]*STOCK[[#This Row],[Costo total]]</f>
        <v>8.12</v>
      </c>
      <c r="AC1332" s="94"/>
    </row>
    <row r="1333" s="76" customFormat="1" ht="50" customHeight="1" spans="1:29">
      <c r="A1333" s="76" t="s">
        <v>2750</v>
      </c>
      <c r="B1333" s="95"/>
      <c r="C1333" s="94" t="s">
        <v>30</v>
      </c>
      <c r="D1333" s="94" t="s">
        <v>2626</v>
      </c>
      <c r="E1333" s="94" t="s">
        <v>2748</v>
      </c>
      <c r="F1333" s="94" t="s">
        <v>44</v>
      </c>
      <c r="G1333" s="94" t="s">
        <v>34</v>
      </c>
      <c r="H1333" s="94">
        <f>STOCK[[#This Row],[Precio Final]]</f>
        <v>20</v>
      </c>
      <c r="I1333" s="94">
        <f>STOCK[[#This Row],[Precio Venta Ideal (x1.5)]]</f>
        <v>12.18</v>
      </c>
      <c r="J1333" s="96">
        <v>2</v>
      </c>
      <c r="K1333" s="96">
        <f>SUMIFS(VENTAS[Cantidad],VENTAS[Código del producto Vendido],STOCK[[#This Row],[Code]])</f>
        <v>1</v>
      </c>
      <c r="L1333" s="96">
        <f>STOCK[[#This Row],[Entradas]]-STOCK[[#This Row],[Salidas]]</f>
        <v>1</v>
      </c>
      <c r="M1333" s="94">
        <f>STOCK[[#This Row],[Precio Final]]*10%</f>
        <v>2</v>
      </c>
      <c r="N1333" s="94">
        <v>0</v>
      </c>
      <c r="O1333" s="94">
        <v>0</v>
      </c>
      <c r="P1333" s="94">
        <v>3.75</v>
      </c>
      <c r="Q1333" s="96">
        <v>0</v>
      </c>
      <c r="R1333" s="94">
        <v>0</v>
      </c>
      <c r="S1333" s="94">
        <v>2.37</v>
      </c>
      <c r="T1333" s="94">
        <f>STOCK[[#This Row],[Costo Unitario (USD)]]+STOCK[[#This Row],[Costo Envío (USD)]]+STOCK[[#This Row],[Comisión 10%]]</f>
        <v>8.12</v>
      </c>
      <c r="U1333" s="76">
        <f>STOCK[[#This Row],[Costo total]]*1.5</f>
        <v>12.18</v>
      </c>
      <c r="V1333" s="94">
        <v>20</v>
      </c>
      <c r="W1333" s="94">
        <f>STOCK[[#This Row],[Precio Final]]-STOCK[[#This Row],[Costo total]]</f>
        <v>11.88</v>
      </c>
      <c r="X1333" s="94">
        <f>STOCK[[#This Row],[Ganancia Unitaria]]*STOCK[[#This Row],[Salidas]]</f>
        <v>11.88</v>
      </c>
      <c r="Y1333" s="94" t="s">
        <v>2729</v>
      </c>
      <c r="Z1333" s="94"/>
      <c r="AA1333" s="94">
        <f>STOCK[[#This Row],[Costo total]]*STOCK[[#This Row],[Entradas]]</f>
        <v>16.24</v>
      </c>
      <c r="AB1333" s="94">
        <f>STOCK[[#This Row],[Stock Actual]]*STOCK[[#This Row],[Costo total]]</f>
        <v>8.12</v>
      </c>
      <c r="AC1333" s="94"/>
    </row>
    <row r="1334" s="76" customFormat="1" ht="50" customHeight="1" spans="1:29">
      <c r="A1334" s="76" t="s">
        <v>2751</v>
      </c>
      <c r="B1334" s="95"/>
      <c r="C1334" s="94" t="s">
        <v>30</v>
      </c>
      <c r="D1334" s="94" t="s">
        <v>2626</v>
      </c>
      <c r="E1334" s="94" t="s">
        <v>2752</v>
      </c>
      <c r="F1334" s="94" t="s">
        <v>60</v>
      </c>
      <c r="G1334" s="94" t="s">
        <v>34</v>
      </c>
      <c r="H1334" s="94">
        <f>STOCK[[#This Row],[Precio Final]]</f>
        <v>35</v>
      </c>
      <c r="I1334" s="94">
        <f>STOCK[[#This Row],[Precio Venta Ideal (x1.5)]]</f>
        <v>24.285</v>
      </c>
      <c r="J1334" s="96">
        <v>3</v>
      </c>
      <c r="K1334" s="96">
        <f>SUMIFS(VENTAS[Cantidad],VENTAS[Código del producto Vendido],STOCK[[#This Row],[Code]])</f>
        <v>0</v>
      </c>
      <c r="L1334" s="96">
        <f>STOCK[[#This Row],[Entradas]]-STOCK[[#This Row],[Salidas]]</f>
        <v>3</v>
      </c>
      <c r="M1334" s="94">
        <f>STOCK[[#This Row],[Precio Final]]*10%</f>
        <v>3.5</v>
      </c>
      <c r="N1334" s="94">
        <v>0</v>
      </c>
      <c r="O1334" s="94">
        <v>0</v>
      </c>
      <c r="P1334" s="94">
        <v>10.32</v>
      </c>
      <c r="Q1334" s="96">
        <v>0</v>
      </c>
      <c r="R1334" s="94">
        <v>0</v>
      </c>
      <c r="S1334" s="94">
        <v>2.37</v>
      </c>
      <c r="T1334" s="94">
        <f>STOCK[[#This Row],[Costo Unitario (USD)]]+STOCK[[#This Row],[Costo Envío (USD)]]+STOCK[[#This Row],[Comisión 10%]]</f>
        <v>16.19</v>
      </c>
      <c r="U1334" s="76">
        <f>STOCK[[#This Row],[Costo total]]*1.5</f>
        <v>24.285</v>
      </c>
      <c r="V1334" s="94">
        <v>35</v>
      </c>
      <c r="W1334" s="94">
        <f>STOCK[[#This Row],[Precio Final]]-STOCK[[#This Row],[Costo total]]</f>
        <v>18.81</v>
      </c>
      <c r="X1334" s="94">
        <f>STOCK[[#This Row],[Ganancia Unitaria]]*STOCK[[#This Row],[Salidas]]</f>
        <v>0</v>
      </c>
      <c r="Y1334" s="94" t="s">
        <v>2729</v>
      </c>
      <c r="Z1334" s="94"/>
      <c r="AA1334" s="94">
        <f>STOCK[[#This Row],[Costo total]]*STOCK[[#This Row],[Entradas]]</f>
        <v>48.57</v>
      </c>
      <c r="AB1334" s="94">
        <f>STOCK[[#This Row],[Stock Actual]]*STOCK[[#This Row],[Costo total]]</f>
        <v>48.57</v>
      </c>
      <c r="AC1334" s="94">
        <v>30</v>
      </c>
    </row>
    <row r="1335" s="76" customFormat="1" ht="50" customHeight="1" spans="1:29">
      <c r="A1335" s="76" t="s">
        <v>2753</v>
      </c>
      <c r="B1335" s="95"/>
      <c r="C1335" s="94" t="s">
        <v>30</v>
      </c>
      <c r="D1335" s="94" t="s">
        <v>2626</v>
      </c>
      <c r="E1335" s="94" t="s">
        <v>2752</v>
      </c>
      <c r="F1335" s="94" t="s">
        <v>47</v>
      </c>
      <c r="G1335" s="94" t="s">
        <v>34</v>
      </c>
      <c r="H1335" s="94">
        <f>STOCK[[#This Row],[Precio Final]]</f>
        <v>35</v>
      </c>
      <c r="I1335" s="94">
        <f>STOCK[[#This Row],[Precio Venta Ideal (x1.5)]]</f>
        <v>24.285</v>
      </c>
      <c r="J1335" s="96">
        <v>3</v>
      </c>
      <c r="K1335" s="96">
        <f>SUMIFS(VENTAS[Cantidad],VENTAS[Código del producto Vendido],STOCK[[#This Row],[Code]])</f>
        <v>0</v>
      </c>
      <c r="L1335" s="96">
        <f>STOCK[[#This Row],[Entradas]]-STOCK[[#This Row],[Salidas]]</f>
        <v>3</v>
      </c>
      <c r="M1335" s="94">
        <f>STOCK[[#This Row],[Precio Final]]*10%</f>
        <v>3.5</v>
      </c>
      <c r="N1335" s="94">
        <v>0</v>
      </c>
      <c r="O1335" s="94">
        <v>0</v>
      </c>
      <c r="P1335" s="94">
        <v>10.32</v>
      </c>
      <c r="Q1335" s="96">
        <v>0</v>
      </c>
      <c r="R1335" s="94">
        <v>0</v>
      </c>
      <c r="S1335" s="94">
        <v>2.37</v>
      </c>
      <c r="T1335" s="94">
        <f>STOCK[[#This Row],[Costo Unitario (USD)]]+STOCK[[#This Row],[Costo Envío (USD)]]+STOCK[[#This Row],[Comisión 10%]]</f>
        <v>16.19</v>
      </c>
      <c r="U1335" s="76">
        <f>STOCK[[#This Row],[Costo total]]*1.5</f>
        <v>24.285</v>
      </c>
      <c r="V1335" s="94">
        <v>35</v>
      </c>
      <c r="W1335" s="94">
        <f>STOCK[[#This Row],[Precio Final]]-STOCK[[#This Row],[Costo total]]</f>
        <v>18.81</v>
      </c>
      <c r="X1335" s="94">
        <f>STOCK[[#This Row],[Ganancia Unitaria]]*STOCK[[#This Row],[Salidas]]</f>
        <v>0</v>
      </c>
      <c r="Y1335" s="94" t="s">
        <v>2729</v>
      </c>
      <c r="Z1335" s="94"/>
      <c r="AA1335" s="94">
        <f>STOCK[[#This Row],[Costo total]]*STOCK[[#This Row],[Entradas]]</f>
        <v>48.57</v>
      </c>
      <c r="AB1335" s="94">
        <f>STOCK[[#This Row],[Stock Actual]]*STOCK[[#This Row],[Costo total]]</f>
        <v>48.57</v>
      </c>
      <c r="AC1335" s="94">
        <v>30</v>
      </c>
    </row>
    <row r="1336" s="76" customFormat="1" ht="50" customHeight="1" spans="1:29">
      <c r="A1336" s="76" t="s">
        <v>2754</v>
      </c>
      <c r="B1336" s="95"/>
      <c r="C1336" s="94" t="s">
        <v>30</v>
      </c>
      <c r="D1336" s="94" t="s">
        <v>2626</v>
      </c>
      <c r="E1336" s="94" t="s">
        <v>2752</v>
      </c>
      <c r="F1336" s="94" t="s">
        <v>44</v>
      </c>
      <c r="G1336" s="94" t="s">
        <v>34</v>
      </c>
      <c r="H1336" s="76">
        <f>STOCK[[#This Row],[Precio Final]]</f>
        <v>35</v>
      </c>
      <c r="I1336" s="97">
        <f>STOCK[[#This Row],[Precio Venta Ideal (x1.5)]]</f>
        <v>24.285</v>
      </c>
      <c r="J1336" s="96">
        <v>3</v>
      </c>
      <c r="K1336" s="91">
        <f>SUMIFS(VENTAS[Cantidad],VENTAS[Código del producto Vendido],STOCK[[#This Row],[Code]])</f>
        <v>0</v>
      </c>
      <c r="L1336" s="91">
        <f>STOCK[[#This Row],[Entradas]]-STOCK[[#This Row],[Salidas]]</f>
        <v>3</v>
      </c>
      <c r="M1336" s="76">
        <f>STOCK[[#This Row],[Precio Final]]*10%</f>
        <v>3.5</v>
      </c>
      <c r="N1336" s="94">
        <v>0</v>
      </c>
      <c r="O1336" s="94">
        <v>0</v>
      </c>
      <c r="P1336" s="76">
        <v>10.32</v>
      </c>
      <c r="Q1336" s="96">
        <v>0</v>
      </c>
      <c r="R1336" s="94">
        <v>0</v>
      </c>
      <c r="S1336" s="94">
        <v>2.37</v>
      </c>
      <c r="T1336" s="76">
        <f>STOCK[[#This Row],[Costo Unitario (USD)]]+STOCK[[#This Row],[Costo Envío (USD)]]+STOCK[[#This Row],[Comisión 10%]]</f>
        <v>16.19</v>
      </c>
      <c r="U1336" s="76">
        <f>STOCK[[#This Row],[Costo total]]*1.5</f>
        <v>24.285</v>
      </c>
      <c r="V1336" s="76">
        <v>35</v>
      </c>
      <c r="W1336" s="76">
        <f>STOCK[[#This Row],[Precio Final]]-STOCK[[#This Row],[Costo total]]</f>
        <v>18.81</v>
      </c>
      <c r="X1336" s="76">
        <f>STOCK[[#This Row],[Ganancia Unitaria]]*STOCK[[#This Row],[Salidas]]</f>
        <v>0</v>
      </c>
      <c r="Y1336" s="94" t="s">
        <v>2729</v>
      </c>
      <c r="AA1336" s="76">
        <f>STOCK[[#This Row],[Costo total]]*STOCK[[#This Row],[Entradas]]</f>
        <v>48.57</v>
      </c>
      <c r="AB1336" s="76">
        <f>STOCK[[#This Row],[Stock Actual]]*STOCK[[#This Row],[Costo total]]</f>
        <v>48.57</v>
      </c>
      <c r="AC1336" s="76">
        <v>30</v>
      </c>
    </row>
    <row r="1337" s="76" customFormat="1" ht="50" customHeight="1" spans="1:29">
      <c r="A1337" s="76" t="s">
        <v>2755</v>
      </c>
      <c r="B1337" s="95"/>
      <c r="C1337" s="94" t="s">
        <v>30</v>
      </c>
      <c r="D1337" s="94" t="s">
        <v>2626</v>
      </c>
      <c r="E1337" s="94" t="s">
        <v>2756</v>
      </c>
      <c r="F1337" s="94" t="s">
        <v>60</v>
      </c>
      <c r="G1337" s="94" t="s">
        <v>34</v>
      </c>
      <c r="H1337" s="94">
        <f>STOCK[[#This Row],[Precio Final]]</f>
        <v>15</v>
      </c>
      <c r="I1337" s="98">
        <f>STOCK[[#This Row],[Precio Venta Ideal (x1.5)]]</f>
        <v>18.675</v>
      </c>
      <c r="J1337" s="96">
        <v>0</v>
      </c>
      <c r="K1337" s="96">
        <f>SUMIFS(VENTAS[Cantidad],VENTAS[Código del producto Vendido],STOCK[[#This Row],[Code]])</f>
        <v>0</v>
      </c>
      <c r="L1337" s="96">
        <f>STOCK[[#This Row],[Entradas]]-STOCK[[#This Row],[Salidas]]</f>
        <v>0</v>
      </c>
      <c r="M1337" s="94">
        <f>STOCK[[#This Row],[Precio Final]]*10%</f>
        <v>1.5</v>
      </c>
      <c r="N1337" s="94">
        <v>0</v>
      </c>
      <c r="O1337" s="94">
        <v>0</v>
      </c>
      <c r="P1337" s="94">
        <v>8.58</v>
      </c>
      <c r="Q1337" s="96">
        <v>0</v>
      </c>
      <c r="R1337" s="94">
        <v>0</v>
      </c>
      <c r="S1337" s="94">
        <v>2.37</v>
      </c>
      <c r="T1337" s="94">
        <f>STOCK[[#This Row],[Costo Unitario (USD)]]+STOCK[[#This Row],[Costo Envío (USD)]]+STOCK[[#This Row],[Comisión 10%]]</f>
        <v>12.45</v>
      </c>
      <c r="U1337" s="76">
        <f>STOCK[[#This Row],[Costo total]]*1.5</f>
        <v>18.675</v>
      </c>
      <c r="V1337" s="94">
        <v>15</v>
      </c>
      <c r="W1337" s="94">
        <f>STOCK[[#This Row],[Precio Final]]-STOCK[[#This Row],[Costo total]]</f>
        <v>2.55</v>
      </c>
      <c r="X1337" s="94">
        <f>STOCK[[#This Row],[Ganancia Unitaria]]*STOCK[[#This Row],[Salidas]]</f>
        <v>0</v>
      </c>
      <c r="Y1337" s="94" t="s">
        <v>2729</v>
      </c>
      <c r="Z1337" s="94"/>
      <c r="AA1337" s="94">
        <f>STOCK[[#This Row],[Costo total]]*STOCK[[#This Row],[Entradas]]</f>
        <v>0</v>
      </c>
      <c r="AB1337" s="94">
        <f>STOCK[[#This Row],[Stock Actual]]*STOCK[[#This Row],[Costo total]]</f>
        <v>0</v>
      </c>
      <c r="AC1337" s="94"/>
    </row>
    <row r="1338" s="76" customFormat="1" ht="50" customHeight="1" spans="1:29">
      <c r="A1338" s="76" t="s">
        <v>2757</v>
      </c>
      <c r="B1338" s="95"/>
      <c r="C1338" s="94" t="s">
        <v>30</v>
      </c>
      <c r="D1338" s="94" t="s">
        <v>2626</v>
      </c>
      <c r="E1338" s="94" t="s">
        <v>2758</v>
      </c>
      <c r="F1338" s="94" t="s">
        <v>60</v>
      </c>
      <c r="G1338" s="94" t="s">
        <v>34</v>
      </c>
      <c r="H1338" s="94">
        <f>STOCK[[#This Row],[Precio Final]]</f>
        <v>25</v>
      </c>
      <c r="I1338" s="98">
        <f>STOCK[[#This Row],[Precio Venta Ideal (x1.5)]]</f>
        <v>21.15</v>
      </c>
      <c r="J1338" s="96">
        <v>1</v>
      </c>
      <c r="K1338" s="96">
        <f>SUMIFS(VENTAS[Cantidad],VENTAS[Código del producto Vendido],STOCK[[#This Row],[Code]])</f>
        <v>1</v>
      </c>
      <c r="L1338" s="96">
        <f>STOCK[[#This Row],[Entradas]]-STOCK[[#This Row],[Salidas]]</f>
        <v>0</v>
      </c>
      <c r="M1338" s="94">
        <f>STOCK[[#This Row],[Precio Final]]*10%</f>
        <v>2.5</v>
      </c>
      <c r="N1338" s="94">
        <v>0</v>
      </c>
      <c r="O1338" s="94">
        <v>0</v>
      </c>
      <c r="P1338" s="94">
        <v>9.23</v>
      </c>
      <c r="Q1338" s="96">
        <v>0</v>
      </c>
      <c r="R1338" s="94">
        <v>0</v>
      </c>
      <c r="S1338" s="94">
        <v>2.37</v>
      </c>
      <c r="T1338" s="94">
        <f>STOCK[[#This Row],[Costo Unitario (USD)]]+STOCK[[#This Row],[Costo Envío (USD)]]+STOCK[[#This Row],[Comisión 10%]]</f>
        <v>14.1</v>
      </c>
      <c r="U1338" s="76">
        <f>STOCK[[#This Row],[Costo total]]*1.5</f>
        <v>21.15</v>
      </c>
      <c r="V1338" s="94">
        <v>25</v>
      </c>
      <c r="W1338" s="94">
        <f>STOCK[[#This Row],[Precio Final]]-STOCK[[#This Row],[Costo total]]</f>
        <v>10.9</v>
      </c>
      <c r="X1338" s="94">
        <f>STOCK[[#This Row],[Ganancia Unitaria]]*STOCK[[#This Row],[Salidas]]</f>
        <v>10.9</v>
      </c>
      <c r="Y1338" s="94" t="s">
        <v>2729</v>
      </c>
      <c r="Z1338" s="94"/>
      <c r="AA1338" s="94">
        <f>STOCK[[#This Row],[Costo total]]*STOCK[[#This Row],[Entradas]]</f>
        <v>14.1</v>
      </c>
      <c r="AB1338" s="94">
        <f>STOCK[[#This Row],[Stock Actual]]*STOCK[[#This Row],[Costo total]]</f>
        <v>0</v>
      </c>
      <c r="AC1338" s="94"/>
    </row>
    <row r="1339" s="76" customFormat="1" ht="50" customHeight="1" spans="1:29">
      <c r="A1339" s="76" t="s">
        <v>2759</v>
      </c>
      <c r="B1339" s="95"/>
      <c r="C1339" s="94" t="s">
        <v>30</v>
      </c>
      <c r="D1339" s="94" t="s">
        <v>2125</v>
      </c>
      <c r="E1339" s="94" t="s">
        <v>2760</v>
      </c>
      <c r="F1339" s="94" t="s">
        <v>60</v>
      </c>
      <c r="G1339" s="94" t="s">
        <v>34</v>
      </c>
      <c r="H1339" s="94">
        <f>STOCK[[#This Row],[Precio Final]]</f>
        <v>22</v>
      </c>
      <c r="I1339" s="98">
        <f>STOCK[[#This Row],[Precio Venta Ideal (x1.5)]]</f>
        <v>23.145</v>
      </c>
      <c r="J1339" s="96">
        <v>2</v>
      </c>
      <c r="K1339" s="96">
        <f>SUMIFS(VENTAS[Cantidad],VENTAS[Código del producto Vendido],STOCK[[#This Row],[Code]])</f>
        <v>2</v>
      </c>
      <c r="L1339" s="96">
        <f>STOCK[[#This Row],[Entradas]]-STOCK[[#This Row],[Salidas]]</f>
        <v>0</v>
      </c>
      <c r="M1339" s="94">
        <f>STOCK[[#This Row],[Precio Final]]*10%</f>
        <v>2.2</v>
      </c>
      <c r="N1339" s="94">
        <v>0</v>
      </c>
      <c r="O1339" s="94">
        <v>0</v>
      </c>
      <c r="P1339" s="94">
        <v>10.86</v>
      </c>
      <c r="Q1339" s="96">
        <v>0</v>
      </c>
      <c r="R1339" s="94">
        <v>0</v>
      </c>
      <c r="S1339" s="94">
        <v>2.37</v>
      </c>
      <c r="T1339" s="94">
        <f>STOCK[[#This Row],[Costo Unitario (USD)]]+STOCK[[#This Row],[Costo Envío (USD)]]+STOCK[[#This Row],[Comisión 10%]]</f>
        <v>15.43</v>
      </c>
      <c r="U1339" s="76">
        <f>STOCK[[#This Row],[Costo total]]*1.5</f>
        <v>23.145</v>
      </c>
      <c r="V1339" s="94">
        <v>22</v>
      </c>
      <c r="W1339" s="94">
        <f>STOCK[[#This Row],[Precio Final]]-STOCK[[#This Row],[Costo total]]</f>
        <v>6.57</v>
      </c>
      <c r="X1339" s="94">
        <f>STOCK[[#This Row],[Ganancia Unitaria]]*STOCK[[#This Row],[Salidas]]</f>
        <v>13.14</v>
      </c>
      <c r="Y1339" s="94" t="s">
        <v>2729</v>
      </c>
      <c r="Z1339" s="94"/>
      <c r="AA1339" s="94">
        <f>STOCK[[#This Row],[Costo total]]*STOCK[[#This Row],[Entradas]]</f>
        <v>30.86</v>
      </c>
      <c r="AB1339" s="94">
        <f>STOCK[[#This Row],[Stock Actual]]*STOCK[[#This Row],[Costo total]]</f>
        <v>0</v>
      </c>
      <c r="AC1339" s="94"/>
    </row>
    <row r="1340" s="76" customFormat="1" ht="50" customHeight="1" spans="1:29">
      <c r="A1340" s="76" t="s">
        <v>2761</v>
      </c>
      <c r="B1340" s="95"/>
      <c r="C1340" s="94" t="s">
        <v>30</v>
      </c>
      <c r="D1340" s="94" t="s">
        <v>2125</v>
      </c>
      <c r="E1340" s="94" t="s">
        <v>2760</v>
      </c>
      <c r="F1340" s="94" t="s">
        <v>47</v>
      </c>
      <c r="G1340" s="94" t="s">
        <v>34</v>
      </c>
      <c r="H1340" s="94">
        <f>STOCK[[#This Row],[Precio Final]]</f>
        <v>22</v>
      </c>
      <c r="I1340" s="98">
        <f>STOCK[[#This Row],[Precio Venta Ideal (x1.5)]]</f>
        <v>23.145</v>
      </c>
      <c r="J1340" s="96">
        <v>2</v>
      </c>
      <c r="K1340" s="96">
        <f>SUMIFS(VENTAS[Cantidad],VENTAS[Código del producto Vendido],STOCK[[#This Row],[Code]])</f>
        <v>0</v>
      </c>
      <c r="L1340" s="96">
        <f>STOCK[[#This Row],[Entradas]]-STOCK[[#This Row],[Salidas]]</f>
        <v>2</v>
      </c>
      <c r="M1340" s="94">
        <f>STOCK[[#This Row],[Precio Final]]*10%</f>
        <v>2.2</v>
      </c>
      <c r="N1340" s="94">
        <v>0</v>
      </c>
      <c r="O1340" s="94">
        <v>0</v>
      </c>
      <c r="P1340" s="94">
        <v>10.86</v>
      </c>
      <c r="Q1340" s="96">
        <v>0</v>
      </c>
      <c r="R1340" s="94">
        <v>0</v>
      </c>
      <c r="S1340" s="94">
        <v>2.37</v>
      </c>
      <c r="T1340" s="94">
        <f>STOCK[[#This Row],[Costo Unitario (USD)]]+STOCK[[#This Row],[Costo Envío (USD)]]+STOCK[[#This Row],[Comisión 10%]]</f>
        <v>15.43</v>
      </c>
      <c r="U1340" s="76">
        <f>STOCK[[#This Row],[Costo total]]*1.5</f>
        <v>23.145</v>
      </c>
      <c r="V1340" s="94">
        <v>22</v>
      </c>
      <c r="W1340" s="94">
        <f>STOCK[[#This Row],[Precio Final]]-STOCK[[#This Row],[Costo total]]</f>
        <v>6.57</v>
      </c>
      <c r="X1340" s="94">
        <f>STOCK[[#This Row],[Ganancia Unitaria]]*STOCK[[#This Row],[Salidas]]</f>
        <v>0</v>
      </c>
      <c r="Y1340" s="94" t="s">
        <v>2729</v>
      </c>
      <c r="Z1340" s="94"/>
      <c r="AA1340" s="94">
        <f>STOCK[[#This Row],[Costo total]]*STOCK[[#This Row],[Entradas]]</f>
        <v>30.86</v>
      </c>
      <c r="AB1340" s="94">
        <f>STOCK[[#This Row],[Stock Actual]]*STOCK[[#This Row],[Costo total]]</f>
        <v>30.86</v>
      </c>
      <c r="AC1340" s="94"/>
    </row>
    <row r="1341" s="76" customFormat="1" ht="50" customHeight="1" spans="1:29">
      <c r="A1341" s="76" t="s">
        <v>2762</v>
      </c>
      <c r="B1341" s="95"/>
      <c r="C1341" s="94" t="s">
        <v>30</v>
      </c>
      <c r="D1341" s="94" t="s">
        <v>2125</v>
      </c>
      <c r="E1341" s="94" t="s">
        <v>2760</v>
      </c>
      <c r="F1341" s="94" t="s">
        <v>44</v>
      </c>
      <c r="G1341" s="94" t="s">
        <v>34</v>
      </c>
      <c r="H1341" s="94">
        <f>STOCK[[#This Row],[Precio Final]]</f>
        <v>22</v>
      </c>
      <c r="I1341" s="98">
        <f>STOCK[[#This Row],[Precio Venta Ideal (x1.5)]]</f>
        <v>23.145</v>
      </c>
      <c r="J1341" s="96">
        <v>2</v>
      </c>
      <c r="K1341" s="96">
        <f>SUMIFS(VENTAS[Cantidad],VENTAS[Código del producto Vendido],STOCK[[#This Row],[Code]])</f>
        <v>0</v>
      </c>
      <c r="L1341" s="96">
        <f>STOCK[[#This Row],[Entradas]]-STOCK[[#This Row],[Salidas]]</f>
        <v>2</v>
      </c>
      <c r="M1341" s="94">
        <f>STOCK[[#This Row],[Precio Final]]*10%</f>
        <v>2.2</v>
      </c>
      <c r="N1341" s="94">
        <v>0</v>
      </c>
      <c r="O1341" s="94">
        <v>0</v>
      </c>
      <c r="P1341" s="94">
        <v>10.86</v>
      </c>
      <c r="Q1341" s="96">
        <v>0</v>
      </c>
      <c r="R1341" s="94">
        <v>0</v>
      </c>
      <c r="S1341" s="94">
        <v>2.37</v>
      </c>
      <c r="T1341" s="94">
        <f>STOCK[[#This Row],[Costo Unitario (USD)]]+STOCK[[#This Row],[Costo Envío (USD)]]+STOCK[[#This Row],[Comisión 10%]]</f>
        <v>15.43</v>
      </c>
      <c r="U1341" s="76">
        <f>STOCK[[#This Row],[Costo total]]*1.5</f>
        <v>23.145</v>
      </c>
      <c r="V1341" s="94">
        <v>22</v>
      </c>
      <c r="W1341" s="94">
        <f>STOCK[[#This Row],[Precio Final]]-STOCK[[#This Row],[Costo total]]</f>
        <v>6.57</v>
      </c>
      <c r="X1341" s="94">
        <f>STOCK[[#This Row],[Ganancia Unitaria]]*STOCK[[#This Row],[Salidas]]</f>
        <v>0</v>
      </c>
      <c r="Y1341" s="94" t="s">
        <v>2729</v>
      </c>
      <c r="Z1341" s="94"/>
      <c r="AA1341" s="94">
        <f>STOCK[[#This Row],[Costo total]]*STOCK[[#This Row],[Entradas]]</f>
        <v>30.86</v>
      </c>
      <c r="AB1341" s="94">
        <f>STOCK[[#This Row],[Stock Actual]]*STOCK[[#This Row],[Costo total]]</f>
        <v>30.86</v>
      </c>
      <c r="AC1341" s="94"/>
    </row>
    <row r="1342" s="76" customFormat="1" ht="50" customHeight="1" spans="1:29">
      <c r="A1342" s="76" t="s">
        <v>2763</v>
      </c>
      <c r="B1342" s="95"/>
      <c r="C1342" s="94" t="s">
        <v>30</v>
      </c>
      <c r="D1342" s="94" t="s">
        <v>2125</v>
      </c>
      <c r="E1342" s="94" t="s">
        <v>2764</v>
      </c>
      <c r="F1342" s="94" t="s">
        <v>60</v>
      </c>
      <c r="G1342" s="94" t="s">
        <v>34</v>
      </c>
      <c r="H1342" s="94">
        <f>STOCK[[#This Row],[Precio Final]]</f>
        <v>22</v>
      </c>
      <c r="I1342" s="98">
        <f>STOCK[[#This Row],[Precio Venta Ideal (x1.5)]]</f>
        <v>22.605</v>
      </c>
      <c r="J1342" s="96">
        <v>2</v>
      </c>
      <c r="K1342" s="96">
        <f>SUMIFS(VENTAS[Cantidad],VENTAS[Código del producto Vendido],STOCK[[#This Row],[Code]])</f>
        <v>0</v>
      </c>
      <c r="L1342" s="96">
        <f>STOCK[[#This Row],[Entradas]]-STOCK[[#This Row],[Salidas]]</f>
        <v>2</v>
      </c>
      <c r="M1342" s="94">
        <f>STOCK[[#This Row],[Precio Final]]*10%</f>
        <v>2.2</v>
      </c>
      <c r="N1342" s="94">
        <v>0</v>
      </c>
      <c r="O1342" s="94">
        <v>0</v>
      </c>
      <c r="P1342" s="94">
        <v>10.5</v>
      </c>
      <c r="Q1342" s="96">
        <v>0</v>
      </c>
      <c r="R1342" s="94">
        <v>0</v>
      </c>
      <c r="S1342" s="94">
        <v>2.37</v>
      </c>
      <c r="T1342" s="94">
        <f>STOCK[[#This Row],[Costo Unitario (USD)]]+STOCK[[#This Row],[Costo Envío (USD)]]+STOCK[[#This Row],[Comisión 10%]]</f>
        <v>15.07</v>
      </c>
      <c r="U1342" s="76">
        <f>STOCK[[#This Row],[Costo total]]*1.5</f>
        <v>22.605</v>
      </c>
      <c r="V1342" s="94">
        <v>22</v>
      </c>
      <c r="W1342" s="94">
        <f>STOCK[[#This Row],[Precio Final]]-STOCK[[#This Row],[Costo total]]</f>
        <v>6.93</v>
      </c>
      <c r="X1342" s="94">
        <f>STOCK[[#This Row],[Ganancia Unitaria]]*STOCK[[#This Row],[Salidas]]</f>
        <v>0</v>
      </c>
      <c r="Y1342" s="94" t="s">
        <v>2729</v>
      </c>
      <c r="Z1342" s="94"/>
      <c r="AA1342" s="94">
        <f>STOCK[[#This Row],[Costo total]]*STOCK[[#This Row],[Entradas]]</f>
        <v>30.14</v>
      </c>
      <c r="AB1342" s="94">
        <f>STOCK[[#This Row],[Stock Actual]]*STOCK[[#This Row],[Costo total]]</f>
        <v>30.14</v>
      </c>
      <c r="AC1342" s="94"/>
    </row>
    <row r="1343" s="76" customFormat="1" ht="50" customHeight="1" spans="1:29">
      <c r="A1343" s="76" t="s">
        <v>2765</v>
      </c>
      <c r="B1343" s="95"/>
      <c r="C1343" s="94" t="s">
        <v>30</v>
      </c>
      <c r="D1343" s="94" t="s">
        <v>2125</v>
      </c>
      <c r="E1343" s="94" t="s">
        <v>2764</v>
      </c>
      <c r="F1343" s="94" t="s">
        <v>47</v>
      </c>
      <c r="G1343" s="94" t="s">
        <v>34</v>
      </c>
      <c r="H1343" s="94">
        <f>STOCK[[#This Row],[Precio Final]]</f>
        <v>22</v>
      </c>
      <c r="I1343" s="98">
        <f>STOCK[[#This Row],[Precio Venta Ideal (x1.5)]]</f>
        <v>22.605</v>
      </c>
      <c r="J1343" s="96">
        <v>2</v>
      </c>
      <c r="K1343" s="96">
        <f>SUMIFS(VENTAS[Cantidad],VENTAS[Código del producto Vendido],STOCK[[#This Row],[Code]])</f>
        <v>0</v>
      </c>
      <c r="L1343" s="96">
        <f>STOCK[[#This Row],[Entradas]]-STOCK[[#This Row],[Salidas]]</f>
        <v>2</v>
      </c>
      <c r="M1343" s="94">
        <f>STOCK[[#This Row],[Precio Final]]*10%</f>
        <v>2.2</v>
      </c>
      <c r="N1343" s="94">
        <v>0</v>
      </c>
      <c r="O1343" s="94">
        <v>0</v>
      </c>
      <c r="P1343" s="94">
        <v>10.5</v>
      </c>
      <c r="Q1343" s="96">
        <v>0</v>
      </c>
      <c r="R1343" s="94">
        <v>0</v>
      </c>
      <c r="S1343" s="94">
        <v>2.37</v>
      </c>
      <c r="T1343" s="94">
        <f>STOCK[[#This Row],[Costo Unitario (USD)]]+STOCK[[#This Row],[Costo Envío (USD)]]+STOCK[[#This Row],[Comisión 10%]]</f>
        <v>15.07</v>
      </c>
      <c r="U1343" s="76">
        <f>STOCK[[#This Row],[Costo total]]*1.5</f>
        <v>22.605</v>
      </c>
      <c r="V1343" s="94">
        <v>22</v>
      </c>
      <c r="W1343" s="94">
        <f>STOCK[[#This Row],[Precio Final]]-STOCK[[#This Row],[Costo total]]</f>
        <v>6.93</v>
      </c>
      <c r="X1343" s="94">
        <f>STOCK[[#This Row],[Ganancia Unitaria]]*STOCK[[#This Row],[Salidas]]</f>
        <v>0</v>
      </c>
      <c r="Y1343" s="94" t="s">
        <v>2729</v>
      </c>
      <c r="Z1343" s="94"/>
      <c r="AA1343" s="94">
        <f>STOCK[[#This Row],[Costo total]]*STOCK[[#This Row],[Entradas]]</f>
        <v>30.14</v>
      </c>
      <c r="AB1343" s="94">
        <f>STOCK[[#This Row],[Stock Actual]]*STOCK[[#This Row],[Costo total]]</f>
        <v>30.14</v>
      </c>
      <c r="AC1343" s="94"/>
    </row>
    <row r="1344" s="76" customFormat="1" ht="50" customHeight="1" spans="1:29">
      <c r="A1344" s="76" t="s">
        <v>2766</v>
      </c>
      <c r="B1344" s="95"/>
      <c r="C1344" s="94" t="s">
        <v>30</v>
      </c>
      <c r="D1344" s="94" t="s">
        <v>2125</v>
      </c>
      <c r="E1344" s="94" t="s">
        <v>2764</v>
      </c>
      <c r="F1344" s="94" t="s">
        <v>44</v>
      </c>
      <c r="G1344" s="94" t="s">
        <v>34</v>
      </c>
      <c r="H1344" s="94">
        <f>STOCK[[#This Row],[Precio Final]]</f>
        <v>22</v>
      </c>
      <c r="I1344" s="98">
        <f>STOCK[[#This Row],[Precio Venta Ideal (x1.5)]]</f>
        <v>22.605</v>
      </c>
      <c r="J1344" s="96">
        <v>2</v>
      </c>
      <c r="K1344" s="96">
        <f>SUMIFS(VENTAS[Cantidad],VENTAS[Código del producto Vendido],STOCK[[#This Row],[Code]])</f>
        <v>1</v>
      </c>
      <c r="L1344" s="96">
        <f>STOCK[[#This Row],[Entradas]]-STOCK[[#This Row],[Salidas]]</f>
        <v>1</v>
      </c>
      <c r="M1344" s="94">
        <f>STOCK[[#This Row],[Precio Final]]*10%</f>
        <v>2.2</v>
      </c>
      <c r="N1344" s="94">
        <v>0</v>
      </c>
      <c r="O1344" s="94">
        <v>0</v>
      </c>
      <c r="P1344" s="94">
        <v>10.5</v>
      </c>
      <c r="Q1344" s="96">
        <v>0</v>
      </c>
      <c r="R1344" s="94">
        <v>0</v>
      </c>
      <c r="S1344" s="94">
        <v>2.37</v>
      </c>
      <c r="T1344" s="94">
        <f>STOCK[[#This Row],[Costo Unitario (USD)]]+STOCK[[#This Row],[Costo Envío (USD)]]+STOCK[[#This Row],[Comisión 10%]]</f>
        <v>15.07</v>
      </c>
      <c r="U1344" s="76">
        <f>STOCK[[#This Row],[Costo total]]*1.5</f>
        <v>22.605</v>
      </c>
      <c r="V1344" s="94">
        <v>22</v>
      </c>
      <c r="W1344" s="94">
        <f>STOCK[[#This Row],[Precio Final]]-STOCK[[#This Row],[Costo total]]</f>
        <v>6.93</v>
      </c>
      <c r="X1344" s="94">
        <f>STOCK[[#This Row],[Ganancia Unitaria]]*STOCK[[#This Row],[Salidas]]</f>
        <v>6.93</v>
      </c>
      <c r="Y1344" s="94" t="s">
        <v>2729</v>
      </c>
      <c r="Z1344" s="94"/>
      <c r="AA1344" s="94">
        <f>STOCK[[#This Row],[Costo total]]*STOCK[[#This Row],[Entradas]]</f>
        <v>30.14</v>
      </c>
      <c r="AB1344" s="94">
        <f>STOCK[[#This Row],[Stock Actual]]*STOCK[[#This Row],[Costo total]]</f>
        <v>15.07</v>
      </c>
      <c r="AC1344" s="94"/>
    </row>
    <row r="1345" s="76" customFormat="1" ht="50" customHeight="1" spans="1:29">
      <c r="A1345" s="76" t="s">
        <v>2767</v>
      </c>
      <c r="B1345" s="95"/>
      <c r="C1345" s="94" t="s">
        <v>30</v>
      </c>
      <c r="D1345" s="94" t="s">
        <v>1224</v>
      </c>
      <c r="E1345" s="94" t="s">
        <v>2768</v>
      </c>
      <c r="F1345" s="94" t="s">
        <v>516</v>
      </c>
      <c r="G1345" s="94" t="s">
        <v>2448</v>
      </c>
      <c r="H1345" s="94">
        <f>STOCK[[#This Row],[Precio Final]]</f>
        <v>45</v>
      </c>
      <c r="I1345" s="98">
        <f>STOCK[[#This Row],[Precio Venta Ideal (x1.5)]]</f>
        <v>36.225</v>
      </c>
      <c r="J1345" s="96">
        <v>2</v>
      </c>
      <c r="K1345" s="96">
        <f>SUMIFS(VENTAS[Cantidad],VENTAS[Código del producto Vendido],STOCK[[#This Row],[Code]])</f>
        <v>0</v>
      </c>
      <c r="L1345" s="96">
        <f>STOCK[[#This Row],[Entradas]]-STOCK[[#This Row],[Salidas]]</f>
        <v>2</v>
      </c>
      <c r="M1345" s="94">
        <f>STOCK[[#This Row],[Precio Final]]*10%</f>
        <v>4.5</v>
      </c>
      <c r="N1345" s="94">
        <v>0</v>
      </c>
      <c r="O1345" s="94">
        <v>0</v>
      </c>
      <c r="P1345" s="94">
        <v>18</v>
      </c>
      <c r="Q1345" s="96">
        <v>0</v>
      </c>
      <c r="R1345" s="94">
        <v>0</v>
      </c>
      <c r="S1345" s="94">
        <v>1.65</v>
      </c>
      <c r="T1345" s="94">
        <f>STOCK[[#This Row],[Costo Unitario (USD)]]+STOCK[[#This Row],[Costo Envío (USD)]]+STOCK[[#This Row],[Comisión 10%]]</f>
        <v>24.15</v>
      </c>
      <c r="U1345" s="76">
        <f>STOCK[[#This Row],[Costo total]]*1.5</f>
        <v>36.225</v>
      </c>
      <c r="V1345" s="94">
        <v>45</v>
      </c>
      <c r="W1345" s="94">
        <f>STOCK[[#This Row],[Precio Final]]-STOCK[[#This Row],[Costo total]]</f>
        <v>20.85</v>
      </c>
      <c r="X1345" s="94">
        <f>STOCK[[#This Row],[Ganancia Unitaria]]*STOCK[[#This Row],[Salidas]]</f>
        <v>0</v>
      </c>
      <c r="Y1345" s="94" t="s">
        <v>2769</v>
      </c>
      <c r="Z1345" s="94"/>
      <c r="AA1345" s="94">
        <f>STOCK[[#This Row],[Costo total]]*STOCK[[#This Row],[Entradas]]</f>
        <v>48.3</v>
      </c>
      <c r="AB1345" s="94">
        <f>STOCK[[#This Row],[Stock Actual]]*STOCK[[#This Row],[Costo total]]</f>
        <v>48.3</v>
      </c>
      <c r="AC1345" s="94"/>
    </row>
    <row r="1346" s="76" customFormat="1" ht="50" customHeight="1" spans="1:29">
      <c r="A1346" s="76" t="s">
        <v>2770</v>
      </c>
      <c r="B1346" s="95"/>
      <c r="C1346" s="94" t="s">
        <v>30</v>
      </c>
      <c r="D1346" s="94" t="s">
        <v>1224</v>
      </c>
      <c r="E1346" s="94" t="s">
        <v>2768</v>
      </c>
      <c r="F1346" s="94" t="s">
        <v>764</v>
      </c>
      <c r="G1346" s="94" t="s">
        <v>2448</v>
      </c>
      <c r="H1346" s="94">
        <f>STOCK[[#This Row],[Precio Final]]</f>
        <v>45</v>
      </c>
      <c r="I1346" s="98">
        <f>STOCK[[#This Row],[Precio Venta Ideal (x1.5)]]</f>
        <v>36.225</v>
      </c>
      <c r="J1346" s="96">
        <v>2</v>
      </c>
      <c r="K1346" s="96">
        <f>SUMIFS(VENTAS[Cantidad],VENTAS[Código del producto Vendido],STOCK[[#This Row],[Code]])</f>
        <v>1</v>
      </c>
      <c r="L1346" s="96">
        <f>STOCK[[#This Row],[Entradas]]-STOCK[[#This Row],[Salidas]]</f>
        <v>1</v>
      </c>
      <c r="M1346" s="94">
        <f>STOCK[[#This Row],[Precio Final]]*10%</f>
        <v>4.5</v>
      </c>
      <c r="N1346" s="94">
        <v>0</v>
      </c>
      <c r="O1346" s="94">
        <v>0</v>
      </c>
      <c r="P1346" s="94">
        <v>18</v>
      </c>
      <c r="Q1346" s="96">
        <v>0</v>
      </c>
      <c r="R1346" s="94">
        <v>0</v>
      </c>
      <c r="S1346" s="94">
        <v>1.65</v>
      </c>
      <c r="T1346" s="94">
        <f>STOCK[[#This Row],[Costo Unitario (USD)]]+STOCK[[#This Row],[Costo Envío (USD)]]+STOCK[[#This Row],[Comisión 10%]]</f>
        <v>24.15</v>
      </c>
      <c r="U1346" s="76">
        <f>STOCK[[#This Row],[Costo total]]*1.5</f>
        <v>36.225</v>
      </c>
      <c r="V1346" s="94">
        <v>45</v>
      </c>
      <c r="W1346" s="94">
        <f>STOCK[[#This Row],[Precio Final]]-STOCK[[#This Row],[Costo total]]</f>
        <v>20.85</v>
      </c>
      <c r="X1346" s="94">
        <f>STOCK[[#This Row],[Ganancia Unitaria]]*STOCK[[#This Row],[Salidas]]</f>
        <v>20.85</v>
      </c>
      <c r="Y1346" s="94"/>
      <c r="Z1346" s="94"/>
      <c r="AA1346" s="94">
        <f>STOCK[[#This Row],[Costo total]]*STOCK[[#This Row],[Entradas]]</f>
        <v>48.3</v>
      </c>
      <c r="AB1346" s="94">
        <f>STOCK[[#This Row],[Stock Actual]]*STOCK[[#This Row],[Costo total]]</f>
        <v>24.15</v>
      </c>
      <c r="AC1346" s="94"/>
    </row>
    <row r="1347" s="76" customFormat="1" ht="50" customHeight="1" spans="1:29">
      <c r="A1347" s="76" t="s">
        <v>2771</v>
      </c>
      <c r="B1347" s="95"/>
      <c r="C1347" s="94" t="s">
        <v>30</v>
      </c>
      <c r="D1347" s="94" t="s">
        <v>1224</v>
      </c>
      <c r="E1347" s="94" t="s">
        <v>2768</v>
      </c>
      <c r="F1347" s="94" t="s">
        <v>762</v>
      </c>
      <c r="G1347" s="94" t="s">
        <v>2448</v>
      </c>
      <c r="H1347" s="94">
        <f>STOCK[[#This Row],[Precio Final]]</f>
        <v>45</v>
      </c>
      <c r="I1347" s="98">
        <f>STOCK[[#This Row],[Precio Venta Ideal (x1.5)]]</f>
        <v>36.225</v>
      </c>
      <c r="J1347" s="96">
        <v>1</v>
      </c>
      <c r="K1347" s="96">
        <f>SUMIFS(VENTAS[Cantidad],VENTAS[Código del producto Vendido],STOCK[[#This Row],[Code]])</f>
        <v>1</v>
      </c>
      <c r="L1347" s="96">
        <f>STOCK[[#This Row],[Entradas]]-STOCK[[#This Row],[Salidas]]</f>
        <v>0</v>
      </c>
      <c r="M1347" s="94">
        <f>STOCK[[#This Row],[Precio Final]]*10%</f>
        <v>4.5</v>
      </c>
      <c r="N1347" s="94">
        <v>0</v>
      </c>
      <c r="O1347" s="94">
        <v>0</v>
      </c>
      <c r="P1347" s="94">
        <v>18</v>
      </c>
      <c r="Q1347" s="96">
        <v>0</v>
      </c>
      <c r="R1347" s="94">
        <v>0</v>
      </c>
      <c r="S1347" s="94">
        <v>1.65</v>
      </c>
      <c r="T1347" s="94">
        <f>STOCK[[#This Row],[Costo Unitario (USD)]]+STOCK[[#This Row],[Costo Envío (USD)]]+STOCK[[#This Row],[Comisión 10%]]</f>
        <v>24.15</v>
      </c>
      <c r="U1347" s="76">
        <f>STOCK[[#This Row],[Costo total]]*1.5</f>
        <v>36.225</v>
      </c>
      <c r="V1347" s="94">
        <v>45</v>
      </c>
      <c r="W1347" s="94">
        <f>STOCK[[#This Row],[Precio Final]]-STOCK[[#This Row],[Costo total]]</f>
        <v>20.85</v>
      </c>
      <c r="X1347" s="94">
        <f>STOCK[[#This Row],[Ganancia Unitaria]]*STOCK[[#This Row],[Salidas]]</f>
        <v>20.85</v>
      </c>
      <c r="Y1347" s="94"/>
      <c r="Z1347" s="94"/>
      <c r="AA1347" s="94">
        <f>STOCK[[#This Row],[Costo total]]*STOCK[[#This Row],[Entradas]]</f>
        <v>24.15</v>
      </c>
      <c r="AB1347" s="94">
        <f>STOCK[[#This Row],[Stock Actual]]*STOCK[[#This Row],[Costo total]]</f>
        <v>0</v>
      </c>
      <c r="AC1347" s="94"/>
    </row>
    <row r="1348" s="76" customFormat="1" ht="50" customHeight="1" spans="1:29">
      <c r="A1348" s="76" t="s">
        <v>2772</v>
      </c>
      <c r="B1348" s="95"/>
      <c r="C1348" s="94" t="s">
        <v>30</v>
      </c>
      <c r="D1348" s="94" t="s">
        <v>1224</v>
      </c>
      <c r="E1348" s="94" t="s">
        <v>2768</v>
      </c>
      <c r="F1348" s="94" t="s">
        <v>757</v>
      </c>
      <c r="G1348" s="94" t="s">
        <v>2448</v>
      </c>
      <c r="H1348" s="94">
        <f>STOCK[[#This Row],[Precio Final]]</f>
        <v>45</v>
      </c>
      <c r="I1348" s="98">
        <f>STOCK[[#This Row],[Precio Venta Ideal (x1.5)]]</f>
        <v>36.225</v>
      </c>
      <c r="J1348" s="96">
        <v>2</v>
      </c>
      <c r="K1348" s="96">
        <f>SUMIFS(VENTAS[Cantidad],VENTAS[Código del producto Vendido],STOCK[[#This Row],[Code]])</f>
        <v>0</v>
      </c>
      <c r="L1348" s="96">
        <f>STOCK[[#This Row],[Entradas]]-STOCK[[#This Row],[Salidas]]</f>
        <v>2</v>
      </c>
      <c r="M1348" s="94">
        <f>STOCK[[#This Row],[Precio Final]]*10%</f>
        <v>4.5</v>
      </c>
      <c r="N1348" s="94">
        <v>0</v>
      </c>
      <c r="O1348" s="94">
        <v>0</v>
      </c>
      <c r="P1348" s="94">
        <v>18</v>
      </c>
      <c r="Q1348" s="96">
        <v>0</v>
      </c>
      <c r="R1348" s="94">
        <v>0</v>
      </c>
      <c r="S1348" s="94">
        <v>1.65</v>
      </c>
      <c r="T1348" s="94">
        <f>STOCK[[#This Row],[Costo Unitario (USD)]]+STOCK[[#This Row],[Costo Envío (USD)]]+STOCK[[#This Row],[Comisión 10%]]</f>
        <v>24.15</v>
      </c>
      <c r="U1348" s="76">
        <f>STOCK[[#This Row],[Costo total]]*1.5</f>
        <v>36.225</v>
      </c>
      <c r="V1348" s="94">
        <v>45</v>
      </c>
      <c r="W1348" s="94">
        <f>STOCK[[#This Row],[Precio Final]]-STOCK[[#This Row],[Costo total]]</f>
        <v>20.85</v>
      </c>
      <c r="X1348" s="94">
        <f>STOCK[[#This Row],[Ganancia Unitaria]]*STOCK[[#This Row],[Salidas]]</f>
        <v>0</v>
      </c>
      <c r="Y1348" s="94"/>
      <c r="Z1348" s="94"/>
      <c r="AA1348" s="94">
        <f>STOCK[[#This Row],[Costo total]]*STOCK[[#This Row],[Entradas]]</f>
        <v>48.3</v>
      </c>
      <c r="AB1348" s="94">
        <f>STOCK[[#This Row],[Stock Actual]]*STOCK[[#This Row],[Costo total]]</f>
        <v>48.3</v>
      </c>
      <c r="AC1348" s="94"/>
    </row>
    <row r="1349" s="76" customFormat="1" ht="50" customHeight="1" spans="1:29">
      <c r="A1349" s="76" t="s">
        <v>2773</v>
      </c>
      <c r="B1349" s="95"/>
      <c r="C1349" s="94" t="s">
        <v>30</v>
      </c>
      <c r="D1349" s="94" t="s">
        <v>1224</v>
      </c>
      <c r="E1349" s="94" t="s">
        <v>2774</v>
      </c>
      <c r="F1349" s="94" t="s">
        <v>516</v>
      </c>
      <c r="G1349" s="94" t="s">
        <v>2448</v>
      </c>
      <c r="H1349" s="94">
        <f>STOCK[[#This Row],[Precio Final]]</f>
        <v>35</v>
      </c>
      <c r="I1349" s="98">
        <f>STOCK[[#This Row],[Precio Venta Ideal (x1.5)]]</f>
        <v>23.475</v>
      </c>
      <c r="J1349" s="96">
        <v>1</v>
      </c>
      <c r="K1349" s="96">
        <f>SUMIFS(VENTAS[Cantidad],VENTAS[Código del producto Vendido],STOCK[[#This Row],[Code]])</f>
        <v>1</v>
      </c>
      <c r="L1349" s="96">
        <f>STOCK[[#This Row],[Entradas]]-STOCK[[#This Row],[Salidas]]</f>
        <v>0</v>
      </c>
      <c r="M1349" s="94">
        <f>STOCK[[#This Row],[Precio Final]]*10%</f>
        <v>3.5</v>
      </c>
      <c r="N1349" s="94">
        <v>0</v>
      </c>
      <c r="O1349" s="94">
        <v>0</v>
      </c>
      <c r="P1349" s="94">
        <v>10.5</v>
      </c>
      <c r="Q1349" s="96">
        <v>0</v>
      </c>
      <c r="R1349" s="94">
        <v>0</v>
      </c>
      <c r="S1349" s="94">
        <v>1.65</v>
      </c>
      <c r="T1349" s="94">
        <f>STOCK[[#This Row],[Costo Unitario (USD)]]+STOCK[[#This Row],[Costo Envío (USD)]]+STOCK[[#This Row],[Comisión 10%]]</f>
        <v>15.65</v>
      </c>
      <c r="U1349" s="76">
        <f>STOCK[[#This Row],[Costo total]]*1.5</f>
        <v>23.475</v>
      </c>
      <c r="V1349" s="94">
        <v>35</v>
      </c>
      <c r="W1349" s="94">
        <f>STOCK[[#This Row],[Precio Final]]-STOCK[[#This Row],[Costo total]]</f>
        <v>19.35</v>
      </c>
      <c r="X1349" s="94">
        <f>STOCK[[#This Row],[Ganancia Unitaria]]*STOCK[[#This Row],[Salidas]]</f>
        <v>19.35</v>
      </c>
      <c r="Y1349" s="94"/>
      <c r="Z1349" s="94"/>
      <c r="AA1349" s="94">
        <f>STOCK[[#This Row],[Costo total]]*STOCK[[#This Row],[Entradas]]</f>
        <v>15.65</v>
      </c>
      <c r="AB1349" s="94">
        <f>STOCK[[#This Row],[Stock Actual]]*STOCK[[#This Row],[Costo total]]</f>
        <v>0</v>
      </c>
      <c r="AC1349" s="94"/>
    </row>
    <row r="1350" s="76" customFormat="1" ht="50" customHeight="1" spans="1:29">
      <c r="A1350" s="76" t="s">
        <v>2775</v>
      </c>
      <c r="B1350" s="95"/>
      <c r="C1350" s="94" t="s">
        <v>30</v>
      </c>
      <c r="D1350" s="94" t="s">
        <v>1224</v>
      </c>
      <c r="E1350" s="94" t="s">
        <v>2774</v>
      </c>
      <c r="F1350" s="94" t="s">
        <v>539</v>
      </c>
      <c r="G1350" s="94" t="s">
        <v>2448</v>
      </c>
      <c r="H1350" s="94">
        <f>STOCK[[#This Row],[Precio Final]]</f>
        <v>35</v>
      </c>
      <c r="I1350" s="98">
        <f>STOCK[[#This Row],[Precio Venta Ideal (x1.5)]]</f>
        <v>23.475</v>
      </c>
      <c r="J1350" s="96">
        <v>2</v>
      </c>
      <c r="K1350" s="96">
        <f>SUMIFS(VENTAS[Cantidad],VENTAS[Código del producto Vendido],STOCK[[#This Row],[Code]])</f>
        <v>0</v>
      </c>
      <c r="L1350" s="96">
        <f>STOCK[[#This Row],[Entradas]]-STOCK[[#This Row],[Salidas]]</f>
        <v>2</v>
      </c>
      <c r="M1350" s="94">
        <f>STOCK[[#This Row],[Precio Final]]*10%</f>
        <v>3.5</v>
      </c>
      <c r="N1350" s="94">
        <v>0</v>
      </c>
      <c r="O1350" s="94">
        <v>0</v>
      </c>
      <c r="P1350" s="94">
        <v>10.5</v>
      </c>
      <c r="Q1350" s="96">
        <v>0</v>
      </c>
      <c r="R1350" s="94">
        <v>0</v>
      </c>
      <c r="S1350" s="94">
        <v>1.65</v>
      </c>
      <c r="T1350" s="94">
        <f>STOCK[[#This Row],[Costo Unitario (USD)]]+STOCK[[#This Row],[Costo Envío (USD)]]+STOCK[[#This Row],[Comisión 10%]]</f>
        <v>15.65</v>
      </c>
      <c r="U1350" s="76">
        <f>STOCK[[#This Row],[Costo total]]*1.5</f>
        <v>23.475</v>
      </c>
      <c r="V1350" s="94">
        <v>35</v>
      </c>
      <c r="W1350" s="94">
        <f>STOCK[[#This Row],[Precio Final]]-STOCK[[#This Row],[Costo total]]</f>
        <v>19.35</v>
      </c>
      <c r="X1350" s="94">
        <f>STOCK[[#This Row],[Ganancia Unitaria]]*STOCK[[#This Row],[Salidas]]</f>
        <v>0</v>
      </c>
      <c r="Y1350" s="94"/>
      <c r="Z1350" s="94"/>
      <c r="AA1350" s="94">
        <f>STOCK[[#This Row],[Costo total]]*STOCK[[#This Row],[Entradas]]</f>
        <v>31.3</v>
      </c>
      <c r="AB1350" s="94">
        <f>STOCK[[#This Row],[Stock Actual]]*STOCK[[#This Row],[Costo total]]</f>
        <v>31.3</v>
      </c>
      <c r="AC1350" s="94"/>
    </row>
    <row r="1351" s="76" customFormat="1" ht="50" customHeight="1" spans="1:29">
      <c r="A1351" s="76" t="s">
        <v>2776</v>
      </c>
      <c r="B1351" s="95"/>
      <c r="C1351" s="94" t="s">
        <v>30</v>
      </c>
      <c r="D1351" s="94" t="s">
        <v>1224</v>
      </c>
      <c r="E1351" s="94" t="s">
        <v>2774</v>
      </c>
      <c r="F1351" s="94" t="s">
        <v>752</v>
      </c>
      <c r="G1351" s="94" t="s">
        <v>2448</v>
      </c>
      <c r="H1351" s="94">
        <f>STOCK[[#This Row],[Precio Final]]</f>
        <v>35</v>
      </c>
      <c r="I1351" s="98">
        <f>STOCK[[#This Row],[Precio Venta Ideal (x1.5)]]</f>
        <v>23.475</v>
      </c>
      <c r="J1351" s="96">
        <v>2</v>
      </c>
      <c r="K1351" s="96">
        <f>SUMIFS(VENTAS[Cantidad],VENTAS[Código del producto Vendido],STOCK[[#This Row],[Code]])</f>
        <v>0</v>
      </c>
      <c r="L1351" s="96">
        <f>STOCK[[#This Row],[Entradas]]-STOCK[[#This Row],[Salidas]]</f>
        <v>2</v>
      </c>
      <c r="M1351" s="94">
        <f>STOCK[[#This Row],[Precio Final]]*10%</f>
        <v>3.5</v>
      </c>
      <c r="N1351" s="94">
        <v>0</v>
      </c>
      <c r="O1351" s="94">
        <v>0</v>
      </c>
      <c r="P1351" s="94">
        <v>10.5</v>
      </c>
      <c r="Q1351" s="96">
        <v>0</v>
      </c>
      <c r="R1351" s="94">
        <v>0</v>
      </c>
      <c r="S1351" s="94">
        <v>1.65</v>
      </c>
      <c r="T1351" s="94">
        <f>STOCK[[#This Row],[Costo Unitario (USD)]]+STOCK[[#This Row],[Costo Envío (USD)]]+STOCK[[#This Row],[Comisión 10%]]</f>
        <v>15.65</v>
      </c>
      <c r="U1351" s="76">
        <f>STOCK[[#This Row],[Costo total]]*1.5</f>
        <v>23.475</v>
      </c>
      <c r="V1351" s="94">
        <v>35</v>
      </c>
      <c r="W1351" s="94">
        <f>STOCK[[#This Row],[Precio Final]]-STOCK[[#This Row],[Costo total]]</f>
        <v>19.35</v>
      </c>
      <c r="X1351" s="94">
        <f>STOCK[[#This Row],[Ganancia Unitaria]]*STOCK[[#This Row],[Salidas]]</f>
        <v>0</v>
      </c>
      <c r="Y1351" s="94"/>
      <c r="Z1351" s="94"/>
      <c r="AA1351" s="94">
        <f>STOCK[[#This Row],[Costo total]]*STOCK[[#This Row],[Entradas]]</f>
        <v>31.3</v>
      </c>
      <c r="AB1351" s="94">
        <f>STOCK[[#This Row],[Stock Actual]]*STOCK[[#This Row],[Costo total]]</f>
        <v>31.3</v>
      </c>
      <c r="AC1351" s="94"/>
    </row>
    <row r="1352" s="76" customFormat="1" ht="50" customHeight="1" spans="1:29">
      <c r="A1352" s="76" t="s">
        <v>2777</v>
      </c>
      <c r="B1352" s="95"/>
      <c r="C1352" s="94" t="s">
        <v>30</v>
      </c>
      <c r="D1352" s="94" t="s">
        <v>1224</v>
      </c>
      <c r="E1352" s="94" t="s">
        <v>2778</v>
      </c>
      <c r="F1352" s="94" t="s">
        <v>516</v>
      </c>
      <c r="G1352" s="94" t="s">
        <v>2448</v>
      </c>
      <c r="H1352" s="94">
        <f>STOCK[[#This Row],[Precio Final]]</f>
        <v>35</v>
      </c>
      <c r="I1352" s="98">
        <f>STOCK[[#This Row],[Precio Venta Ideal (x1.5)]]</f>
        <v>20.85</v>
      </c>
      <c r="J1352" s="96">
        <v>2</v>
      </c>
      <c r="K1352" s="96">
        <f>SUMIFS(VENTAS[Cantidad],VENTAS[Código del producto Vendido],STOCK[[#This Row],[Code]])</f>
        <v>0</v>
      </c>
      <c r="L1352" s="96">
        <f>STOCK[[#This Row],[Entradas]]-STOCK[[#This Row],[Salidas]]</f>
        <v>2</v>
      </c>
      <c r="M1352" s="94">
        <f>STOCK[[#This Row],[Precio Final]]*10%</f>
        <v>3.5</v>
      </c>
      <c r="N1352" s="94">
        <v>0</v>
      </c>
      <c r="O1352" s="94">
        <v>0</v>
      </c>
      <c r="P1352" s="94">
        <v>8.75</v>
      </c>
      <c r="Q1352" s="96">
        <v>0</v>
      </c>
      <c r="R1352" s="94">
        <v>0</v>
      </c>
      <c r="S1352" s="94">
        <v>1.65</v>
      </c>
      <c r="T1352" s="94">
        <f>STOCK[[#This Row],[Costo Unitario (USD)]]+STOCK[[#This Row],[Costo Envío (USD)]]+STOCK[[#This Row],[Comisión 10%]]</f>
        <v>13.9</v>
      </c>
      <c r="U1352" s="76">
        <f>STOCK[[#This Row],[Costo total]]*1.5</f>
        <v>20.85</v>
      </c>
      <c r="V1352" s="94">
        <v>35</v>
      </c>
      <c r="W1352" s="94">
        <f>STOCK[[#This Row],[Precio Final]]-STOCK[[#This Row],[Costo total]]</f>
        <v>21.1</v>
      </c>
      <c r="X1352" s="94">
        <f>STOCK[[#This Row],[Ganancia Unitaria]]*STOCK[[#This Row],[Salidas]]</f>
        <v>0</v>
      </c>
      <c r="Y1352" s="94"/>
      <c r="Z1352" s="94"/>
      <c r="AA1352" s="94">
        <f>STOCK[[#This Row],[Costo total]]*STOCK[[#This Row],[Entradas]]</f>
        <v>27.8</v>
      </c>
      <c r="AB1352" s="94">
        <f>STOCK[[#This Row],[Stock Actual]]*STOCK[[#This Row],[Costo total]]</f>
        <v>27.8</v>
      </c>
      <c r="AC1352" s="94"/>
    </row>
    <row r="1353" s="76" customFormat="1" ht="50" customHeight="1" spans="1:29">
      <c r="A1353" s="76" t="s">
        <v>2779</v>
      </c>
      <c r="B1353" s="95"/>
      <c r="C1353" s="94" t="s">
        <v>30</v>
      </c>
      <c r="D1353" s="94" t="s">
        <v>1224</v>
      </c>
      <c r="E1353" s="94" t="s">
        <v>2778</v>
      </c>
      <c r="F1353" s="94" t="s">
        <v>764</v>
      </c>
      <c r="G1353" s="94" t="s">
        <v>2448</v>
      </c>
      <c r="H1353" s="94">
        <f>STOCK[[#This Row],[Precio Final]]</f>
        <v>35</v>
      </c>
      <c r="I1353" s="98">
        <f>STOCK[[#This Row],[Precio Venta Ideal (x1.5)]]</f>
        <v>20.85</v>
      </c>
      <c r="J1353" s="96">
        <v>2</v>
      </c>
      <c r="K1353" s="96">
        <f>SUMIFS(VENTAS[Cantidad],VENTAS[Código del producto Vendido],STOCK[[#This Row],[Code]])</f>
        <v>0</v>
      </c>
      <c r="L1353" s="96">
        <f>STOCK[[#This Row],[Entradas]]-STOCK[[#This Row],[Salidas]]</f>
        <v>2</v>
      </c>
      <c r="M1353" s="94">
        <f>STOCK[[#This Row],[Precio Final]]*10%</f>
        <v>3.5</v>
      </c>
      <c r="N1353" s="94">
        <v>0</v>
      </c>
      <c r="O1353" s="94">
        <v>0</v>
      </c>
      <c r="P1353" s="94">
        <v>8.75</v>
      </c>
      <c r="Q1353" s="96">
        <v>0</v>
      </c>
      <c r="R1353" s="94">
        <v>0</v>
      </c>
      <c r="S1353" s="94">
        <v>1.65</v>
      </c>
      <c r="T1353" s="94">
        <f>STOCK[[#This Row],[Costo Unitario (USD)]]+STOCK[[#This Row],[Costo Envío (USD)]]+STOCK[[#This Row],[Comisión 10%]]</f>
        <v>13.9</v>
      </c>
      <c r="U1353" s="76">
        <f>STOCK[[#This Row],[Costo total]]*1.5</f>
        <v>20.85</v>
      </c>
      <c r="V1353" s="94">
        <v>35</v>
      </c>
      <c r="W1353" s="94">
        <f>STOCK[[#This Row],[Precio Final]]-STOCK[[#This Row],[Costo total]]</f>
        <v>21.1</v>
      </c>
      <c r="X1353" s="94">
        <f>STOCK[[#This Row],[Ganancia Unitaria]]*STOCK[[#This Row],[Salidas]]</f>
        <v>0</v>
      </c>
      <c r="Y1353" s="94"/>
      <c r="Z1353" s="94"/>
      <c r="AA1353" s="94">
        <f>STOCK[[#This Row],[Costo total]]*STOCK[[#This Row],[Entradas]]</f>
        <v>27.8</v>
      </c>
      <c r="AB1353" s="94">
        <f>STOCK[[#This Row],[Stock Actual]]*STOCK[[#This Row],[Costo total]]</f>
        <v>27.8</v>
      </c>
      <c r="AC1353" s="94"/>
    </row>
    <row r="1354" s="76" customFormat="1" ht="50" customHeight="1" spans="1:29">
      <c r="A1354" s="76" t="s">
        <v>2780</v>
      </c>
      <c r="B1354" s="95"/>
      <c r="C1354" s="94" t="s">
        <v>30</v>
      </c>
      <c r="D1354" s="94" t="s">
        <v>1224</v>
      </c>
      <c r="E1354" s="94" t="s">
        <v>2778</v>
      </c>
      <c r="F1354" s="94" t="s">
        <v>539</v>
      </c>
      <c r="G1354" s="94" t="s">
        <v>2448</v>
      </c>
      <c r="H1354" s="94">
        <f>STOCK[[#This Row],[Precio Final]]</f>
        <v>35</v>
      </c>
      <c r="I1354" s="98">
        <f>STOCK[[#This Row],[Precio Venta Ideal (x1.5)]]</f>
        <v>20.85</v>
      </c>
      <c r="J1354" s="96">
        <v>2</v>
      </c>
      <c r="K1354" s="96">
        <f>SUMIFS(VENTAS[Cantidad],VENTAS[Código del producto Vendido],STOCK[[#This Row],[Code]])</f>
        <v>1</v>
      </c>
      <c r="L1354" s="96">
        <f>STOCK[[#This Row],[Entradas]]-STOCK[[#This Row],[Salidas]]</f>
        <v>1</v>
      </c>
      <c r="M1354" s="94">
        <f>STOCK[[#This Row],[Precio Final]]*10%</f>
        <v>3.5</v>
      </c>
      <c r="N1354" s="94">
        <v>0</v>
      </c>
      <c r="O1354" s="94">
        <v>0</v>
      </c>
      <c r="P1354" s="94">
        <v>8.75</v>
      </c>
      <c r="Q1354" s="96">
        <v>0</v>
      </c>
      <c r="R1354" s="94">
        <v>0</v>
      </c>
      <c r="S1354" s="94">
        <v>1.65</v>
      </c>
      <c r="T1354" s="94">
        <f>STOCK[[#This Row],[Costo Unitario (USD)]]+STOCK[[#This Row],[Costo Envío (USD)]]+STOCK[[#This Row],[Comisión 10%]]</f>
        <v>13.9</v>
      </c>
      <c r="U1354" s="76">
        <f>STOCK[[#This Row],[Costo total]]*1.5</f>
        <v>20.85</v>
      </c>
      <c r="V1354" s="94">
        <v>35</v>
      </c>
      <c r="W1354" s="94">
        <f>STOCK[[#This Row],[Precio Final]]-STOCK[[#This Row],[Costo total]]</f>
        <v>21.1</v>
      </c>
      <c r="X1354" s="94">
        <f>STOCK[[#This Row],[Ganancia Unitaria]]*STOCK[[#This Row],[Salidas]]</f>
        <v>21.1</v>
      </c>
      <c r="Y1354" s="94"/>
      <c r="Z1354" s="94"/>
      <c r="AA1354" s="94">
        <f>STOCK[[#This Row],[Costo total]]*STOCK[[#This Row],[Entradas]]</f>
        <v>27.8</v>
      </c>
      <c r="AB1354" s="94">
        <f>STOCK[[#This Row],[Stock Actual]]*STOCK[[#This Row],[Costo total]]</f>
        <v>13.9</v>
      </c>
      <c r="AC1354" s="94"/>
    </row>
    <row r="1355" s="76" customFormat="1" ht="50" customHeight="1" spans="1:29">
      <c r="A1355" s="76" t="s">
        <v>2781</v>
      </c>
      <c r="B1355" s="95"/>
      <c r="C1355" s="94" t="s">
        <v>30</v>
      </c>
      <c r="D1355" s="94" t="s">
        <v>1224</v>
      </c>
      <c r="E1355" s="94" t="s">
        <v>2782</v>
      </c>
      <c r="F1355" s="94" t="s">
        <v>516</v>
      </c>
      <c r="G1355" s="94" t="s">
        <v>2448</v>
      </c>
      <c r="H1355" s="94">
        <f>STOCK[[#This Row],[Precio Final]]</f>
        <v>20</v>
      </c>
      <c r="I1355" s="98">
        <f>STOCK[[#This Row],[Precio Venta Ideal (x1.5)]]</f>
        <v>12.975</v>
      </c>
      <c r="J1355" s="96">
        <v>2</v>
      </c>
      <c r="K1355" s="96">
        <f>SUMIFS(VENTAS[Cantidad],VENTAS[Código del producto Vendido],STOCK[[#This Row],[Code]])</f>
        <v>0</v>
      </c>
      <c r="L1355" s="96">
        <f>STOCK[[#This Row],[Entradas]]-STOCK[[#This Row],[Salidas]]</f>
        <v>2</v>
      </c>
      <c r="M1355" s="94">
        <f>STOCK[[#This Row],[Precio Final]]*10%</f>
        <v>2</v>
      </c>
      <c r="N1355" s="94">
        <v>0</v>
      </c>
      <c r="O1355" s="94">
        <v>0</v>
      </c>
      <c r="P1355" s="94">
        <v>5</v>
      </c>
      <c r="Q1355" s="96">
        <v>0</v>
      </c>
      <c r="R1355" s="94">
        <v>0</v>
      </c>
      <c r="S1355" s="94">
        <v>1.65</v>
      </c>
      <c r="T1355" s="94">
        <f>STOCK[[#This Row],[Costo Unitario (USD)]]+STOCK[[#This Row],[Costo Envío (USD)]]+STOCK[[#This Row],[Comisión 10%]]</f>
        <v>8.65</v>
      </c>
      <c r="U1355" s="76">
        <f>STOCK[[#This Row],[Costo total]]*1.5</f>
        <v>12.975</v>
      </c>
      <c r="V1355" s="94">
        <v>20</v>
      </c>
      <c r="W1355" s="94">
        <f>STOCK[[#This Row],[Precio Final]]-STOCK[[#This Row],[Costo total]]</f>
        <v>11.35</v>
      </c>
      <c r="X1355" s="94">
        <f>STOCK[[#This Row],[Ganancia Unitaria]]*STOCK[[#This Row],[Salidas]]</f>
        <v>0</v>
      </c>
      <c r="Y1355" s="94"/>
      <c r="Z1355" s="94"/>
      <c r="AA1355" s="94">
        <f>STOCK[[#This Row],[Costo total]]*STOCK[[#This Row],[Entradas]]</f>
        <v>17.3</v>
      </c>
      <c r="AB1355" s="94">
        <f>STOCK[[#This Row],[Stock Actual]]*STOCK[[#This Row],[Costo total]]</f>
        <v>17.3</v>
      </c>
      <c r="AC1355" s="94"/>
    </row>
    <row r="1356" s="76" customFormat="1" ht="50" customHeight="1" spans="1:29">
      <c r="A1356" s="76" t="s">
        <v>2783</v>
      </c>
      <c r="B1356" s="95"/>
      <c r="C1356" s="94" t="s">
        <v>30</v>
      </c>
      <c r="D1356" s="94" t="s">
        <v>1224</v>
      </c>
      <c r="E1356" s="94" t="s">
        <v>2782</v>
      </c>
      <c r="F1356" s="94" t="s">
        <v>764</v>
      </c>
      <c r="G1356" s="94" t="s">
        <v>2448</v>
      </c>
      <c r="H1356" s="94">
        <f>STOCK[[#This Row],[Precio Final]]</f>
        <v>20</v>
      </c>
      <c r="I1356" s="98">
        <f>STOCK[[#This Row],[Precio Venta Ideal (x1.5)]]</f>
        <v>12.975</v>
      </c>
      <c r="J1356" s="96">
        <v>2</v>
      </c>
      <c r="K1356" s="96">
        <f>SUMIFS(VENTAS[Cantidad],VENTAS[Código del producto Vendido],STOCK[[#This Row],[Code]])</f>
        <v>1</v>
      </c>
      <c r="L1356" s="96">
        <f>STOCK[[#This Row],[Entradas]]-STOCK[[#This Row],[Salidas]]</f>
        <v>1</v>
      </c>
      <c r="M1356" s="94">
        <f>STOCK[[#This Row],[Precio Final]]*10%</f>
        <v>2</v>
      </c>
      <c r="N1356" s="94">
        <v>0</v>
      </c>
      <c r="O1356" s="94">
        <v>0</v>
      </c>
      <c r="P1356" s="94">
        <v>5</v>
      </c>
      <c r="Q1356" s="96">
        <v>0</v>
      </c>
      <c r="R1356" s="94">
        <v>0</v>
      </c>
      <c r="S1356" s="94">
        <v>1.65</v>
      </c>
      <c r="T1356" s="94">
        <f>STOCK[[#This Row],[Costo Unitario (USD)]]+STOCK[[#This Row],[Costo Envío (USD)]]+STOCK[[#This Row],[Comisión 10%]]</f>
        <v>8.65</v>
      </c>
      <c r="U1356" s="76">
        <f>STOCK[[#This Row],[Costo total]]*1.5</f>
        <v>12.975</v>
      </c>
      <c r="V1356" s="94">
        <v>20</v>
      </c>
      <c r="W1356" s="94">
        <f>STOCK[[#This Row],[Precio Final]]-STOCK[[#This Row],[Costo total]]</f>
        <v>11.35</v>
      </c>
      <c r="X1356" s="94">
        <f>STOCK[[#This Row],[Ganancia Unitaria]]*STOCK[[#This Row],[Salidas]]</f>
        <v>11.35</v>
      </c>
      <c r="Y1356" s="94"/>
      <c r="Z1356" s="94"/>
      <c r="AA1356" s="94">
        <f>STOCK[[#This Row],[Costo total]]*STOCK[[#This Row],[Entradas]]</f>
        <v>17.3</v>
      </c>
      <c r="AB1356" s="94">
        <f>STOCK[[#This Row],[Stock Actual]]*STOCK[[#This Row],[Costo total]]</f>
        <v>8.65</v>
      </c>
      <c r="AC1356" s="94"/>
    </row>
    <row r="1357" s="76" customFormat="1" ht="50" customHeight="1" spans="1:29">
      <c r="A1357" s="76" t="s">
        <v>2784</v>
      </c>
      <c r="B1357" s="95"/>
      <c r="C1357" s="94" t="s">
        <v>30</v>
      </c>
      <c r="D1357" s="94" t="s">
        <v>1224</v>
      </c>
      <c r="E1357" s="94" t="s">
        <v>2782</v>
      </c>
      <c r="F1357" s="94" t="s">
        <v>2785</v>
      </c>
      <c r="G1357" s="94" t="s">
        <v>2448</v>
      </c>
      <c r="H1357" s="94">
        <f>STOCK[[#This Row],[Precio Final]]</f>
        <v>20</v>
      </c>
      <c r="I1357" s="98">
        <f>STOCK[[#This Row],[Precio Venta Ideal (x1.5)]]</f>
        <v>12.975</v>
      </c>
      <c r="J1357" s="96">
        <v>2</v>
      </c>
      <c r="K1357" s="96">
        <f>SUMIFS(VENTAS[Cantidad],VENTAS[Código del producto Vendido],STOCK[[#This Row],[Code]])</f>
        <v>0</v>
      </c>
      <c r="L1357" s="96">
        <f>STOCK[[#This Row],[Entradas]]-STOCK[[#This Row],[Salidas]]</f>
        <v>2</v>
      </c>
      <c r="M1357" s="94">
        <f>STOCK[[#This Row],[Precio Final]]*10%</f>
        <v>2</v>
      </c>
      <c r="N1357" s="94">
        <v>0</v>
      </c>
      <c r="O1357" s="94">
        <v>0</v>
      </c>
      <c r="P1357" s="94">
        <v>5</v>
      </c>
      <c r="Q1357" s="96">
        <v>0</v>
      </c>
      <c r="R1357" s="94">
        <v>0</v>
      </c>
      <c r="S1357" s="94">
        <v>1.65</v>
      </c>
      <c r="T1357" s="94">
        <f>STOCK[[#This Row],[Costo Unitario (USD)]]+STOCK[[#This Row],[Costo Envío (USD)]]+STOCK[[#This Row],[Comisión 10%]]</f>
        <v>8.65</v>
      </c>
      <c r="U1357" s="76">
        <f>STOCK[[#This Row],[Costo total]]*1.5</f>
        <v>12.975</v>
      </c>
      <c r="V1357" s="94">
        <v>20</v>
      </c>
      <c r="W1357" s="94">
        <f>STOCK[[#This Row],[Precio Final]]-STOCK[[#This Row],[Costo total]]</f>
        <v>11.35</v>
      </c>
      <c r="X1357" s="94">
        <f>STOCK[[#This Row],[Ganancia Unitaria]]*STOCK[[#This Row],[Salidas]]</f>
        <v>0</v>
      </c>
      <c r="Y1357" s="94"/>
      <c r="Z1357" s="94"/>
      <c r="AA1357" s="94">
        <f>STOCK[[#This Row],[Costo total]]*STOCK[[#This Row],[Entradas]]</f>
        <v>17.3</v>
      </c>
      <c r="AB1357" s="94">
        <f>STOCK[[#This Row],[Stock Actual]]*STOCK[[#This Row],[Costo total]]</f>
        <v>17.3</v>
      </c>
      <c r="AC1357" s="94"/>
    </row>
    <row r="1358" s="76" customFormat="1" ht="50" customHeight="1" spans="1:29">
      <c r="A1358" s="76" t="s">
        <v>2786</v>
      </c>
      <c r="B1358" s="95"/>
      <c r="C1358" s="94" t="s">
        <v>30</v>
      </c>
      <c r="D1358" s="94" t="s">
        <v>1224</v>
      </c>
      <c r="E1358" s="94" t="s">
        <v>2782</v>
      </c>
      <c r="F1358" s="94" t="s">
        <v>752</v>
      </c>
      <c r="G1358" s="94" t="s">
        <v>2448</v>
      </c>
      <c r="H1358" s="94">
        <f>STOCK[[#This Row],[Precio Final]]</f>
        <v>20</v>
      </c>
      <c r="I1358" s="98">
        <f>STOCK[[#This Row],[Precio Venta Ideal (x1.5)]]</f>
        <v>12.975</v>
      </c>
      <c r="J1358" s="96">
        <v>2</v>
      </c>
      <c r="K1358" s="96">
        <f>SUMIFS(VENTAS[Cantidad],VENTAS[Código del producto Vendido],STOCK[[#This Row],[Code]])</f>
        <v>0</v>
      </c>
      <c r="L1358" s="96">
        <f>STOCK[[#This Row],[Entradas]]-STOCK[[#This Row],[Salidas]]</f>
        <v>2</v>
      </c>
      <c r="M1358" s="94">
        <f>STOCK[[#This Row],[Precio Final]]*10%</f>
        <v>2</v>
      </c>
      <c r="N1358" s="94">
        <v>0</v>
      </c>
      <c r="O1358" s="94">
        <v>0</v>
      </c>
      <c r="P1358" s="94">
        <v>5</v>
      </c>
      <c r="Q1358" s="96">
        <v>0</v>
      </c>
      <c r="R1358" s="94">
        <v>0</v>
      </c>
      <c r="S1358" s="94">
        <v>1.65</v>
      </c>
      <c r="T1358" s="94">
        <f>STOCK[[#This Row],[Costo Unitario (USD)]]+STOCK[[#This Row],[Costo Envío (USD)]]+STOCK[[#This Row],[Comisión 10%]]</f>
        <v>8.65</v>
      </c>
      <c r="U1358" s="76">
        <f>STOCK[[#This Row],[Costo total]]*1.5</f>
        <v>12.975</v>
      </c>
      <c r="V1358" s="94">
        <v>20</v>
      </c>
      <c r="W1358" s="94">
        <f>STOCK[[#This Row],[Precio Final]]-STOCK[[#This Row],[Costo total]]</f>
        <v>11.35</v>
      </c>
      <c r="X1358" s="94">
        <f>STOCK[[#This Row],[Ganancia Unitaria]]*STOCK[[#This Row],[Salidas]]</f>
        <v>0</v>
      </c>
      <c r="Y1358" s="94"/>
      <c r="Z1358" s="94"/>
      <c r="AA1358" s="94">
        <f>STOCK[[#This Row],[Costo total]]*STOCK[[#This Row],[Entradas]]</f>
        <v>17.3</v>
      </c>
      <c r="AB1358" s="94">
        <f>STOCK[[#This Row],[Stock Actual]]*STOCK[[#This Row],[Costo total]]</f>
        <v>17.3</v>
      </c>
      <c r="AC1358" s="94"/>
    </row>
    <row r="1359" s="76" customFormat="1" ht="50" customHeight="1" spans="1:29">
      <c r="A1359" s="76" t="s">
        <v>2787</v>
      </c>
      <c r="B1359" s="95"/>
      <c r="C1359" s="94" t="s">
        <v>30</v>
      </c>
      <c r="D1359" s="94" t="s">
        <v>1224</v>
      </c>
      <c r="E1359" s="94" t="s">
        <v>2788</v>
      </c>
      <c r="F1359" s="94" t="s">
        <v>516</v>
      </c>
      <c r="G1359" s="94" t="s">
        <v>2448</v>
      </c>
      <c r="H1359" s="94">
        <f>STOCK[[#This Row],[Precio Final]]</f>
        <v>30</v>
      </c>
      <c r="I1359" s="98">
        <f>STOCK[[#This Row],[Precio Venta Ideal (x1.5)]]</f>
        <v>20.1</v>
      </c>
      <c r="J1359" s="96">
        <v>1</v>
      </c>
      <c r="K1359" s="96">
        <f>SUMIFS(VENTAS[Cantidad],VENTAS[Código del producto Vendido],STOCK[[#This Row],[Code]])</f>
        <v>0</v>
      </c>
      <c r="L1359" s="96">
        <f>STOCK[[#This Row],[Entradas]]-STOCK[[#This Row],[Salidas]]</f>
        <v>1</v>
      </c>
      <c r="M1359" s="94">
        <f>STOCK[[#This Row],[Precio Final]]*10%</f>
        <v>3</v>
      </c>
      <c r="N1359" s="94">
        <v>0</v>
      </c>
      <c r="O1359" s="94">
        <v>0</v>
      </c>
      <c r="P1359" s="94">
        <v>8.75</v>
      </c>
      <c r="Q1359" s="96">
        <v>0</v>
      </c>
      <c r="R1359" s="94">
        <v>0</v>
      </c>
      <c r="S1359" s="94">
        <v>1.65</v>
      </c>
      <c r="T1359" s="94">
        <f>STOCK[[#This Row],[Costo Unitario (USD)]]+STOCK[[#This Row],[Costo Envío (USD)]]+STOCK[[#This Row],[Comisión 10%]]</f>
        <v>13.4</v>
      </c>
      <c r="U1359" s="76">
        <f>STOCK[[#This Row],[Costo total]]*1.5</f>
        <v>20.1</v>
      </c>
      <c r="V1359" s="94">
        <v>30</v>
      </c>
      <c r="W1359" s="94">
        <f>STOCK[[#This Row],[Precio Final]]-STOCK[[#This Row],[Costo total]]</f>
        <v>16.6</v>
      </c>
      <c r="X1359" s="94">
        <f>STOCK[[#This Row],[Ganancia Unitaria]]*STOCK[[#This Row],[Salidas]]</f>
        <v>0</v>
      </c>
      <c r="Y1359" s="94"/>
      <c r="Z1359" s="94"/>
      <c r="AA1359" s="94">
        <f>STOCK[[#This Row],[Costo total]]*STOCK[[#This Row],[Entradas]]</f>
        <v>13.4</v>
      </c>
      <c r="AB1359" s="94">
        <f>STOCK[[#This Row],[Stock Actual]]*STOCK[[#This Row],[Costo total]]</f>
        <v>13.4</v>
      </c>
      <c r="AC1359" s="94"/>
    </row>
    <row r="1360" s="76" customFormat="1" ht="50" customHeight="1" spans="1:29">
      <c r="A1360" s="76" t="s">
        <v>2789</v>
      </c>
      <c r="B1360" s="95"/>
      <c r="C1360" s="94" t="s">
        <v>30</v>
      </c>
      <c r="D1360" s="94" t="s">
        <v>1224</v>
      </c>
      <c r="E1360" s="94" t="s">
        <v>2788</v>
      </c>
      <c r="F1360" s="94" t="s">
        <v>764</v>
      </c>
      <c r="G1360" s="94" t="s">
        <v>2448</v>
      </c>
      <c r="H1360" s="94">
        <f>STOCK[[#This Row],[Precio Final]]</f>
        <v>30</v>
      </c>
      <c r="I1360" s="98">
        <f>STOCK[[#This Row],[Precio Venta Ideal (x1.5)]]</f>
        <v>20.1</v>
      </c>
      <c r="J1360" s="96">
        <v>1</v>
      </c>
      <c r="K1360" s="96">
        <f>SUMIFS(VENTAS[Cantidad],VENTAS[Código del producto Vendido],STOCK[[#This Row],[Code]])</f>
        <v>0</v>
      </c>
      <c r="L1360" s="96">
        <f>STOCK[[#This Row],[Entradas]]-STOCK[[#This Row],[Salidas]]</f>
        <v>1</v>
      </c>
      <c r="M1360" s="94">
        <f>STOCK[[#This Row],[Precio Final]]*10%</f>
        <v>3</v>
      </c>
      <c r="N1360" s="94">
        <v>0</v>
      </c>
      <c r="O1360" s="94">
        <v>0</v>
      </c>
      <c r="P1360" s="94">
        <v>8.75</v>
      </c>
      <c r="Q1360" s="96">
        <v>0</v>
      </c>
      <c r="R1360" s="94">
        <v>0</v>
      </c>
      <c r="S1360" s="94">
        <v>1.65</v>
      </c>
      <c r="T1360" s="94">
        <f>STOCK[[#This Row],[Costo Unitario (USD)]]+STOCK[[#This Row],[Costo Envío (USD)]]+STOCK[[#This Row],[Comisión 10%]]</f>
        <v>13.4</v>
      </c>
      <c r="U1360" s="76">
        <f>STOCK[[#This Row],[Costo total]]*1.5</f>
        <v>20.1</v>
      </c>
      <c r="V1360" s="94">
        <v>30</v>
      </c>
      <c r="W1360" s="94">
        <f>STOCK[[#This Row],[Precio Final]]-STOCK[[#This Row],[Costo total]]</f>
        <v>16.6</v>
      </c>
      <c r="X1360" s="94">
        <f>STOCK[[#This Row],[Ganancia Unitaria]]*STOCK[[#This Row],[Salidas]]</f>
        <v>0</v>
      </c>
      <c r="Y1360" s="94"/>
      <c r="Z1360" s="94"/>
      <c r="AA1360" s="94">
        <f>STOCK[[#This Row],[Costo total]]*STOCK[[#This Row],[Entradas]]</f>
        <v>13.4</v>
      </c>
      <c r="AB1360" s="94">
        <f>STOCK[[#This Row],[Stock Actual]]*STOCK[[#This Row],[Costo total]]</f>
        <v>13.4</v>
      </c>
      <c r="AC1360" s="94"/>
    </row>
    <row r="1361" s="76" customFormat="1" ht="50" customHeight="1" spans="1:29">
      <c r="A1361" s="76" t="s">
        <v>2790</v>
      </c>
      <c r="B1361" s="95"/>
      <c r="C1361" s="94" t="s">
        <v>30</v>
      </c>
      <c r="D1361" s="94" t="s">
        <v>1224</v>
      </c>
      <c r="E1361" s="94" t="s">
        <v>2791</v>
      </c>
      <c r="F1361" s="94" t="s">
        <v>516</v>
      </c>
      <c r="G1361" s="94" t="s">
        <v>2448</v>
      </c>
      <c r="H1361" s="94">
        <f>STOCK[[#This Row],[Precio Final]]</f>
        <v>35</v>
      </c>
      <c r="I1361" s="98">
        <f>STOCK[[#This Row],[Precio Venta Ideal (x1.5)]]</f>
        <v>25.35</v>
      </c>
      <c r="J1361" s="96">
        <v>1</v>
      </c>
      <c r="K1361" s="96">
        <f>SUMIFS(VENTAS[Cantidad],VENTAS[Código del producto Vendido],STOCK[[#This Row],[Code]])</f>
        <v>1</v>
      </c>
      <c r="L1361" s="96">
        <f>STOCK[[#This Row],[Entradas]]-STOCK[[#This Row],[Salidas]]</f>
        <v>0</v>
      </c>
      <c r="M1361" s="94">
        <f>STOCK[[#This Row],[Precio Final]]*10%</f>
        <v>3.5</v>
      </c>
      <c r="N1361" s="94">
        <v>0</v>
      </c>
      <c r="O1361" s="94">
        <v>0</v>
      </c>
      <c r="P1361" s="94">
        <v>11.75</v>
      </c>
      <c r="Q1361" s="96">
        <v>0</v>
      </c>
      <c r="R1361" s="94">
        <v>0</v>
      </c>
      <c r="S1361" s="94">
        <v>1.65</v>
      </c>
      <c r="T1361" s="94">
        <f>STOCK[[#This Row],[Costo Unitario (USD)]]+STOCK[[#This Row],[Costo Envío (USD)]]+STOCK[[#This Row],[Comisión 10%]]</f>
        <v>16.9</v>
      </c>
      <c r="U1361" s="76">
        <f>STOCK[[#This Row],[Costo total]]*1.5</f>
        <v>25.35</v>
      </c>
      <c r="V1361" s="94">
        <v>35</v>
      </c>
      <c r="W1361" s="94">
        <f>STOCK[[#This Row],[Precio Final]]-STOCK[[#This Row],[Costo total]]</f>
        <v>18.1</v>
      </c>
      <c r="X1361" s="94">
        <f>STOCK[[#This Row],[Ganancia Unitaria]]*STOCK[[#This Row],[Salidas]]</f>
        <v>18.1</v>
      </c>
      <c r="Y1361" s="94"/>
      <c r="Z1361" s="94"/>
      <c r="AA1361" s="94">
        <f>STOCK[[#This Row],[Costo total]]*STOCK[[#This Row],[Entradas]]</f>
        <v>16.9</v>
      </c>
      <c r="AB1361" s="94">
        <f>STOCK[[#This Row],[Stock Actual]]*STOCK[[#This Row],[Costo total]]</f>
        <v>0</v>
      </c>
      <c r="AC1361" s="94"/>
    </row>
    <row r="1362" s="76" customFormat="1" ht="50" customHeight="1" spans="1:29">
      <c r="A1362" s="76" t="s">
        <v>2792</v>
      </c>
      <c r="B1362" s="95"/>
      <c r="C1362" s="94" t="s">
        <v>30</v>
      </c>
      <c r="D1362" s="94" t="s">
        <v>1224</v>
      </c>
      <c r="E1362" s="94" t="s">
        <v>2791</v>
      </c>
      <c r="F1362" s="94" t="s">
        <v>764</v>
      </c>
      <c r="G1362" s="94" t="s">
        <v>2448</v>
      </c>
      <c r="H1362" s="94">
        <f>STOCK[[#This Row],[Precio Final]]</f>
        <v>35</v>
      </c>
      <c r="I1362" s="98">
        <f>STOCK[[#This Row],[Precio Venta Ideal (x1.5)]]</f>
        <v>22.35</v>
      </c>
      <c r="J1362" s="96">
        <v>2</v>
      </c>
      <c r="K1362" s="96">
        <f>SUMIFS(VENTAS[Cantidad],VENTAS[Código del producto Vendido],STOCK[[#This Row],[Code]])</f>
        <v>2</v>
      </c>
      <c r="L1362" s="96">
        <f>STOCK[[#This Row],[Entradas]]-STOCK[[#This Row],[Salidas]]</f>
        <v>0</v>
      </c>
      <c r="M1362" s="94">
        <f>STOCK[[#This Row],[Precio Final]]*10%</f>
        <v>3.5</v>
      </c>
      <c r="N1362" s="94">
        <v>0</v>
      </c>
      <c r="O1362" s="94">
        <v>0</v>
      </c>
      <c r="P1362" s="94">
        <v>9.75</v>
      </c>
      <c r="Q1362" s="96">
        <v>0</v>
      </c>
      <c r="R1362" s="94">
        <v>0</v>
      </c>
      <c r="S1362" s="94">
        <v>1.65</v>
      </c>
      <c r="T1362" s="94">
        <f>STOCK[[#This Row],[Costo Unitario (USD)]]+STOCK[[#This Row],[Costo Envío (USD)]]+STOCK[[#This Row],[Comisión 10%]]</f>
        <v>14.9</v>
      </c>
      <c r="U1362" s="76">
        <f>STOCK[[#This Row],[Costo total]]*1.5</f>
        <v>22.35</v>
      </c>
      <c r="V1362" s="94">
        <v>35</v>
      </c>
      <c r="W1362" s="94">
        <f>STOCK[[#This Row],[Precio Final]]-STOCK[[#This Row],[Costo total]]</f>
        <v>20.1</v>
      </c>
      <c r="X1362" s="94">
        <f>STOCK[[#This Row],[Ganancia Unitaria]]*STOCK[[#This Row],[Salidas]]</f>
        <v>40.2</v>
      </c>
      <c r="Y1362" s="94"/>
      <c r="Z1362" s="94"/>
      <c r="AA1362" s="94">
        <f>STOCK[[#This Row],[Costo total]]*STOCK[[#This Row],[Entradas]]</f>
        <v>29.8</v>
      </c>
      <c r="AB1362" s="94">
        <f>STOCK[[#This Row],[Stock Actual]]*STOCK[[#This Row],[Costo total]]</f>
        <v>0</v>
      </c>
      <c r="AC1362" s="94"/>
    </row>
    <row r="1363" s="76" customFormat="1" ht="50" customHeight="1" spans="1:29">
      <c r="A1363" s="76" t="s">
        <v>2793</v>
      </c>
      <c r="B1363" s="95"/>
      <c r="C1363" s="94" t="s">
        <v>30</v>
      </c>
      <c r="D1363" s="94" t="s">
        <v>1224</v>
      </c>
      <c r="E1363" s="94" t="s">
        <v>2791</v>
      </c>
      <c r="F1363" s="94" t="s">
        <v>539</v>
      </c>
      <c r="G1363" s="94" t="s">
        <v>2448</v>
      </c>
      <c r="H1363" s="94">
        <f>STOCK[[#This Row],[Precio Final]]</f>
        <v>35</v>
      </c>
      <c r="I1363" s="98">
        <f>STOCK[[#This Row],[Precio Venta Ideal (x1.5)]]</f>
        <v>25.35</v>
      </c>
      <c r="J1363" s="96">
        <v>2</v>
      </c>
      <c r="K1363" s="96">
        <f>SUMIFS(VENTAS[Cantidad],VENTAS[Código del producto Vendido],STOCK[[#This Row],[Code]])</f>
        <v>2</v>
      </c>
      <c r="L1363" s="96">
        <f>STOCK[[#This Row],[Entradas]]-STOCK[[#This Row],[Salidas]]</f>
        <v>0</v>
      </c>
      <c r="M1363" s="94">
        <f>STOCK[[#This Row],[Precio Final]]*10%</f>
        <v>3.5</v>
      </c>
      <c r="N1363" s="94">
        <v>0</v>
      </c>
      <c r="O1363" s="94">
        <v>0</v>
      </c>
      <c r="P1363" s="94">
        <v>11.75</v>
      </c>
      <c r="Q1363" s="96">
        <v>0</v>
      </c>
      <c r="R1363" s="94">
        <v>0</v>
      </c>
      <c r="S1363" s="94">
        <v>1.65</v>
      </c>
      <c r="T1363" s="94">
        <f>STOCK[[#This Row],[Costo Unitario (USD)]]+STOCK[[#This Row],[Costo Envío (USD)]]+STOCK[[#This Row],[Comisión 10%]]</f>
        <v>16.9</v>
      </c>
      <c r="U1363" s="76">
        <f>STOCK[[#This Row],[Costo total]]*1.5</f>
        <v>25.35</v>
      </c>
      <c r="V1363" s="94">
        <v>35</v>
      </c>
      <c r="W1363" s="94">
        <f>STOCK[[#This Row],[Precio Final]]-STOCK[[#This Row],[Costo total]]</f>
        <v>18.1</v>
      </c>
      <c r="X1363" s="94">
        <f>STOCK[[#This Row],[Ganancia Unitaria]]*STOCK[[#This Row],[Salidas]]</f>
        <v>36.2</v>
      </c>
      <c r="Y1363" s="94"/>
      <c r="Z1363" s="94"/>
      <c r="AA1363" s="94">
        <f>STOCK[[#This Row],[Costo total]]*STOCK[[#This Row],[Entradas]]</f>
        <v>33.8</v>
      </c>
      <c r="AB1363" s="94">
        <f>STOCK[[#This Row],[Stock Actual]]*STOCK[[#This Row],[Costo total]]</f>
        <v>0</v>
      </c>
      <c r="AC1363" s="94"/>
    </row>
    <row r="1364" s="76" customFormat="1" ht="50" customHeight="1" spans="1:29">
      <c r="A1364" s="76" t="s">
        <v>2794</v>
      </c>
      <c r="B1364" s="95"/>
      <c r="C1364" s="94" t="s">
        <v>30</v>
      </c>
      <c r="D1364" s="94" t="s">
        <v>1224</v>
      </c>
      <c r="E1364" s="94" t="s">
        <v>2791</v>
      </c>
      <c r="F1364" s="94" t="s">
        <v>762</v>
      </c>
      <c r="G1364" s="94" t="s">
        <v>2448</v>
      </c>
      <c r="H1364" s="94">
        <f>STOCK[[#This Row],[Precio Final]]</f>
        <v>35</v>
      </c>
      <c r="I1364" s="98">
        <f>STOCK[[#This Row],[Precio Venta Ideal (x1.5)]]</f>
        <v>34.725</v>
      </c>
      <c r="J1364" s="96">
        <v>1</v>
      </c>
      <c r="K1364" s="96">
        <f>SUMIFS(VENTAS[Cantidad],VENTAS[Código del producto Vendido],STOCK[[#This Row],[Code]])</f>
        <v>1</v>
      </c>
      <c r="L1364" s="96">
        <f>STOCK[[#This Row],[Entradas]]-STOCK[[#This Row],[Salidas]]</f>
        <v>0</v>
      </c>
      <c r="M1364" s="94">
        <f>STOCK[[#This Row],[Precio Final]]*10%</f>
        <v>3.5</v>
      </c>
      <c r="N1364" s="94">
        <v>0</v>
      </c>
      <c r="O1364" s="94">
        <v>0</v>
      </c>
      <c r="P1364" s="94">
        <v>18</v>
      </c>
      <c r="Q1364" s="96">
        <v>0</v>
      </c>
      <c r="R1364" s="94">
        <v>0</v>
      </c>
      <c r="S1364" s="94">
        <v>1.65</v>
      </c>
      <c r="T1364" s="94">
        <f>STOCK[[#This Row],[Costo Unitario (USD)]]+STOCK[[#This Row],[Costo Envío (USD)]]+STOCK[[#This Row],[Comisión 10%]]</f>
        <v>23.15</v>
      </c>
      <c r="U1364" s="76">
        <f>STOCK[[#This Row],[Costo total]]*1.5</f>
        <v>34.725</v>
      </c>
      <c r="V1364" s="94">
        <v>35</v>
      </c>
      <c r="W1364" s="94">
        <f>STOCK[[#This Row],[Precio Final]]-STOCK[[#This Row],[Costo total]]</f>
        <v>11.85</v>
      </c>
      <c r="X1364" s="94">
        <f>STOCK[[#This Row],[Ganancia Unitaria]]*STOCK[[#This Row],[Salidas]]</f>
        <v>11.85</v>
      </c>
      <c r="Y1364" s="94"/>
      <c r="Z1364" s="94"/>
      <c r="AA1364" s="94">
        <f>STOCK[[#This Row],[Costo total]]*STOCK[[#This Row],[Entradas]]</f>
        <v>23.15</v>
      </c>
      <c r="AB1364" s="94">
        <f>STOCK[[#This Row],[Stock Actual]]*STOCK[[#This Row],[Costo total]]</f>
        <v>0</v>
      </c>
      <c r="AC1364" s="94"/>
    </row>
    <row r="1365" s="76" customFormat="1" ht="50" customHeight="1" spans="1:29">
      <c r="A1365" s="76" t="s">
        <v>2795</v>
      </c>
      <c r="B1365" s="95"/>
      <c r="C1365" s="94" t="s">
        <v>30</v>
      </c>
      <c r="D1365" s="94" t="s">
        <v>1224</v>
      </c>
      <c r="E1365" s="94" t="s">
        <v>2791</v>
      </c>
      <c r="F1365" s="94" t="s">
        <v>752</v>
      </c>
      <c r="G1365" s="94" t="s">
        <v>2448</v>
      </c>
      <c r="H1365" s="94">
        <f>STOCK[[#This Row],[Precio Final]]</f>
        <v>35</v>
      </c>
      <c r="I1365" s="98">
        <f>STOCK[[#This Row],[Precio Venta Ideal (x1.5)]]</f>
        <v>25.35</v>
      </c>
      <c r="J1365" s="96">
        <v>2</v>
      </c>
      <c r="K1365" s="96">
        <f>SUMIFS(VENTAS[Cantidad],VENTAS[Código del producto Vendido],STOCK[[#This Row],[Code]])</f>
        <v>2</v>
      </c>
      <c r="L1365" s="96">
        <f>STOCK[[#This Row],[Entradas]]-STOCK[[#This Row],[Salidas]]</f>
        <v>0</v>
      </c>
      <c r="M1365" s="94">
        <f>STOCK[[#This Row],[Precio Final]]*10%</f>
        <v>3.5</v>
      </c>
      <c r="N1365" s="94">
        <v>0</v>
      </c>
      <c r="O1365" s="94">
        <v>0</v>
      </c>
      <c r="P1365" s="94">
        <v>11.75</v>
      </c>
      <c r="Q1365" s="96">
        <v>0</v>
      </c>
      <c r="R1365" s="94">
        <v>0</v>
      </c>
      <c r="S1365" s="94">
        <v>1.65</v>
      </c>
      <c r="T1365" s="94">
        <f>STOCK[[#This Row],[Costo Unitario (USD)]]+STOCK[[#This Row],[Costo Envío (USD)]]+STOCK[[#This Row],[Comisión 10%]]</f>
        <v>16.9</v>
      </c>
      <c r="U1365" s="76">
        <f>STOCK[[#This Row],[Costo total]]*1.5</f>
        <v>25.35</v>
      </c>
      <c r="V1365" s="94">
        <v>35</v>
      </c>
      <c r="W1365" s="94">
        <f>STOCK[[#This Row],[Precio Final]]-STOCK[[#This Row],[Costo total]]</f>
        <v>18.1</v>
      </c>
      <c r="X1365" s="94">
        <f>STOCK[[#This Row],[Ganancia Unitaria]]*STOCK[[#This Row],[Salidas]]</f>
        <v>36.2</v>
      </c>
      <c r="Y1365" s="94"/>
      <c r="Z1365" s="94"/>
      <c r="AA1365" s="94">
        <f>STOCK[[#This Row],[Costo total]]*STOCK[[#This Row],[Entradas]]</f>
        <v>33.8</v>
      </c>
      <c r="AB1365" s="94">
        <f>STOCK[[#This Row],[Stock Actual]]*STOCK[[#This Row],[Costo total]]</f>
        <v>0</v>
      </c>
      <c r="AC1365" s="94"/>
    </row>
    <row r="1366" s="76" customFormat="1" ht="50" customHeight="1" spans="1:29">
      <c r="A1366" s="76" t="s">
        <v>2796</v>
      </c>
      <c r="B1366" s="95"/>
      <c r="C1366" s="94" t="s">
        <v>30</v>
      </c>
      <c r="D1366" s="94" t="s">
        <v>1224</v>
      </c>
      <c r="E1366" s="94" t="s">
        <v>2797</v>
      </c>
      <c r="F1366" s="94" t="s">
        <v>516</v>
      </c>
      <c r="G1366" s="94" t="s">
        <v>2448</v>
      </c>
      <c r="H1366" s="94">
        <f>STOCK[[#This Row],[Precio Final]]</f>
        <v>25</v>
      </c>
      <c r="I1366" s="98">
        <f>STOCK[[#This Row],[Precio Venta Ideal (x1.5)]]</f>
        <v>20.85</v>
      </c>
      <c r="J1366" s="96">
        <v>1</v>
      </c>
      <c r="K1366" s="96">
        <f>SUMIFS(VENTAS[Cantidad],VENTAS[Código del producto Vendido],STOCK[[#This Row],[Code]])</f>
        <v>0</v>
      </c>
      <c r="L1366" s="96">
        <f>STOCK[[#This Row],[Entradas]]-STOCK[[#This Row],[Salidas]]</f>
        <v>1</v>
      </c>
      <c r="M1366" s="94">
        <f>STOCK[[#This Row],[Precio Final]]*10%</f>
        <v>2.5</v>
      </c>
      <c r="N1366" s="94">
        <v>0</v>
      </c>
      <c r="O1366" s="94">
        <v>0</v>
      </c>
      <c r="P1366" s="94">
        <v>9.75</v>
      </c>
      <c r="Q1366" s="96">
        <v>0</v>
      </c>
      <c r="R1366" s="94">
        <v>0</v>
      </c>
      <c r="S1366" s="94">
        <v>1.65</v>
      </c>
      <c r="T1366" s="94">
        <f>STOCK[[#This Row],[Costo Unitario (USD)]]+STOCK[[#This Row],[Costo Envío (USD)]]+STOCK[[#This Row],[Comisión 10%]]</f>
        <v>13.9</v>
      </c>
      <c r="U1366" s="76">
        <f>STOCK[[#This Row],[Costo total]]*1.5</f>
        <v>20.85</v>
      </c>
      <c r="V1366" s="94">
        <v>25</v>
      </c>
      <c r="W1366" s="94">
        <f>STOCK[[#This Row],[Precio Final]]-STOCK[[#This Row],[Costo total]]</f>
        <v>11.1</v>
      </c>
      <c r="X1366" s="94">
        <f>STOCK[[#This Row],[Ganancia Unitaria]]*STOCK[[#This Row],[Salidas]]</f>
        <v>0</v>
      </c>
      <c r="Y1366" s="94"/>
      <c r="Z1366" s="94"/>
      <c r="AA1366" s="94">
        <f>STOCK[[#This Row],[Costo total]]*STOCK[[#This Row],[Entradas]]</f>
        <v>13.9</v>
      </c>
      <c r="AB1366" s="94">
        <f>STOCK[[#This Row],[Stock Actual]]*STOCK[[#This Row],[Costo total]]</f>
        <v>13.9</v>
      </c>
      <c r="AC1366" s="94"/>
    </row>
    <row r="1367" s="76" customFormat="1" ht="50" customHeight="1" spans="1:29">
      <c r="A1367" s="76" t="s">
        <v>2798</v>
      </c>
      <c r="B1367" s="95"/>
      <c r="C1367" s="94" t="s">
        <v>30</v>
      </c>
      <c r="D1367" s="94" t="s">
        <v>1224</v>
      </c>
      <c r="E1367" s="94" t="s">
        <v>2797</v>
      </c>
      <c r="F1367" s="94" t="s">
        <v>764</v>
      </c>
      <c r="G1367" s="94" t="s">
        <v>2448</v>
      </c>
      <c r="H1367" s="94">
        <f>STOCK[[#This Row],[Precio Final]]</f>
        <v>25</v>
      </c>
      <c r="I1367" s="98">
        <f>STOCK[[#This Row],[Precio Venta Ideal (x1.5)]]</f>
        <v>20.85</v>
      </c>
      <c r="J1367" s="96">
        <v>1</v>
      </c>
      <c r="K1367" s="96">
        <f>SUMIFS(VENTAS[Cantidad],VENTAS[Código del producto Vendido],STOCK[[#This Row],[Code]])</f>
        <v>0</v>
      </c>
      <c r="L1367" s="96">
        <f>STOCK[[#This Row],[Entradas]]-STOCK[[#This Row],[Salidas]]</f>
        <v>1</v>
      </c>
      <c r="M1367" s="94">
        <f>STOCK[[#This Row],[Precio Final]]*10%</f>
        <v>2.5</v>
      </c>
      <c r="N1367" s="94">
        <v>0</v>
      </c>
      <c r="O1367" s="94">
        <v>0</v>
      </c>
      <c r="P1367" s="94">
        <v>9.75</v>
      </c>
      <c r="Q1367" s="96">
        <v>0</v>
      </c>
      <c r="R1367" s="94">
        <v>0</v>
      </c>
      <c r="S1367" s="94">
        <v>1.65</v>
      </c>
      <c r="T1367" s="94">
        <f>STOCK[[#This Row],[Costo Unitario (USD)]]+STOCK[[#This Row],[Costo Envío (USD)]]+STOCK[[#This Row],[Comisión 10%]]</f>
        <v>13.9</v>
      </c>
      <c r="U1367" s="76">
        <f>STOCK[[#This Row],[Costo total]]*1.5</f>
        <v>20.85</v>
      </c>
      <c r="V1367" s="94">
        <v>25</v>
      </c>
      <c r="W1367" s="94">
        <f>STOCK[[#This Row],[Precio Final]]-STOCK[[#This Row],[Costo total]]</f>
        <v>11.1</v>
      </c>
      <c r="X1367" s="94">
        <f>STOCK[[#This Row],[Ganancia Unitaria]]*STOCK[[#This Row],[Salidas]]</f>
        <v>0</v>
      </c>
      <c r="Y1367" s="94"/>
      <c r="Z1367" s="94"/>
      <c r="AA1367" s="94">
        <f>STOCK[[#This Row],[Costo total]]*STOCK[[#This Row],[Entradas]]</f>
        <v>13.9</v>
      </c>
      <c r="AB1367" s="94">
        <f>STOCK[[#This Row],[Stock Actual]]*STOCK[[#This Row],[Costo total]]</f>
        <v>13.9</v>
      </c>
      <c r="AC1367" s="94"/>
    </row>
    <row r="1368" s="76" customFormat="1" ht="50" customHeight="1" spans="1:29">
      <c r="A1368" s="76" t="s">
        <v>2799</v>
      </c>
      <c r="B1368" s="95"/>
      <c r="C1368" s="94" t="s">
        <v>30</v>
      </c>
      <c r="D1368" s="94" t="s">
        <v>1224</v>
      </c>
      <c r="E1368" s="94" t="s">
        <v>2800</v>
      </c>
      <c r="F1368" s="94" t="s">
        <v>516</v>
      </c>
      <c r="G1368" s="94" t="s">
        <v>2448</v>
      </c>
      <c r="H1368" s="94">
        <f>STOCK[[#This Row],[Precio Final]]</f>
        <v>40</v>
      </c>
      <c r="I1368" s="98">
        <f>STOCK[[#This Row],[Precio Venta Ideal (x1.5)]]</f>
        <v>23.1</v>
      </c>
      <c r="J1368" s="96">
        <v>1</v>
      </c>
      <c r="K1368" s="96">
        <f>SUMIFS(VENTAS[Cantidad],VENTAS[Código del producto Vendido],STOCK[[#This Row],[Code]])</f>
        <v>0</v>
      </c>
      <c r="L1368" s="96">
        <f>STOCK[[#This Row],[Entradas]]-STOCK[[#This Row],[Salidas]]</f>
        <v>1</v>
      </c>
      <c r="M1368" s="94">
        <f>STOCK[[#This Row],[Precio Final]]*10%</f>
        <v>4</v>
      </c>
      <c r="N1368" s="94">
        <v>0</v>
      </c>
      <c r="O1368" s="94">
        <v>0</v>
      </c>
      <c r="P1368" s="94">
        <v>9.75</v>
      </c>
      <c r="Q1368" s="96">
        <v>0</v>
      </c>
      <c r="R1368" s="94">
        <v>0</v>
      </c>
      <c r="S1368" s="94">
        <v>1.65</v>
      </c>
      <c r="T1368" s="94">
        <f>STOCK[[#This Row],[Costo Unitario (USD)]]+STOCK[[#This Row],[Costo Envío (USD)]]+STOCK[[#This Row],[Comisión 10%]]</f>
        <v>15.4</v>
      </c>
      <c r="U1368" s="76">
        <f>STOCK[[#This Row],[Costo total]]*1.5</f>
        <v>23.1</v>
      </c>
      <c r="V1368" s="94">
        <v>40</v>
      </c>
      <c r="W1368" s="94">
        <f>STOCK[[#This Row],[Precio Final]]-STOCK[[#This Row],[Costo total]]</f>
        <v>24.6</v>
      </c>
      <c r="X1368" s="94">
        <f>STOCK[[#This Row],[Ganancia Unitaria]]*STOCK[[#This Row],[Salidas]]</f>
        <v>0</v>
      </c>
      <c r="Y1368" s="94"/>
      <c r="Z1368" s="94"/>
      <c r="AA1368" s="94">
        <f>STOCK[[#This Row],[Costo total]]*STOCK[[#This Row],[Entradas]]</f>
        <v>15.4</v>
      </c>
      <c r="AB1368" s="94">
        <f>STOCK[[#This Row],[Stock Actual]]*STOCK[[#This Row],[Costo total]]</f>
        <v>15.4</v>
      </c>
      <c r="AC1368" s="94"/>
    </row>
    <row r="1369" s="76" customFormat="1" ht="50" customHeight="1" spans="1:29">
      <c r="A1369" s="76" t="s">
        <v>2801</v>
      </c>
      <c r="B1369" s="95"/>
      <c r="C1369" s="94" t="s">
        <v>30</v>
      </c>
      <c r="D1369" s="94" t="s">
        <v>1224</v>
      </c>
      <c r="E1369" s="94" t="s">
        <v>2800</v>
      </c>
      <c r="F1369" s="94" t="s">
        <v>539</v>
      </c>
      <c r="G1369" s="94" t="s">
        <v>2448</v>
      </c>
      <c r="H1369" s="94">
        <f>STOCK[[#This Row],[Precio Final]]</f>
        <v>40</v>
      </c>
      <c r="I1369" s="98">
        <f>STOCK[[#This Row],[Precio Venta Ideal (x1.5)]]</f>
        <v>25.515</v>
      </c>
      <c r="J1369" s="96">
        <v>2</v>
      </c>
      <c r="K1369" s="96">
        <f>SUMIFS(VENTAS[Cantidad],VENTAS[Código del producto Vendido],STOCK[[#This Row],[Code]])</f>
        <v>1</v>
      </c>
      <c r="L1369" s="96">
        <f>STOCK[[#This Row],[Entradas]]-STOCK[[#This Row],[Salidas]]</f>
        <v>1</v>
      </c>
      <c r="M1369" s="94">
        <f>STOCK[[#This Row],[Precio Final]]*10%</f>
        <v>4</v>
      </c>
      <c r="N1369" s="94">
        <v>0</v>
      </c>
      <c r="O1369" s="94">
        <v>0</v>
      </c>
      <c r="P1369" s="94">
        <v>11.36</v>
      </c>
      <c r="Q1369" s="96">
        <v>0</v>
      </c>
      <c r="R1369" s="94">
        <v>0</v>
      </c>
      <c r="S1369" s="94">
        <v>1.65</v>
      </c>
      <c r="T1369" s="94">
        <f>STOCK[[#This Row],[Costo Unitario (USD)]]+STOCK[[#This Row],[Costo Envío (USD)]]+STOCK[[#This Row],[Comisión 10%]]</f>
        <v>17.01</v>
      </c>
      <c r="U1369" s="76">
        <f>STOCK[[#This Row],[Costo total]]*1.5</f>
        <v>25.515</v>
      </c>
      <c r="V1369" s="94">
        <v>40</v>
      </c>
      <c r="W1369" s="94">
        <f>STOCK[[#This Row],[Precio Final]]-STOCK[[#This Row],[Costo total]]</f>
        <v>22.99</v>
      </c>
      <c r="X1369" s="94">
        <f>STOCK[[#This Row],[Ganancia Unitaria]]*STOCK[[#This Row],[Salidas]]</f>
        <v>22.99</v>
      </c>
      <c r="Y1369" s="94"/>
      <c r="Z1369" s="94"/>
      <c r="AA1369" s="94">
        <f>STOCK[[#This Row],[Costo total]]*STOCK[[#This Row],[Entradas]]</f>
        <v>34.02</v>
      </c>
      <c r="AB1369" s="94">
        <f>STOCK[[#This Row],[Stock Actual]]*STOCK[[#This Row],[Costo total]]</f>
        <v>17.01</v>
      </c>
      <c r="AC1369" s="94"/>
    </row>
    <row r="1370" s="76" customFormat="1" ht="50" customHeight="1" spans="1:29">
      <c r="A1370" s="76" t="s">
        <v>2802</v>
      </c>
      <c r="B1370" s="95"/>
      <c r="C1370" s="94" t="s">
        <v>30</v>
      </c>
      <c r="D1370" s="94" t="s">
        <v>1224</v>
      </c>
      <c r="E1370" s="94" t="s">
        <v>2800</v>
      </c>
      <c r="F1370" s="94" t="s">
        <v>762</v>
      </c>
      <c r="G1370" s="94" t="s">
        <v>2448</v>
      </c>
      <c r="H1370" s="94">
        <f>STOCK[[#This Row],[Precio Final]]</f>
        <v>40</v>
      </c>
      <c r="I1370" s="98">
        <f>STOCK[[#This Row],[Precio Venta Ideal (x1.5)]]</f>
        <v>25.515</v>
      </c>
      <c r="J1370" s="96">
        <v>2</v>
      </c>
      <c r="K1370" s="96">
        <f>SUMIFS(VENTAS[Cantidad],VENTAS[Código del producto Vendido],STOCK[[#This Row],[Code]])</f>
        <v>0</v>
      </c>
      <c r="L1370" s="96">
        <f>STOCK[[#This Row],[Entradas]]-STOCK[[#This Row],[Salidas]]</f>
        <v>2</v>
      </c>
      <c r="M1370" s="94">
        <f>STOCK[[#This Row],[Precio Final]]*10%</f>
        <v>4</v>
      </c>
      <c r="N1370" s="94">
        <v>0</v>
      </c>
      <c r="O1370" s="94">
        <v>0</v>
      </c>
      <c r="P1370" s="94">
        <v>11.36</v>
      </c>
      <c r="Q1370" s="96">
        <v>0</v>
      </c>
      <c r="R1370" s="94">
        <v>0</v>
      </c>
      <c r="S1370" s="94">
        <v>1.65</v>
      </c>
      <c r="T1370" s="94">
        <f>STOCK[[#This Row],[Costo Unitario (USD)]]+STOCK[[#This Row],[Costo Envío (USD)]]+STOCK[[#This Row],[Comisión 10%]]</f>
        <v>17.01</v>
      </c>
      <c r="U1370" s="76">
        <f>STOCK[[#This Row],[Costo total]]*1.5</f>
        <v>25.515</v>
      </c>
      <c r="V1370" s="94">
        <v>40</v>
      </c>
      <c r="W1370" s="94">
        <f>STOCK[[#This Row],[Precio Final]]-STOCK[[#This Row],[Costo total]]</f>
        <v>22.99</v>
      </c>
      <c r="X1370" s="94">
        <f>STOCK[[#This Row],[Ganancia Unitaria]]*STOCK[[#This Row],[Salidas]]</f>
        <v>0</v>
      </c>
      <c r="Y1370" s="94"/>
      <c r="Z1370" s="94"/>
      <c r="AA1370" s="94">
        <f>STOCK[[#This Row],[Costo total]]*STOCK[[#This Row],[Entradas]]</f>
        <v>34.02</v>
      </c>
      <c r="AB1370" s="94">
        <f>STOCK[[#This Row],[Stock Actual]]*STOCK[[#This Row],[Costo total]]</f>
        <v>34.02</v>
      </c>
      <c r="AC1370" s="94"/>
    </row>
    <row r="1371" s="76" customFormat="1" ht="50" customHeight="1" spans="1:29">
      <c r="A1371" s="76" t="s">
        <v>2803</v>
      </c>
      <c r="B1371" s="95"/>
      <c r="C1371" s="94" t="s">
        <v>30</v>
      </c>
      <c r="D1371" s="94" t="s">
        <v>1224</v>
      </c>
      <c r="E1371" s="94" t="s">
        <v>2800</v>
      </c>
      <c r="F1371" s="94" t="s">
        <v>757</v>
      </c>
      <c r="G1371" s="94" t="s">
        <v>2448</v>
      </c>
      <c r="H1371" s="94">
        <f>STOCK[[#This Row],[Precio Final]]</f>
        <v>40</v>
      </c>
      <c r="I1371" s="98">
        <f>STOCK[[#This Row],[Precio Venta Ideal (x1.5)]]</f>
        <v>25.515</v>
      </c>
      <c r="J1371" s="96">
        <v>2</v>
      </c>
      <c r="K1371" s="96">
        <f>SUMIFS(VENTAS[Cantidad],VENTAS[Código del producto Vendido],STOCK[[#This Row],[Code]])</f>
        <v>1</v>
      </c>
      <c r="L1371" s="96">
        <f>STOCK[[#This Row],[Entradas]]-STOCK[[#This Row],[Salidas]]</f>
        <v>1</v>
      </c>
      <c r="M1371" s="94">
        <f>STOCK[[#This Row],[Precio Final]]*10%</f>
        <v>4</v>
      </c>
      <c r="N1371" s="94">
        <v>0</v>
      </c>
      <c r="O1371" s="94">
        <v>0</v>
      </c>
      <c r="P1371" s="94">
        <v>11.36</v>
      </c>
      <c r="Q1371" s="96">
        <v>0</v>
      </c>
      <c r="R1371" s="94">
        <v>0</v>
      </c>
      <c r="S1371" s="94">
        <v>1.65</v>
      </c>
      <c r="T1371" s="94">
        <f>STOCK[[#This Row],[Costo Unitario (USD)]]+STOCK[[#This Row],[Costo Envío (USD)]]+STOCK[[#This Row],[Comisión 10%]]</f>
        <v>17.01</v>
      </c>
      <c r="U1371" s="76">
        <f>STOCK[[#This Row],[Costo total]]*1.5</f>
        <v>25.515</v>
      </c>
      <c r="V1371" s="94">
        <v>40</v>
      </c>
      <c r="W1371" s="94">
        <f>STOCK[[#This Row],[Precio Final]]-STOCK[[#This Row],[Costo total]]</f>
        <v>22.99</v>
      </c>
      <c r="X1371" s="94">
        <f>STOCK[[#This Row],[Ganancia Unitaria]]*STOCK[[#This Row],[Salidas]]</f>
        <v>22.99</v>
      </c>
      <c r="Y1371" s="94"/>
      <c r="Z1371" s="94"/>
      <c r="AA1371" s="94">
        <f>STOCK[[#This Row],[Costo total]]*STOCK[[#This Row],[Entradas]]</f>
        <v>34.02</v>
      </c>
      <c r="AB1371" s="94">
        <f>STOCK[[#This Row],[Stock Actual]]*STOCK[[#This Row],[Costo total]]</f>
        <v>17.01</v>
      </c>
      <c r="AC1371" s="94"/>
    </row>
    <row r="1372" s="76" customFormat="1" ht="50" customHeight="1" spans="1:29">
      <c r="A1372" s="76" t="s">
        <v>2804</v>
      </c>
      <c r="B1372" s="95"/>
      <c r="C1372" s="94" t="s">
        <v>30</v>
      </c>
      <c r="D1372" s="94" t="s">
        <v>1224</v>
      </c>
      <c r="E1372" s="94" t="s">
        <v>2800</v>
      </c>
      <c r="F1372" s="94" t="s">
        <v>752</v>
      </c>
      <c r="G1372" s="94" t="s">
        <v>2448</v>
      </c>
      <c r="H1372" s="94">
        <f>STOCK[[#This Row],[Precio Final]]</f>
        <v>40</v>
      </c>
      <c r="I1372" s="98">
        <f>STOCK[[#This Row],[Precio Venta Ideal (x1.5)]]</f>
        <v>25.515</v>
      </c>
      <c r="J1372" s="96">
        <v>2</v>
      </c>
      <c r="K1372" s="96">
        <f>SUMIFS(VENTAS[Cantidad],VENTAS[Código del producto Vendido],STOCK[[#This Row],[Code]])</f>
        <v>0</v>
      </c>
      <c r="L1372" s="96">
        <f>STOCK[[#This Row],[Entradas]]-STOCK[[#This Row],[Salidas]]</f>
        <v>2</v>
      </c>
      <c r="M1372" s="94">
        <f>STOCK[[#This Row],[Precio Final]]*10%</f>
        <v>4</v>
      </c>
      <c r="N1372" s="94">
        <v>0</v>
      </c>
      <c r="O1372" s="94">
        <v>0</v>
      </c>
      <c r="P1372" s="94">
        <v>11.36</v>
      </c>
      <c r="Q1372" s="96">
        <v>0</v>
      </c>
      <c r="R1372" s="94">
        <v>0</v>
      </c>
      <c r="S1372" s="94">
        <v>1.65</v>
      </c>
      <c r="T1372" s="94">
        <f>STOCK[[#This Row],[Costo Unitario (USD)]]+STOCK[[#This Row],[Costo Envío (USD)]]+STOCK[[#This Row],[Comisión 10%]]</f>
        <v>17.01</v>
      </c>
      <c r="U1372" s="76">
        <f>STOCK[[#This Row],[Costo total]]*1.5</f>
        <v>25.515</v>
      </c>
      <c r="V1372" s="94">
        <v>40</v>
      </c>
      <c r="W1372" s="94">
        <f>STOCK[[#This Row],[Precio Final]]-STOCK[[#This Row],[Costo total]]</f>
        <v>22.99</v>
      </c>
      <c r="X1372" s="94">
        <f>STOCK[[#This Row],[Ganancia Unitaria]]*STOCK[[#This Row],[Salidas]]</f>
        <v>0</v>
      </c>
      <c r="Y1372" s="94"/>
      <c r="Z1372" s="94"/>
      <c r="AA1372" s="94">
        <f>STOCK[[#This Row],[Costo total]]*STOCK[[#This Row],[Entradas]]</f>
        <v>34.02</v>
      </c>
      <c r="AB1372" s="94">
        <f>STOCK[[#This Row],[Stock Actual]]*STOCK[[#This Row],[Costo total]]</f>
        <v>34.02</v>
      </c>
      <c r="AC1372" s="94"/>
    </row>
    <row r="1373" s="76" customFormat="1" ht="50" customHeight="1" spans="1:29">
      <c r="A1373" s="76" t="s">
        <v>2805</v>
      </c>
      <c r="B1373" s="95"/>
      <c r="C1373" s="94" t="s">
        <v>30</v>
      </c>
      <c r="D1373" s="94" t="s">
        <v>1224</v>
      </c>
      <c r="E1373" s="94" t="s">
        <v>2800</v>
      </c>
      <c r="F1373" s="94" t="s">
        <v>764</v>
      </c>
      <c r="G1373" s="94"/>
      <c r="H1373" s="94">
        <f>STOCK[[#This Row],[Precio Final]]</f>
        <v>40</v>
      </c>
      <c r="I1373" s="98">
        <f>STOCK[[#This Row],[Precio Venta Ideal (x1.5)]]</f>
        <v>25.515</v>
      </c>
      <c r="J1373" s="96">
        <v>2</v>
      </c>
      <c r="K1373" s="96">
        <f>SUMIFS(VENTAS[Cantidad],VENTAS[Código del producto Vendido],STOCK[[#This Row],[Code]])</f>
        <v>0</v>
      </c>
      <c r="L1373" s="96">
        <f>STOCK[[#This Row],[Entradas]]-STOCK[[#This Row],[Salidas]]</f>
        <v>2</v>
      </c>
      <c r="M1373" s="94">
        <f>STOCK[[#This Row],[Precio Final]]*10%</f>
        <v>4</v>
      </c>
      <c r="N1373" s="94">
        <v>0</v>
      </c>
      <c r="O1373" s="94">
        <v>0</v>
      </c>
      <c r="P1373" s="94">
        <v>11.36</v>
      </c>
      <c r="Q1373" s="96">
        <v>0</v>
      </c>
      <c r="R1373" s="94">
        <v>0</v>
      </c>
      <c r="S1373" s="94">
        <v>1.65</v>
      </c>
      <c r="T1373" s="94">
        <f>STOCK[[#This Row],[Costo Unitario (USD)]]+STOCK[[#This Row],[Costo Envío (USD)]]+STOCK[[#This Row],[Comisión 10%]]</f>
        <v>17.01</v>
      </c>
      <c r="U1373" s="76">
        <f>STOCK[[#This Row],[Costo total]]*1.5</f>
        <v>25.515</v>
      </c>
      <c r="V1373" s="94">
        <v>40</v>
      </c>
      <c r="W1373" s="94">
        <f>STOCK[[#This Row],[Precio Final]]-STOCK[[#This Row],[Costo total]]</f>
        <v>22.99</v>
      </c>
      <c r="X1373" s="94">
        <f>STOCK[[#This Row],[Ganancia Unitaria]]*STOCK[[#This Row],[Salidas]]</f>
        <v>0</v>
      </c>
      <c r="Y1373" s="94"/>
      <c r="Z1373" s="94"/>
      <c r="AA1373" s="94">
        <f>STOCK[[#This Row],[Costo total]]*STOCK[[#This Row],[Entradas]]</f>
        <v>34.02</v>
      </c>
      <c r="AB1373" s="94">
        <f>STOCK[[#This Row],[Stock Actual]]*STOCK[[#This Row],[Costo total]]</f>
        <v>34.02</v>
      </c>
      <c r="AC1373" s="94"/>
    </row>
    <row r="1374" s="76" customFormat="1" ht="50" customHeight="1" spans="1:29">
      <c r="A1374" s="76" t="s">
        <v>2806</v>
      </c>
      <c r="B1374" s="95"/>
      <c r="C1374" s="94" t="s">
        <v>30</v>
      </c>
      <c r="D1374" s="94" t="s">
        <v>1210</v>
      </c>
      <c r="E1374" s="94" t="s">
        <v>2807</v>
      </c>
      <c r="F1374" s="94" t="s">
        <v>60</v>
      </c>
      <c r="G1374" s="94"/>
      <c r="H1374" s="94">
        <f>STOCK[[#This Row],[Precio Final]]</f>
        <v>20</v>
      </c>
      <c r="I1374" s="98">
        <f>STOCK[[#This Row],[Precio Venta Ideal (x1.5)]]</f>
        <v>14.145</v>
      </c>
      <c r="J1374" s="96">
        <v>3</v>
      </c>
      <c r="K1374" s="96">
        <f>SUMIFS(VENTAS[Cantidad],VENTAS[Código del producto Vendido],STOCK[[#This Row],[Code]])</f>
        <v>0</v>
      </c>
      <c r="L1374" s="96">
        <f>STOCK[[#This Row],[Entradas]]-STOCK[[#This Row],[Salidas]]</f>
        <v>3</v>
      </c>
      <c r="M1374" s="94">
        <f>STOCK[[#This Row],[Precio Final]]*10%</f>
        <v>2</v>
      </c>
      <c r="N1374" s="94">
        <v>0</v>
      </c>
      <c r="O1374" s="94">
        <v>0</v>
      </c>
      <c r="P1374" s="94">
        <v>5.78</v>
      </c>
      <c r="Q1374" s="96">
        <v>0</v>
      </c>
      <c r="R1374" s="94">
        <v>0</v>
      </c>
      <c r="S1374" s="94">
        <v>1.65</v>
      </c>
      <c r="T1374" s="94">
        <f>STOCK[[#This Row],[Costo Unitario (USD)]]+STOCK[[#This Row],[Costo Envío (USD)]]+STOCK[[#This Row],[Comisión 10%]]</f>
        <v>9.43</v>
      </c>
      <c r="U1374" s="76">
        <f>STOCK[[#This Row],[Costo total]]*1.5</f>
        <v>14.145</v>
      </c>
      <c r="V1374" s="94">
        <v>20</v>
      </c>
      <c r="W1374" s="94">
        <f>STOCK[[#This Row],[Precio Final]]-STOCK[[#This Row],[Costo total]]</f>
        <v>10.57</v>
      </c>
      <c r="X1374" s="94">
        <f>STOCK[[#This Row],[Ganancia Unitaria]]*STOCK[[#This Row],[Salidas]]</f>
        <v>0</v>
      </c>
      <c r="Y1374" s="94"/>
      <c r="Z1374" s="94"/>
      <c r="AA1374" s="94">
        <f>STOCK[[#This Row],[Costo total]]*STOCK[[#This Row],[Entradas]]</f>
        <v>28.29</v>
      </c>
      <c r="AB1374" s="94">
        <f>STOCK[[#This Row],[Stock Actual]]*STOCK[[#This Row],[Costo total]]</f>
        <v>28.29</v>
      </c>
      <c r="AC1374" s="94"/>
    </row>
    <row r="1375" s="76" customFormat="1" ht="50" customHeight="1" spans="1:29">
      <c r="A1375" s="76" t="s">
        <v>2808</v>
      </c>
      <c r="B1375" s="95"/>
      <c r="C1375" s="94" t="s">
        <v>30</v>
      </c>
      <c r="D1375" s="94" t="s">
        <v>1210</v>
      </c>
      <c r="E1375" s="94" t="s">
        <v>2807</v>
      </c>
      <c r="F1375" s="94" t="s">
        <v>47</v>
      </c>
      <c r="G1375" s="94"/>
      <c r="H1375" s="94">
        <f>STOCK[[#This Row],[Precio Final]]</f>
        <v>20</v>
      </c>
      <c r="I1375" s="98">
        <f>STOCK[[#This Row],[Precio Venta Ideal (x1.5)]]</f>
        <v>14.145</v>
      </c>
      <c r="J1375" s="96">
        <v>3</v>
      </c>
      <c r="K1375" s="96">
        <f>SUMIFS(VENTAS[Cantidad],VENTAS[Código del producto Vendido],STOCK[[#This Row],[Code]])</f>
        <v>0</v>
      </c>
      <c r="L1375" s="96">
        <f>STOCK[[#This Row],[Entradas]]-STOCK[[#This Row],[Salidas]]</f>
        <v>3</v>
      </c>
      <c r="M1375" s="94">
        <f>STOCK[[#This Row],[Precio Final]]*10%</f>
        <v>2</v>
      </c>
      <c r="N1375" s="94">
        <v>0</v>
      </c>
      <c r="O1375" s="94">
        <v>0</v>
      </c>
      <c r="P1375" s="94">
        <v>5.78</v>
      </c>
      <c r="Q1375" s="96">
        <v>0</v>
      </c>
      <c r="R1375" s="94">
        <v>0</v>
      </c>
      <c r="S1375" s="94">
        <v>1.65</v>
      </c>
      <c r="T1375" s="94">
        <f>STOCK[[#This Row],[Costo Unitario (USD)]]+STOCK[[#This Row],[Costo Envío (USD)]]+STOCK[[#This Row],[Comisión 10%]]</f>
        <v>9.43</v>
      </c>
      <c r="U1375" s="76">
        <f>STOCK[[#This Row],[Costo total]]*1.5</f>
        <v>14.145</v>
      </c>
      <c r="V1375" s="94">
        <v>20</v>
      </c>
      <c r="W1375" s="94">
        <f>STOCK[[#This Row],[Precio Final]]-STOCK[[#This Row],[Costo total]]</f>
        <v>10.57</v>
      </c>
      <c r="X1375" s="94">
        <f>STOCK[[#This Row],[Ganancia Unitaria]]*STOCK[[#This Row],[Salidas]]</f>
        <v>0</v>
      </c>
      <c r="Y1375" s="94"/>
      <c r="Z1375" s="94"/>
      <c r="AA1375" s="94">
        <f>STOCK[[#This Row],[Costo total]]*STOCK[[#This Row],[Entradas]]</f>
        <v>28.29</v>
      </c>
      <c r="AB1375" s="94">
        <f>STOCK[[#This Row],[Stock Actual]]*STOCK[[#This Row],[Costo total]]</f>
        <v>28.29</v>
      </c>
      <c r="AC1375" s="94"/>
    </row>
    <row r="1376" s="76" customFormat="1" ht="50" customHeight="1" spans="1:29">
      <c r="A1376" s="76" t="s">
        <v>2809</v>
      </c>
      <c r="B1376" s="95"/>
      <c r="C1376" s="94" t="s">
        <v>30</v>
      </c>
      <c r="D1376" s="94" t="s">
        <v>1210</v>
      </c>
      <c r="E1376" s="94" t="s">
        <v>2807</v>
      </c>
      <c r="F1376" s="94" t="s">
        <v>44</v>
      </c>
      <c r="G1376" s="94"/>
      <c r="H1376" s="94">
        <f>STOCK[[#This Row],[Precio Final]]</f>
        <v>20</v>
      </c>
      <c r="I1376" s="98">
        <f>STOCK[[#This Row],[Precio Venta Ideal (x1.5)]]</f>
        <v>14.145</v>
      </c>
      <c r="J1376" s="96">
        <v>3</v>
      </c>
      <c r="K1376" s="96">
        <f>SUMIFS(VENTAS[Cantidad],VENTAS[Código del producto Vendido],STOCK[[#This Row],[Code]])</f>
        <v>0</v>
      </c>
      <c r="L1376" s="96">
        <f>STOCK[[#This Row],[Entradas]]-STOCK[[#This Row],[Salidas]]</f>
        <v>3</v>
      </c>
      <c r="M1376" s="94">
        <f>STOCK[[#This Row],[Precio Final]]*10%</f>
        <v>2</v>
      </c>
      <c r="N1376" s="94">
        <v>0</v>
      </c>
      <c r="O1376" s="94">
        <v>0</v>
      </c>
      <c r="P1376" s="94">
        <v>5.78</v>
      </c>
      <c r="Q1376" s="96">
        <v>0</v>
      </c>
      <c r="R1376" s="94">
        <v>0</v>
      </c>
      <c r="S1376" s="94">
        <v>1.65</v>
      </c>
      <c r="T1376" s="94">
        <f>STOCK[[#This Row],[Costo Unitario (USD)]]+STOCK[[#This Row],[Costo Envío (USD)]]+STOCK[[#This Row],[Comisión 10%]]</f>
        <v>9.43</v>
      </c>
      <c r="U1376" s="76">
        <f>STOCK[[#This Row],[Costo total]]*1.5</f>
        <v>14.145</v>
      </c>
      <c r="V1376" s="94">
        <v>20</v>
      </c>
      <c r="W1376" s="94">
        <f>STOCK[[#This Row],[Precio Final]]-STOCK[[#This Row],[Costo total]]</f>
        <v>10.57</v>
      </c>
      <c r="X1376" s="94">
        <f>STOCK[[#This Row],[Ganancia Unitaria]]*STOCK[[#This Row],[Salidas]]</f>
        <v>0</v>
      </c>
      <c r="Y1376" s="94"/>
      <c r="Z1376" s="94"/>
      <c r="AA1376" s="94">
        <f>STOCK[[#This Row],[Costo total]]*STOCK[[#This Row],[Entradas]]</f>
        <v>28.29</v>
      </c>
      <c r="AB1376" s="94">
        <f>STOCK[[#This Row],[Stock Actual]]*STOCK[[#This Row],[Costo total]]</f>
        <v>28.29</v>
      </c>
      <c r="AC1376" s="94"/>
    </row>
    <row r="1377" s="76" customFormat="1" ht="50" customHeight="1" spans="1:29">
      <c r="A1377" s="76" t="s">
        <v>2810</v>
      </c>
      <c r="B1377" s="95"/>
      <c r="C1377" s="94" t="s">
        <v>30</v>
      </c>
      <c r="D1377" s="94" t="s">
        <v>2109</v>
      </c>
      <c r="E1377" s="94" t="s">
        <v>2811</v>
      </c>
      <c r="F1377" s="94" t="s">
        <v>2495</v>
      </c>
      <c r="G1377" s="94"/>
      <c r="H1377" s="94">
        <f>STOCK[[#This Row],[Precio Final]]</f>
        <v>22</v>
      </c>
      <c r="I1377" s="98">
        <f>STOCK[[#This Row],[Precio Venta Ideal (x1.5)]]</f>
        <v>18.72</v>
      </c>
      <c r="J1377" s="96">
        <v>4</v>
      </c>
      <c r="K1377" s="96">
        <f>SUMIFS(VENTAS[Cantidad],VENTAS[Código del producto Vendido],STOCK[[#This Row],[Code]])</f>
        <v>4</v>
      </c>
      <c r="L1377" s="96">
        <f>STOCK[[#This Row],[Entradas]]-STOCK[[#This Row],[Salidas]]</f>
        <v>0</v>
      </c>
      <c r="M1377" s="94">
        <f>STOCK[[#This Row],[Precio Final]]*10%</f>
        <v>2.2</v>
      </c>
      <c r="N1377" s="94">
        <v>0</v>
      </c>
      <c r="O1377" s="94">
        <v>0</v>
      </c>
      <c r="P1377" s="94">
        <v>8.63</v>
      </c>
      <c r="Q1377" s="96">
        <v>0</v>
      </c>
      <c r="R1377" s="94">
        <v>0</v>
      </c>
      <c r="S1377" s="94">
        <v>1.65</v>
      </c>
      <c r="T1377" s="94">
        <f>STOCK[[#This Row],[Costo Unitario (USD)]]+STOCK[[#This Row],[Costo Envío (USD)]]+STOCK[[#This Row],[Comisión 10%]]</f>
        <v>12.48</v>
      </c>
      <c r="U1377" s="76">
        <f>STOCK[[#This Row],[Costo total]]*1.5</f>
        <v>18.72</v>
      </c>
      <c r="V1377" s="94">
        <v>22</v>
      </c>
      <c r="W1377" s="94">
        <f>STOCK[[#This Row],[Precio Final]]-STOCK[[#This Row],[Costo total]]</f>
        <v>9.52</v>
      </c>
      <c r="X1377" s="94">
        <f>STOCK[[#This Row],[Ganancia Unitaria]]*STOCK[[#This Row],[Salidas]]</f>
        <v>38.08</v>
      </c>
      <c r="Y1377" s="94"/>
      <c r="Z1377" s="94"/>
      <c r="AA1377" s="94">
        <f>STOCK[[#This Row],[Costo total]]*STOCK[[#This Row],[Entradas]]</f>
        <v>49.92</v>
      </c>
      <c r="AB1377" s="94">
        <f>STOCK[[#This Row],[Stock Actual]]*STOCK[[#This Row],[Costo total]]</f>
        <v>0</v>
      </c>
      <c r="AC1377" s="94"/>
    </row>
    <row r="1378" s="76" customFormat="1" ht="50" customHeight="1" spans="1:29">
      <c r="A1378" s="76" t="s">
        <v>2812</v>
      </c>
      <c r="B1378" s="95"/>
      <c r="C1378" s="94" t="s">
        <v>30</v>
      </c>
      <c r="D1378" s="94" t="s">
        <v>2109</v>
      </c>
      <c r="E1378" s="94" t="s">
        <v>2813</v>
      </c>
      <c r="F1378" s="94" t="s">
        <v>2814</v>
      </c>
      <c r="G1378" s="94"/>
      <c r="H1378" s="94">
        <f>STOCK[[#This Row],[Precio Final]]</f>
        <v>22</v>
      </c>
      <c r="I1378" s="98">
        <f>STOCK[[#This Row],[Precio Venta Ideal (x1.5)]]</f>
        <v>21.555</v>
      </c>
      <c r="J1378" s="96">
        <v>7</v>
      </c>
      <c r="K1378" s="96">
        <f>SUMIFS(VENTAS[Cantidad],VENTAS[Código del producto Vendido],STOCK[[#This Row],[Code]])</f>
        <v>7</v>
      </c>
      <c r="L1378" s="96">
        <f>STOCK[[#This Row],[Entradas]]-STOCK[[#This Row],[Salidas]]</f>
        <v>0</v>
      </c>
      <c r="M1378" s="94">
        <f>STOCK[[#This Row],[Precio Final]]*10%</f>
        <v>2.2</v>
      </c>
      <c r="N1378" s="94">
        <v>0</v>
      </c>
      <c r="O1378" s="94">
        <v>0</v>
      </c>
      <c r="P1378" s="94">
        <v>10.52</v>
      </c>
      <c r="Q1378" s="96">
        <v>0</v>
      </c>
      <c r="R1378" s="94">
        <v>0</v>
      </c>
      <c r="S1378" s="94">
        <v>1.65</v>
      </c>
      <c r="T1378" s="94">
        <f>STOCK[[#This Row],[Costo Unitario (USD)]]+STOCK[[#This Row],[Costo Envío (USD)]]+STOCK[[#This Row],[Comisión 10%]]</f>
        <v>14.37</v>
      </c>
      <c r="U1378" s="76">
        <f>STOCK[[#This Row],[Costo total]]*1.5</f>
        <v>21.555</v>
      </c>
      <c r="V1378" s="94">
        <v>22</v>
      </c>
      <c r="W1378" s="94">
        <f>STOCK[[#This Row],[Precio Final]]-STOCK[[#This Row],[Costo total]]</f>
        <v>7.63</v>
      </c>
      <c r="X1378" s="94">
        <f>STOCK[[#This Row],[Ganancia Unitaria]]*STOCK[[#This Row],[Salidas]]</f>
        <v>53.41</v>
      </c>
      <c r="Y1378" s="94"/>
      <c r="Z1378" s="94"/>
      <c r="AA1378" s="94">
        <f>STOCK[[#This Row],[Costo total]]*STOCK[[#This Row],[Entradas]]</f>
        <v>100.59</v>
      </c>
      <c r="AB1378" s="94">
        <f>STOCK[[#This Row],[Stock Actual]]*STOCK[[#This Row],[Costo total]]</f>
        <v>0</v>
      </c>
      <c r="AC1378" s="94"/>
    </row>
    <row r="1379" s="76" customFormat="1" ht="50" customHeight="1" spans="1:29">
      <c r="A1379" s="76" t="s">
        <v>2815</v>
      </c>
      <c r="B1379" s="95"/>
      <c r="C1379" s="94" t="s">
        <v>30</v>
      </c>
      <c r="D1379" s="94" t="s">
        <v>2109</v>
      </c>
      <c r="E1379" s="94" t="s">
        <v>2816</v>
      </c>
      <c r="F1379" s="94" t="s">
        <v>2495</v>
      </c>
      <c r="G1379" s="94"/>
      <c r="H1379" s="94">
        <f>STOCK[[#This Row],[Precio Final]]</f>
        <v>25</v>
      </c>
      <c r="I1379" s="98">
        <f>STOCK[[#This Row],[Precio Venta Ideal (x1.5)]]</f>
        <v>20.31</v>
      </c>
      <c r="J1379" s="96">
        <v>3</v>
      </c>
      <c r="K1379" s="96">
        <f>SUMIFS(VENTAS[Cantidad],VENTAS[Código del producto Vendido],STOCK[[#This Row],[Code]])</f>
        <v>0</v>
      </c>
      <c r="L1379" s="96">
        <f>STOCK[[#This Row],[Entradas]]-STOCK[[#This Row],[Salidas]]</f>
        <v>3</v>
      </c>
      <c r="M1379" s="94">
        <f>STOCK[[#This Row],[Precio Final]]*10%</f>
        <v>2.5</v>
      </c>
      <c r="N1379" s="94">
        <v>0</v>
      </c>
      <c r="O1379" s="94">
        <v>0</v>
      </c>
      <c r="P1379" s="94">
        <v>9.39</v>
      </c>
      <c r="Q1379" s="96">
        <v>0</v>
      </c>
      <c r="R1379" s="94">
        <v>0</v>
      </c>
      <c r="S1379" s="94">
        <v>1.65</v>
      </c>
      <c r="T1379" s="94">
        <f>STOCK[[#This Row],[Costo Unitario (USD)]]+STOCK[[#This Row],[Costo Envío (USD)]]+STOCK[[#This Row],[Comisión 10%]]</f>
        <v>13.54</v>
      </c>
      <c r="U1379" s="76">
        <f>STOCK[[#This Row],[Costo total]]*1.5</f>
        <v>20.31</v>
      </c>
      <c r="V1379" s="94">
        <v>25</v>
      </c>
      <c r="W1379" s="94">
        <f>STOCK[[#This Row],[Precio Final]]-STOCK[[#This Row],[Costo total]]</f>
        <v>11.46</v>
      </c>
      <c r="X1379" s="94">
        <f>STOCK[[#This Row],[Ganancia Unitaria]]*STOCK[[#This Row],[Salidas]]</f>
        <v>0</v>
      </c>
      <c r="Y1379" s="94"/>
      <c r="Z1379" s="94"/>
      <c r="AA1379" s="94">
        <f>STOCK[[#This Row],[Costo total]]*STOCK[[#This Row],[Entradas]]</f>
        <v>40.62</v>
      </c>
      <c r="AB1379" s="94">
        <f>STOCK[[#This Row],[Stock Actual]]*STOCK[[#This Row],[Costo total]]</f>
        <v>40.62</v>
      </c>
      <c r="AC1379" s="94"/>
    </row>
    <row r="1380" s="76" customFormat="1" ht="50" customHeight="1" spans="1:29">
      <c r="A1380" s="76" t="s">
        <v>2817</v>
      </c>
      <c r="B1380" s="95"/>
      <c r="C1380" s="94" t="s">
        <v>30</v>
      </c>
      <c r="D1380" s="94" t="s">
        <v>2109</v>
      </c>
      <c r="E1380" s="94" t="s">
        <v>2818</v>
      </c>
      <c r="F1380" s="94" t="s">
        <v>2819</v>
      </c>
      <c r="G1380" s="94"/>
      <c r="H1380" s="94">
        <f>STOCK[[#This Row],[Precio Final]]</f>
        <v>25</v>
      </c>
      <c r="I1380" s="98">
        <f>STOCK[[#This Row],[Precio Venta Ideal (x1.5)]]</f>
        <v>18.96</v>
      </c>
      <c r="J1380" s="96">
        <v>5</v>
      </c>
      <c r="K1380" s="96">
        <f>SUMIFS(VENTAS[Cantidad],VENTAS[Código del producto Vendido],STOCK[[#This Row],[Code]])</f>
        <v>5</v>
      </c>
      <c r="L1380" s="96">
        <f>STOCK[[#This Row],[Entradas]]-STOCK[[#This Row],[Salidas]]</f>
        <v>0</v>
      </c>
      <c r="M1380" s="94">
        <f>STOCK[[#This Row],[Precio Final]]*10%</f>
        <v>2.5</v>
      </c>
      <c r="N1380" s="94">
        <v>0</v>
      </c>
      <c r="O1380" s="94">
        <v>0</v>
      </c>
      <c r="P1380" s="94">
        <v>8.49</v>
      </c>
      <c r="Q1380" s="96">
        <v>0</v>
      </c>
      <c r="R1380" s="94">
        <v>0</v>
      </c>
      <c r="S1380" s="94">
        <v>1.65</v>
      </c>
      <c r="T1380" s="94">
        <f>STOCK[[#This Row],[Costo Unitario (USD)]]+STOCK[[#This Row],[Costo Envío (USD)]]+STOCK[[#This Row],[Comisión 10%]]</f>
        <v>12.64</v>
      </c>
      <c r="U1380" s="76">
        <f>STOCK[[#This Row],[Costo total]]*1.5</f>
        <v>18.96</v>
      </c>
      <c r="V1380" s="94">
        <v>25</v>
      </c>
      <c r="W1380" s="94">
        <f>STOCK[[#This Row],[Precio Final]]-STOCK[[#This Row],[Costo total]]</f>
        <v>12.36</v>
      </c>
      <c r="X1380" s="94">
        <f>STOCK[[#This Row],[Ganancia Unitaria]]*STOCK[[#This Row],[Salidas]]</f>
        <v>61.8</v>
      </c>
      <c r="Y1380" s="94"/>
      <c r="Z1380" s="94"/>
      <c r="AA1380" s="94">
        <f>STOCK[[#This Row],[Costo total]]*STOCK[[#This Row],[Entradas]]</f>
        <v>63.2</v>
      </c>
      <c r="AB1380" s="94">
        <f>STOCK[[#This Row],[Stock Actual]]*STOCK[[#This Row],[Costo total]]</f>
        <v>0</v>
      </c>
      <c r="AC1380" s="94"/>
    </row>
    <row r="1381" s="76" customFormat="1" ht="50" customHeight="1" spans="1:29">
      <c r="A1381" s="76" t="s">
        <v>2820</v>
      </c>
      <c r="B1381" s="95"/>
      <c r="C1381" s="94" t="s">
        <v>30</v>
      </c>
      <c r="D1381" s="94" t="s">
        <v>2109</v>
      </c>
      <c r="E1381" s="94" t="s">
        <v>2821</v>
      </c>
      <c r="F1381" s="94" t="s">
        <v>2814</v>
      </c>
      <c r="G1381" s="94"/>
      <c r="H1381" s="94">
        <f>STOCK[[#This Row],[Precio Final]]</f>
        <v>25</v>
      </c>
      <c r="I1381" s="98">
        <f>STOCK[[#This Row],[Precio Venta Ideal (x1.5)]]</f>
        <v>23.775</v>
      </c>
      <c r="J1381" s="96">
        <v>4</v>
      </c>
      <c r="K1381" s="96">
        <f>SUMIFS(VENTAS[Cantidad],VENTAS[Código del producto Vendido],STOCK[[#This Row],[Code]])</f>
        <v>4</v>
      </c>
      <c r="L1381" s="96">
        <f>STOCK[[#This Row],[Entradas]]-STOCK[[#This Row],[Salidas]]</f>
        <v>0</v>
      </c>
      <c r="M1381" s="94">
        <f>STOCK[[#This Row],[Precio Final]]*10%</f>
        <v>2.5</v>
      </c>
      <c r="N1381" s="94">
        <v>0</v>
      </c>
      <c r="O1381" s="94">
        <v>0</v>
      </c>
      <c r="P1381" s="94">
        <v>11.7</v>
      </c>
      <c r="Q1381" s="96">
        <v>0</v>
      </c>
      <c r="R1381" s="94">
        <v>0</v>
      </c>
      <c r="S1381" s="94">
        <v>1.65</v>
      </c>
      <c r="T1381" s="94">
        <f>STOCK[[#This Row],[Costo Unitario (USD)]]+STOCK[[#This Row],[Costo Envío (USD)]]+STOCK[[#This Row],[Comisión 10%]]</f>
        <v>15.85</v>
      </c>
      <c r="U1381" s="76">
        <f>STOCK[[#This Row],[Costo total]]*1.5</f>
        <v>23.775</v>
      </c>
      <c r="V1381" s="94">
        <v>25</v>
      </c>
      <c r="W1381" s="94">
        <f>STOCK[[#This Row],[Precio Final]]-STOCK[[#This Row],[Costo total]]</f>
        <v>9.15</v>
      </c>
      <c r="X1381" s="94">
        <f>STOCK[[#This Row],[Ganancia Unitaria]]*STOCK[[#This Row],[Salidas]]</f>
        <v>36.6</v>
      </c>
      <c r="Y1381" s="94"/>
      <c r="Z1381" s="94"/>
      <c r="AA1381" s="94">
        <f>STOCK[[#This Row],[Costo total]]*STOCK[[#This Row],[Entradas]]</f>
        <v>63.4</v>
      </c>
      <c r="AB1381" s="94">
        <f>STOCK[[#This Row],[Stock Actual]]*STOCK[[#This Row],[Costo total]]</f>
        <v>0</v>
      </c>
      <c r="AC1381" s="94"/>
    </row>
    <row r="1382" s="76" customFormat="1" ht="50" customHeight="1" spans="1:29">
      <c r="A1382" s="76" t="s">
        <v>2822</v>
      </c>
      <c r="B1382" s="95"/>
      <c r="C1382" s="94" t="s">
        <v>30</v>
      </c>
      <c r="D1382" s="94" t="s">
        <v>2109</v>
      </c>
      <c r="E1382" s="94" t="s">
        <v>2823</v>
      </c>
      <c r="F1382" s="94" t="s">
        <v>2819</v>
      </c>
      <c r="G1382" s="94"/>
      <c r="H1382" s="94">
        <f>STOCK[[#This Row],[Precio Final]]</f>
        <v>25</v>
      </c>
      <c r="I1382" s="98">
        <f>STOCK[[#This Row],[Precio Venta Ideal (x1.5)]]</f>
        <v>22.86</v>
      </c>
      <c r="J1382" s="96">
        <v>3</v>
      </c>
      <c r="K1382" s="96">
        <f>SUMIFS(VENTAS[Cantidad],VENTAS[Código del producto Vendido],STOCK[[#This Row],[Code]])</f>
        <v>3</v>
      </c>
      <c r="L1382" s="96">
        <f>STOCK[[#This Row],[Entradas]]-STOCK[[#This Row],[Salidas]]</f>
        <v>0</v>
      </c>
      <c r="M1382" s="94">
        <f>STOCK[[#This Row],[Precio Final]]*10%</f>
        <v>2.5</v>
      </c>
      <c r="N1382" s="94">
        <v>0</v>
      </c>
      <c r="O1382" s="94">
        <v>0</v>
      </c>
      <c r="P1382" s="94">
        <v>11.09</v>
      </c>
      <c r="Q1382" s="96">
        <v>0</v>
      </c>
      <c r="R1382" s="94">
        <v>0</v>
      </c>
      <c r="S1382" s="94">
        <v>1.65</v>
      </c>
      <c r="T1382" s="94">
        <f>STOCK[[#This Row],[Costo Unitario (USD)]]+STOCK[[#This Row],[Costo Envío (USD)]]+STOCK[[#This Row],[Comisión 10%]]</f>
        <v>15.24</v>
      </c>
      <c r="U1382" s="76">
        <f>STOCK[[#This Row],[Costo total]]*1.5</f>
        <v>22.86</v>
      </c>
      <c r="V1382" s="94">
        <v>25</v>
      </c>
      <c r="W1382" s="94">
        <f>STOCK[[#This Row],[Precio Final]]-STOCK[[#This Row],[Costo total]]</f>
        <v>9.76</v>
      </c>
      <c r="X1382" s="94">
        <f>STOCK[[#This Row],[Ganancia Unitaria]]*STOCK[[#This Row],[Salidas]]</f>
        <v>29.28</v>
      </c>
      <c r="Y1382" s="94"/>
      <c r="Z1382" s="94"/>
      <c r="AA1382" s="94">
        <f>STOCK[[#This Row],[Costo total]]*STOCK[[#This Row],[Entradas]]</f>
        <v>45.72</v>
      </c>
      <c r="AB1382" s="94">
        <f>STOCK[[#This Row],[Stock Actual]]*STOCK[[#This Row],[Costo total]]</f>
        <v>0</v>
      </c>
      <c r="AC1382" s="94"/>
    </row>
    <row r="1383" s="76" customFormat="1" ht="50" customHeight="1" spans="1:29">
      <c r="A1383" s="76" t="s">
        <v>2824</v>
      </c>
      <c r="B1383" s="95"/>
      <c r="C1383" s="94" t="s">
        <v>30</v>
      </c>
      <c r="D1383" s="94" t="s">
        <v>2109</v>
      </c>
      <c r="E1383" s="94" t="s">
        <v>2825</v>
      </c>
      <c r="F1383" s="94" t="s">
        <v>2819</v>
      </c>
      <c r="G1383" s="94"/>
      <c r="H1383" s="94">
        <f>STOCK[[#This Row],[Precio Final]]</f>
        <v>25</v>
      </c>
      <c r="I1383" s="98">
        <f>STOCK[[#This Row],[Precio Venta Ideal (x1.5)]]</f>
        <v>23.715</v>
      </c>
      <c r="J1383" s="96">
        <v>3</v>
      </c>
      <c r="K1383" s="96">
        <f>SUMIFS(VENTAS[Cantidad],VENTAS[Código del producto Vendido],STOCK[[#This Row],[Code]])</f>
        <v>3</v>
      </c>
      <c r="L1383" s="96">
        <f>STOCK[[#This Row],[Entradas]]-STOCK[[#This Row],[Salidas]]</f>
        <v>0</v>
      </c>
      <c r="M1383" s="94">
        <f>STOCK[[#This Row],[Precio Final]]*10%</f>
        <v>2.5</v>
      </c>
      <c r="N1383" s="94">
        <v>0</v>
      </c>
      <c r="O1383" s="94">
        <v>0</v>
      </c>
      <c r="P1383" s="94">
        <v>11.66</v>
      </c>
      <c r="Q1383" s="96">
        <v>0</v>
      </c>
      <c r="R1383" s="94">
        <v>0</v>
      </c>
      <c r="S1383" s="94">
        <v>1.65</v>
      </c>
      <c r="T1383" s="94">
        <f>STOCK[[#This Row],[Costo Unitario (USD)]]+STOCK[[#This Row],[Costo Envío (USD)]]+STOCK[[#This Row],[Comisión 10%]]</f>
        <v>15.81</v>
      </c>
      <c r="U1383" s="76">
        <f>STOCK[[#This Row],[Costo total]]*1.5</f>
        <v>23.715</v>
      </c>
      <c r="V1383" s="94">
        <v>25</v>
      </c>
      <c r="W1383" s="94">
        <f>STOCK[[#This Row],[Precio Final]]-STOCK[[#This Row],[Costo total]]</f>
        <v>9.19</v>
      </c>
      <c r="X1383" s="94">
        <f>STOCK[[#This Row],[Ganancia Unitaria]]*STOCK[[#This Row],[Salidas]]</f>
        <v>27.57</v>
      </c>
      <c r="Y1383" s="94"/>
      <c r="Z1383" s="94"/>
      <c r="AA1383" s="94">
        <f>STOCK[[#This Row],[Costo total]]*STOCK[[#This Row],[Entradas]]</f>
        <v>47.43</v>
      </c>
      <c r="AB1383" s="94">
        <f>STOCK[[#This Row],[Stock Actual]]*STOCK[[#This Row],[Costo total]]</f>
        <v>0</v>
      </c>
      <c r="AC1383" s="94"/>
    </row>
    <row r="1384" s="76" customFormat="1" ht="50" customHeight="1" spans="1:29">
      <c r="A1384" s="76" t="s">
        <v>2826</v>
      </c>
      <c r="B1384" s="95"/>
      <c r="C1384" s="94" t="s">
        <v>30</v>
      </c>
      <c r="D1384" s="94" t="s">
        <v>2109</v>
      </c>
      <c r="E1384" s="94" t="s">
        <v>2827</v>
      </c>
      <c r="F1384" s="94" t="s">
        <v>2819</v>
      </c>
      <c r="G1384" s="94"/>
      <c r="H1384" s="94">
        <f>STOCK[[#This Row],[Precio Final]]</f>
        <v>25</v>
      </c>
      <c r="I1384" s="98">
        <f>STOCK[[#This Row],[Precio Venta Ideal (x1.5)]]</f>
        <v>23.295</v>
      </c>
      <c r="J1384" s="96">
        <v>3</v>
      </c>
      <c r="K1384" s="96">
        <f>SUMIFS(VENTAS[Cantidad],VENTAS[Código del producto Vendido],STOCK[[#This Row],[Code]])</f>
        <v>3</v>
      </c>
      <c r="L1384" s="96">
        <f>STOCK[[#This Row],[Entradas]]-STOCK[[#This Row],[Salidas]]</f>
        <v>0</v>
      </c>
      <c r="M1384" s="94">
        <f>STOCK[[#This Row],[Precio Final]]*10%</f>
        <v>2.5</v>
      </c>
      <c r="N1384" s="94">
        <v>0</v>
      </c>
      <c r="O1384" s="94">
        <v>0</v>
      </c>
      <c r="P1384" s="94">
        <v>11.38</v>
      </c>
      <c r="Q1384" s="96">
        <v>0</v>
      </c>
      <c r="R1384" s="94">
        <v>0</v>
      </c>
      <c r="S1384" s="94">
        <v>1.65</v>
      </c>
      <c r="T1384" s="94">
        <f>STOCK[[#This Row],[Costo Unitario (USD)]]+STOCK[[#This Row],[Costo Envío (USD)]]+STOCK[[#This Row],[Comisión 10%]]</f>
        <v>15.53</v>
      </c>
      <c r="U1384" s="76">
        <f>STOCK[[#This Row],[Costo total]]*1.5</f>
        <v>23.295</v>
      </c>
      <c r="V1384" s="94">
        <v>25</v>
      </c>
      <c r="W1384" s="94">
        <f>STOCK[[#This Row],[Precio Final]]-STOCK[[#This Row],[Costo total]]</f>
        <v>9.47</v>
      </c>
      <c r="X1384" s="94">
        <f>STOCK[[#This Row],[Ganancia Unitaria]]*STOCK[[#This Row],[Salidas]]</f>
        <v>28.41</v>
      </c>
      <c r="Y1384" s="94"/>
      <c r="Z1384" s="94"/>
      <c r="AA1384" s="94">
        <f>STOCK[[#This Row],[Costo total]]*STOCK[[#This Row],[Entradas]]</f>
        <v>46.59</v>
      </c>
      <c r="AB1384" s="94">
        <f>STOCK[[#This Row],[Stock Actual]]*STOCK[[#This Row],[Costo total]]</f>
        <v>0</v>
      </c>
      <c r="AC1384" s="94"/>
    </row>
    <row r="1385" s="76" customFormat="1" ht="50" customHeight="1" spans="1:29">
      <c r="A1385" s="76" t="s">
        <v>2828</v>
      </c>
      <c r="B1385" s="95"/>
      <c r="C1385" s="94" t="s">
        <v>30</v>
      </c>
      <c r="D1385" s="94" t="s">
        <v>2125</v>
      </c>
      <c r="E1385" s="94" t="s">
        <v>2829</v>
      </c>
      <c r="F1385" s="94" t="s">
        <v>60</v>
      </c>
      <c r="G1385" s="94"/>
      <c r="H1385" s="94">
        <f>STOCK[[#This Row],[Precio Final]]</f>
        <v>25</v>
      </c>
      <c r="I1385" s="98">
        <f>STOCK[[#This Row],[Precio Venta Ideal (x1.5)]]</f>
        <v>21.66</v>
      </c>
      <c r="J1385" s="96">
        <v>4</v>
      </c>
      <c r="K1385" s="96">
        <f>SUMIFS(VENTAS[Cantidad],VENTAS[Código del producto Vendido],STOCK[[#This Row],[Code]])</f>
        <v>1</v>
      </c>
      <c r="L1385" s="96">
        <f>STOCK[[#This Row],[Entradas]]-STOCK[[#This Row],[Salidas]]</f>
        <v>3</v>
      </c>
      <c r="M1385" s="94">
        <f>STOCK[[#This Row],[Precio Final]]*10%</f>
        <v>2.5</v>
      </c>
      <c r="N1385" s="94">
        <v>0</v>
      </c>
      <c r="O1385" s="94">
        <v>0</v>
      </c>
      <c r="P1385" s="94">
        <v>10.29</v>
      </c>
      <c r="Q1385" s="96">
        <v>0</v>
      </c>
      <c r="R1385" s="94">
        <v>0</v>
      </c>
      <c r="S1385" s="94">
        <v>1.65</v>
      </c>
      <c r="T1385" s="94">
        <f>STOCK[[#This Row],[Costo Unitario (USD)]]+STOCK[[#This Row],[Costo Envío (USD)]]+STOCK[[#This Row],[Comisión 10%]]</f>
        <v>14.44</v>
      </c>
      <c r="U1385" s="76">
        <f>STOCK[[#This Row],[Costo total]]*1.5</f>
        <v>21.66</v>
      </c>
      <c r="V1385" s="94">
        <v>25</v>
      </c>
      <c r="W1385" s="94">
        <f>STOCK[[#This Row],[Precio Final]]-STOCK[[#This Row],[Costo total]]</f>
        <v>10.56</v>
      </c>
      <c r="X1385" s="94">
        <f>STOCK[[#This Row],[Ganancia Unitaria]]*STOCK[[#This Row],[Salidas]]</f>
        <v>10.56</v>
      </c>
      <c r="Y1385" s="94"/>
      <c r="Z1385" s="94"/>
      <c r="AA1385" s="94">
        <f>STOCK[[#This Row],[Costo total]]*STOCK[[#This Row],[Entradas]]</f>
        <v>57.76</v>
      </c>
      <c r="AB1385" s="94">
        <f>STOCK[[#This Row],[Stock Actual]]*STOCK[[#This Row],[Costo total]]</f>
        <v>43.32</v>
      </c>
      <c r="AC1385" s="94"/>
    </row>
    <row r="1386" s="76" customFormat="1" ht="50" customHeight="1" spans="1:29">
      <c r="A1386" s="76" t="s">
        <v>2830</v>
      </c>
      <c r="B1386" s="95"/>
      <c r="C1386" s="94" t="s">
        <v>30</v>
      </c>
      <c r="D1386" s="94" t="s">
        <v>2831</v>
      </c>
      <c r="E1386" s="94" t="s">
        <v>2832</v>
      </c>
      <c r="F1386" s="94" t="s">
        <v>38</v>
      </c>
      <c r="G1386" s="94"/>
      <c r="H1386" s="94">
        <f>STOCK[[#This Row],[Precio Final]]</f>
        <v>30</v>
      </c>
      <c r="I1386" s="98">
        <f>STOCK[[#This Row],[Precio Venta Ideal (x1.5)]]</f>
        <v>24.75</v>
      </c>
      <c r="J1386" s="96">
        <v>2</v>
      </c>
      <c r="K1386" s="96">
        <f>SUMIFS(VENTAS[Cantidad],VENTAS[Código del producto Vendido],STOCK[[#This Row],[Code]])</f>
        <v>2</v>
      </c>
      <c r="L1386" s="96">
        <f>STOCK[[#This Row],[Entradas]]-STOCK[[#This Row],[Salidas]]</f>
        <v>0</v>
      </c>
      <c r="M1386" s="94">
        <f>STOCK[[#This Row],[Precio Final]]*10%</f>
        <v>3</v>
      </c>
      <c r="N1386" s="94">
        <v>0</v>
      </c>
      <c r="O1386" s="94">
        <v>0</v>
      </c>
      <c r="P1386" s="94">
        <v>11.85</v>
      </c>
      <c r="Q1386" s="96">
        <v>0</v>
      </c>
      <c r="R1386" s="94">
        <v>0</v>
      </c>
      <c r="S1386" s="94">
        <v>1.65</v>
      </c>
      <c r="T1386" s="94">
        <f>STOCK[[#This Row],[Costo Unitario (USD)]]+STOCK[[#This Row],[Costo Envío (USD)]]+STOCK[[#This Row],[Comisión 10%]]</f>
        <v>16.5</v>
      </c>
      <c r="U1386" s="76">
        <f>STOCK[[#This Row],[Costo total]]*1.5</f>
        <v>24.75</v>
      </c>
      <c r="V1386" s="94">
        <v>30</v>
      </c>
      <c r="W1386" s="94">
        <f>STOCK[[#This Row],[Precio Final]]-STOCK[[#This Row],[Costo total]]</f>
        <v>13.5</v>
      </c>
      <c r="X1386" s="94">
        <f>STOCK[[#This Row],[Ganancia Unitaria]]*STOCK[[#This Row],[Salidas]]</f>
        <v>27</v>
      </c>
      <c r="Y1386" s="94"/>
      <c r="Z1386" s="94"/>
      <c r="AA1386" s="94">
        <f>STOCK[[#This Row],[Costo total]]*STOCK[[#This Row],[Entradas]]</f>
        <v>33</v>
      </c>
      <c r="AB1386" s="94">
        <f>STOCK[[#This Row],[Stock Actual]]*STOCK[[#This Row],[Costo total]]</f>
        <v>0</v>
      </c>
      <c r="AC1386" s="94"/>
    </row>
    <row r="1387" s="76" customFormat="1" ht="50" customHeight="1" spans="1:29">
      <c r="A1387" s="76" t="s">
        <v>2833</v>
      </c>
      <c r="B1387" s="95"/>
      <c r="C1387" s="94" t="s">
        <v>30</v>
      </c>
      <c r="D1387" s="94" t="s">
        <v>2831</v>
      </c>
      <c r="E1387" s="94" t="s">
        <v>2832</v>
      </c>
      <c r="F1387" s="94" t="s">
        <v>60</v>
      </c>
      <c r="G1387" s="94"/>
      <c r="H1387" s="94">
        <f>STOCK[[#This Row],[Precio Final]]</f>
        <v>30</v>
      </c>
      <c r="I1387" s="98">
        <f>STOCK[[#This Row],[Precio Venta Ideal (x1.5)]]</f>
        <v>24.75</v>
      </c>
      <c r="J1387" s="96">
        <v>2</v>
      </c>
      <c r="K1387" s="96">
        <f>SUMIFS(VENTAS[Cantidad],VENTAS[Código del producto Vendido],STOCK[[#This Row],[Code]])</f>
        <v>2</v>
      </c>
      <c r="L1387" s="96">
        <f>STOCK[[#This Row],[Entradas]]-STOCK[[#This Row],[Salidas]]</f>
        <v>0</v>
      </c>
      <c r="M1387" s="94">
        <f>STOCK[[#This Row],[Precio Final]]*10%</f>
        <v>3</v>
      </c>
      <c r="N1387" s="94">
        <v>0</v>
      </c>
      <c r="O1387" s="94">
        <v>0</v>
      </c>
      <c r="P1387" s="94">
        <v>11.85</v>
      </c>
      <c r="Q1387" s="96">
        <v>0</v>
      </c>
      <c r="R1387" s="94">
        <v>0</v>
      </c>
      <c r="S1387" s="94">
        <v>1.65</v>
      </c>
      <c r="T1387" s="94">
        <f>STOCK[[#This Row],[Costo Unitario (USD)]]+STOCK[[#This Row],[Costo Envío (USD)]]+STOCK[[#This Row],[Comisión 10%]]</f>
        <v>16.5</v>
      </c>
      <c r="U1387" s="76">
        <f>STOCK[[#This Row],[Costo total]]*1.5</f>
        <v>24.75</v>
      </c>
      <c r="V1387" s="94">
        <v>30</v>
      </c>
      <c r="W1387" s="94">
        <f>STOCK[[#This Row],[Precio Final]]-STOCK[[#This Row],[Costo total]]</f>
        <v>13.5</v>
      </c>
      <c r="X1387" s="94">
        <f>STOCK[[#This Row],[Ganancia Unitaria]]*STOCK[[#This Row],[Salidas]]</f>
        <v>27</v>
      </c>
      <c r="Y1387" s="94"/>
      <c r="Z1387" s="94"/>
      <c r="AA1387" s="94">
        <f>STOCK[[#This Row],[Costo total]]*STOCK[[#This Row],[Entradas]]</f>
        <v>33</v>
      </c>
      <c r="AB1387" s="94">
        <f>STOCK[[#This Row],[Stock Actual]]*STOCK[[#This Row],[Costo total]]</f>
        <v>0</v>
      </c>
      <c r="AC1387" s="94"/>
    </row>
    <row r="1388" s="76" customFormat="1" ht="50" customHeight="1" spans="1:29">
      <c r="A1388" s="76" t="s">
        <v>2834</v>
      </c>
      <c r="B1388" s="95"/>
      <c r="C1388" s="94" t="s">
        <v>30</v>
      </c>
      <c r="D1388" s="94" t="s">
        <v>2831</v>
      </c>
      <c r="E1388" s="94" t="s">
        <v>2832</v>
      </c>
      <c r="F1388" s="94" t="s">
        <v>47</v>
      </c>
      <c r="G1388" s="94"/>
      <c r="H1388" s="94">
        <f>STOCK[[#This Row],[Precio Final]]</f>
        <v>30</v>
      </c>
      <c r="I1388" s="98">
        <f>STOCK[[#This Row],[Precio Venta Ideal (x1.5)]]</f>
        <v>24.75</v>
      </c>
      <c r="J1388" s="96">
        <v>2</v>
      </c>
      <c r="K1388" s="96">
        <f>SUMIFS(VENTAS[Cantidad],VENTAS[Código del producto Vendido],STOCK[[#This Row],[Code]])</f>
        <v>1</v>
      </c>
      <c r="L1388" s="96">
        <f>STOCK[[#This Row],[Entradas]]-STOCK[[#This Row],[Salidas]]</f>
        <v>1</v>
      </c>
      <c r="M1388" s="94">
        <f>STOCK[[#This Row],[Precio Final]]*10%</f>
        <v>3</v>
      </c>
      <c r="N1388" s="94">
        <v>0</v>
      </c>
      <c r="O1388" s="94">
        <v>0</v>
      </c>
      <c r="P1388" s="94">
        <v>11.85</v>
      </c>
      <c r="Q1388" s="96">
        <v>0</v>
      </c>
      <c r="R1388" s="94">
        <v>0</v>
      </c>
      <c r="S1388" s="94">
        <v>1.65</v>
      </c>
      <c r="T1388" s="94">
        <f>STOCK[[#This Row],[Costo Unitario (USD)]]+STOCK[[#This Row],[Costo Envío (USD)]]+STOCK[[#This Row],[Comisión 10%]]</f>
        <v>16.5</v>
      </c>
      <c r="U1388" s="76">
        <f>STOCK[[#This Row],[Costo total]]*1.5</f>
        <v>24.75</v>
      </c>
      <c r="V1388" s="94">
        <v>30</v>
      </c>
      <c r="W1388" s="94">
        <f>STOCK[[#This Row],[Precio Final]]-STOCK[[#This Row],[Costo total]]</f>
        <v>13.5</v>
      </c>
      <c r="X1388" s="94">
        <f>STOCK[[#This Row],[Ganancia Unitaria]]*STOCK[[#This Row],[Salidas]]</f>
        <v>13.5</v>
      </c>
      <c r="Y1388" s="94"/>
      <c r="Z1388" s="94"/>
      <c r="AA1388" s="94">
        <f>STOCK[[#This Row],[Costo total]]*STOCK[[#This Row],[Entradas]]</f>
        <v>33</v>
      </c>
      <c r="AB1388" s="94">
        <f>STOCK[[#This Row],[Stock Actual]]*STOCK[[#This Row],[Costo total]]</f>
        <v>16.5</v>
      </c>
      <c r="AC1388" s="94"/>
    </row>
    <row r="1389" s="76" customFormat="1" ht="50" customHeight="1" spans="1:29">
      <c r="A1389" s="76" t="s">
        <v>2835</v>
      </c>
      <c r="B1389" s="95"/>
      <c r="C1389" s="94" t="s">
        <v>30</v>
      </c>
      <c r="D1389" s="94" t="s">
        <v>2831</v>
      </c>
      <c r="E1389" s="94" t="s">
        <v>2832</v>
      </c>
      <c r="F1389" s="94" t="s">
        <v>44</v>
      </c>
      <c r="G1389" s="94"/>
      <c r="H1389" s="94">
        <f>STOCK[[#This Row],[Precio Final]]</f>
        <v>30</v>
      </c>
      <c r="I1389" s="98">
        <f>STOCK[[#This Row],[Precio Venta Ideal (x1.5)]]</f>
        <v>24.75</v>
      </c>
      <c r="J1389" s="96">
        <v>2</v>
      </c>
      <c r="K1389" s="96">
        <f>SUMIFS(VENTAS[Cantidad],VENTAS[Código del producto Vendido],STOCK[[#This Row],[Code]])</f>
        <v>2</v>
      </c>
      <c r="L1389" s="96">
        <f>STOCK[[#This Row],[Entradas]]-STOCK[[#This Row],[Salidas]]</f>
        <v>0</v>
      </c>
      <c r="M1389" s="94">
        <f>STOCK[[#This Row],[Precio Final]]*10%</f>
        <v>3</v>
      </c>
      <c r="N1389" s="94">
        <v>0</v>
      </c>
      <c r="O1389" s="94">
        <v>0</v>
      </c>
      <c r="P1389" s="94">
        <v>11.85</v>
      </c>
      <c r="Q1389" s="96">
        <v>0</v>
      </c>
      <c r="R1389" s="94">
        <v>0</v>
      </c>
      <c r="S1389" s="94">
        <v>1.65</v>
      </c>
      <c r="T1389" s="94">
        <f>STOCK[[#This Row],[Costo Unitario (USD)]]+STOCK[[#This Row],[Costo Envío (USD)]]+STOCK[[#This Row],[Comisión 10%]]</f>
        <v>16.5</v>
      </c>
      <c r="U1389" s="76">
        <f>STOCK[[#This Row],[Costo total]]*1.5</f>
        <v>24.75</v>
      </c>
      <c r="V1389" s="94">
        <v>30</v>
      </c>
      <c r="W1389" s="94">
        <f>STOCK[[#This Row],[Precio Final]]-STOCK[[#This Row],[Costo total]]</f>
        <v>13.5</v>
      </c>
      <c r="X1389" s="94">
        <f>STOCK[[#This Row],[Ganancia Unitaria]]*STOCK[[#This Row],[Salidas]]</f>
        <v>27</v>
      </c>
      <c r="Y1389" s="94"/>
      <c r="Z1389" s="94"/>
      <c r="AA1389" s="94">
        <f>STOCK[[#This Row],[Costo total]]*STOCK[[#This Row],[Entradas]]</f>
        <v>33</v>
      </c>
      <c r="AB1389" s="94">
        <f>STOCK[[#This Row],[Stock Actual]]*STOCK[[#This Row],[Costo total]]</f>
        <v>0</v>
      </c>
      <c r="AC1389" s="94"/>
    </row>
    <row r="1390" s="76" customFormat="1" ht="50" customHeight="1" spans="1:29">
      <c r="A1390" s="76" t="s">
        <v>2836</v>
      </c>
      <c r="B1390" s="95"/>
      <c r="C1390" s="94" t="s">
        <v>30</v>
      </c>
      <c r="D1390" s="94" t="s">
        <v>1188</v>
      </c>
      <c r="E1390" s="94" t="s">
        <v>2837</v>
      </c>
      <c r="F1390" s="94" t="s">
        <v>38</v>
      </c>
      <c r="G1390" s="94"/>
      <c r="H1390" s="94">
        <f>STOCK[[#This Row],[Precio Final]]</f>
        <v>18</v>
      </c>
      <c r="I1390" s="98">
        <f>STOCK[[#This Row],[Precio Venta Ideal (x1.5)]]</f>
        <v>12.9</v>
      </c>
      <c r="J1390" s="96">
        <v>3</v>
      </c>
      <c r="K1390" s="96">
        <f>SUMIFS(VENTAS[Cantidad],VENTAS[Código del producto Vendido],STOCK[[#This Row],[Code]])</f>
        <v>0</v>
      </c>
      <c r="L1390" s="96">
        <f>STOCK[[#This Row],[Entradas]]-STOCK[[#This Row],[Salidas]]</f>
        <v>3</v>
      </c>
      <c r="M1390" s="94">
        <f>STOCK[[#This Row],[Precio Final]]*10%</f>
        <v>1.8</v>
      </c>
      <c r="N1390" s="94">
        <v>0</v>
      </c>
      <c r="O1390" s="94">
        <v>0</v>
      </c>
      <c r="P1390" s="94">
        <v>5.15</v>
      </c>
      <c r="Q1390" s="96">
        <v>0</v>
      </c>
      <c r="R1390" s="94">
        <v>0</v>
      </c>
      <c r="S1390" s="94">
        <v>1.65</v>
      </c>
      <c r="T1390" s="94">
        <f>STOCK[[#This Row],[Costo Unitario (USD)]]+STOCK[[#This Row],[Costo Envío (USD)]]+STOCK[[#This Row],[Comisión 10%]]</f>
        <v>8.6</v>
      </c>
      <c r="U1390" s="76">
        <f>STOCK[[#This Row],[Costo total]]*1.5</f>
        <v>12.9</v>
      </c>
      <c r="V1390" s="94">
        <v>18</v>
      </c>
      <c r="W1390" s="94">
        <f>STOCK[[#This Row],[Precio Final]]-STOCK[[#This Row],[Costo total]]</f>
        <v>9.4</v>
      </c>
      <c r="X1390" s="94">
        <f>STOCK[[#This Row],[Ganancia Unitaria]]*STOCK[[#This Row],[Salidas]]</f>
        <v>0</v>
      </c>
      <c r="Y1390" s="94"/>
      <c r="Z1390" s="94"/>
      <c r="AA1390" s="94">
        <f>STOCK[[#This Row],[Costo total]]*STOCK[[#This Row],[Entradas]]</f>
        <v>25.8</v>
      </c>
      <c r="AB1390" s="94">
        <f>STOCK[[#This Row],[Stock Actual]]*STOCK[[#This Row],[Costo total]]</f>
        <v>25.8</v>
      </c>
      <c r="AC1390" s="94"/>
    </row>
    <row r="1391" s="76" customFormat="1" ht="50" customHeight="1" spans="1:29">
      <c r="A1391" s="76" t="s">
        <v>2838</v>
      </c>
      <c r="B1391" s="95"/>
      <c r="C1391" s="94" t="s">
        <v>30</v>
      </c>
      <c r="D1391" s="94" t="s">
        <v>1188</v>
      </c>
      <c r="E1391" s="94" t="s">
        <v>2837</v>
      </c>
      <c r="F1391" s="94" t="s">
        <v>44</v>
      </c>
      <c r="G1391" s="94"/>
      <c r="H1391" s="94">
        <f>STOCK[[#This Row],[Precio Final]]</f>
        <v>18</v>
      </c>
      <c r="I1391" s="98">
        <f>STOCK[[#This Row],[Precio Venta Ideal (x1.5)]]</f>
        <v>12.9</v>
      </c>
      <c r="J1391" s="96">
        <v>3</v>
      </c>
      <c r="K1391" s="96">
        <f>SUMIFS(VENTAS[Cantidad],VENTAS[Código del producto Vendido],STOCK[[#This Row],[Code]])</f>
        <v>0</v>
      </c>
      <c r="L1391" s="96">
        <f>STOCK[[#This Row],[Entradas]]-STOCK[[#This Row],[Salidas]]</f>
        <v>3</v>
      </c>
      <c r="M1391" s="94">
        <f>STOCK[[#This Row],[Precio Final]]*10%</f>
        <v>1.8</v>
      </c>
      <c r="N1391" s="94">
        <v>0</v>
      </c>
      <c r="O1391" s="94">
        <v>0</v>
      </c>
      <c r="P1391" s="94">
        <v>5.15</v>
      </c>
      <c r="Q1391" s="96">
        <v>0</v>
      </c>
      <c r="R1391" s="94">
        <v>0</v>
      </c>
      <c r="S1391" s="94">
        <v>1.65</v>
      </c>
      <c r="T1391" s="94">
        <f>STOCK[[#This Row],[Costo Unitario (USD)]]+STOCK[[#This Row],[Costo Envío (USD)]]+STOCK[[#This Row],[Comisión 10%]]</f>
        <v>8.6</v>
      </c>
      <c r="U1391" s="76">
        <f>STOCK[[#This Row],[Costo total]]*1.5</f>
        <v>12.9</v>
      </c>
      <c r="V1391" s="94">
        <v>18</v>
      </c>
      <c r="W1391" s="94">
        <f>STOCK[[#This Row],[Precio Final]]-STOCK[[#This Row],[Costo total]]</f>
        <v>9.4</v>
      </c>
      <c r="X1391" s="94">
        <f>STOCK[[#This Row],[Ganancia Unitaria]]*STOCK[[#This Row],[Salidas]]</f>
        <v>0</v>
      </c>
      <c r="Y1391" s="94"/>
      <c r="Z1391" s="94"/>
      <c r="AA1391" s="94">
        <f>STOCK[[#This Row],[Costo total]]*STOCK[[#This Row],[Entradas]]</f>
        <v>25.8</v>
      </c>
      <c r="AB1391" s="94">
        <f>STOCK[[#This Row],[Stock Actual]]*STOCK[[#This Row],[Costo total]]</f>
        <v>25.8</v>
      </c>
      <c r="AC1391" s="94"/>
    </row>
    <row r="1392" s="76" customFormat="1" ht="50" customHeight="1" spans="1:29">
      <c r="A1392" s="76" t="s">
        <v>2839</v>
      </c>
      <c r="B1392" s="95"/>
      <c r="C1392" s="94" t="s">
        <v>30</v>
      </c>
      <c r="D1392" s="94" t="s">
        <v>2109</v>
      </c>
      <c r="E1392" s="94" t="s">
        <v>2840</v>
      </c>
      <c r="F1392" s="94" t="s">
        <v>2814</v>
      </c>
      <c r="G1392" s="94"/>
      <c r="H1392" s="94">
        <f>STOCK[[#This Row],[Precio Final]]</f>
        <v>30</v>
      </c>
      <c r="I1392" s="98">
        <f>STOCK[[#This Row],[Precio Venta Ideal (x1.5)]]</f>
        <v>27.885</v>
      </c>
      <c r="J1392" s="96">
        <v>2</v>
      </c>
      <c r="K1392" s="96">
        <f>SUMIFS(VENTAS[Cantidad],VENTAS[Código del producto Vendido],STOCK[[#This Row],[Code]])</f>
        <v>1</v>
      </c>
      <c r="L1392" s="96">
        <f>STOCK[[#This Row],[Entradas]]-STOCK[[#This Row],[Salidas]]</f>
        <v>1</v>
      </c>
      <c r="M1392" s="94">
        <f>STOCK[[#This Row],[Precio Final]]*10%</f>
        <v>3</v>
      </c>
      <c r="N1392" s="94">
        <v>0</v>
      </c>
      <c r="O1392" s="94">
        <v>0</v>
      </c>
      <c r="P1392" s="94">
        <v>13.94</v>
      </c>
      <c r="Q1392" s="96">
        <v>0</v>
      </c>
      <c r="R1392" s="94">
        <v>0</v>
      </c>
      <c r="S1392" s="94">
        <v>1.65</v>
      </c>
      <c r="T1392" s="94">
        <f>STOCK[[#This Row],[Costo Unitario (USD)]]+STOCK[[#This Row],[Costo Envío (USD)]]+STOCK[[#This Row],[Comisión 10%]]</f>
        <v>18.59</v>
      </c>
      <c r="U1392" s="76">
        <f>STOCK[[#This Row],[Costo total]]*1.5</f>
        <v>27.885</v>
      </c>
      <c r="V1392" s="94">
        <v>30</v>
      </c>
      <c r="W1392" s="94">
        <f>STOCK[[#This Row],[Precio Final]]-STOCK[[#This Row],[Costo total]]</f>
        <v>11.41</v>
      </c>
      <c r="X1392" s="94">
        <f>STOCK[[#This Row],[Ganancia Unitaria]]*STOCK[[#This Row],[Salidas]]</f>
        <v>11.41</v>
      </c>
      <c r="Y1392" s="94"/>
      <c r="Z1392" s="94"/>
      <c r="AA1392" s="94">
        <f>STOCK[[#This Row],[Costo total]]*STOCK[[#This Row],[Entradas]]</f>
        <v>37.18</v>
      </c>
      <c r="AB1392" s="94">
        <f>STOCK[[#This Row],[Stock Actual]]*STOCK[[#This Row],[Costo total]]</f>
        <v>18.59</v>
      </c>
      <c r="AC1392" s="94"/>
    </row>
    <row r="1393" s="76" customFormat="1" ht="50" customHeight="1" spans="1:29">
      <c r="A1393" s="76" t="s">
        <v>2841</v>
      </c>
      <c r="B1393" s="95"/>
      <c r="C1393" s="94" t="s">
        <v>30</v>
      </c>
      <c r="D1393" s="94" t="s">
        <v>2842</v>
      </c>
      <c r="E1393" s="94" t="s">
        <v>2843</v>
      </c>
      <c r="F1393" s="94" t="s">
        <v>38</v>
      </c>
      <c r="G1393" s="94"/>
      <c r="H1393" s="94">
        <f>STOCK[[#This Row],[Precio Final]]</f>
        <v>22</v>
      </c>
      <c r="I1393" s="98">
        <f>STOCK[[#This Row],[Precio Venta Ideal (x1.5)]]</f>
        <v>19.08</v>
      </c>
      <c r="J1393" s="96">
        <v>2</v>
      </c>
      <c r="K1393" s="96">
        <f>SUMIFS(VENTAS[Cantidad],VENTAS[Código del producto Vendido],STOCK[[#This Row],[Code]])</f>
        <v>1</v>
      </c>
      <c r="L1393" s="96">
        <f>STOCK[[#This Row],[Entradas]]-STOCK[[#This Row],[Salidas]]</f>
        <v>1</v>
      </c>
      <c r="M1393" s="94">
        <f>STOCK[[#This Row],[Precio Final]]*10%</f>
        <v>2.2</v>
      </c>
      <c r="N1393" s="94">
        <v>0</v>
      </c>
      <c r="O1393" s="94">
        <v>0</v>
      </c>
      <c r="P1393" s="94">
        <v>8.87</v>
      </c>
      <c r="Q1393" s="96">
        <v>0</v>
      </c>
      <c r="R1393" s="94">
        <v>0</v>
      </c>
      <c r="S1393" s="94">
        <v>1.65</v>
      </c>
      <c r="T1393" s="94">
        <f>STOCK[[#This Row],[Costo Unitario (USD)]]+STOCK[[#This Row],[Costo Envío (USD)]]+STOCK[[#This Row],[Comisión 10%]]</f>
        <v>12.72</v>
      </c>
      <c r="U1393" s="76">
        <f>STOCK[[#This Row],[Costo total]]*1.5</f>
        <v>19.08</v>
      </c>
      <c r="V1393" s="94">
        <v>22</v>
      </c>
      <c r="W1393" s="94">
        <f>STOCK[[#This Row],[Precio Final]]-STOCK[[#This Row],[Costo total]]</f>
        <v>9.28</v>
      </c>
      <c r="X1393" s="94">
        <f>STOCK[[#This Row],[Ganancia Unitaria]]*STOCK[[#This Row],[Salidas]]</f>
        <v>9.28</v>
      </c>
      <c r="Y1393" s="94"/>
      <c r="Z1393" s="94"/>
      <c r="AA1393" s="94">
        <f>STOCK[[#This Row],[Costo total]]*STOCK[[#This Row],[Entradas]]</f>
        <v>25.44</v>
      </c>
      <c r="AB1393" s="94">
        <f>STOCK[[#This Row],[Stock Actual]]*STOCK[[#This Row],[Costo total]]</f>
        <v>12.72</v>
      </c>
      <c r="AC1393" s="94"/>
    </row>
    <row r="1394" s="76" customFormat="1" ht="50" customHeight="1" spans="1:29">
      <c r="A1394" s="76" t="s">
        <v>2844</v>
      </c>
      <c r="B1394" s="95"/>
      <c r="C1394" s="94" t="s">
        <v>30</v>
      </c>
      <c r="D1394" s="94" t="s">
        <v>2842</v>
      </c>
      <c r="E1394" s="94" t="s">
        <v>2843</v>
      </c>
      <c r="F1394" s="94" t="s">
        <v>1045</v>
      </c>
      <c r="G1394" s="94"/>
      <c r="H1394" s="94">
        <f>STOCK[[#This Row],[Precio Final]]</f>
        <v>22</v>
      </c>
      <c r="I1394" s="98">
        <f>STOCK[[#This Row],[Precio Venta Ideal (x1.5)]]</f>
        <v>19.08</v>
      </c>
      <c r="J1394" s="96">
        <v>2</v>
      </c>
      <c r="K1394" s="96">
        <f>SUMIFS(VENTAS[Cantidad],VENTAS[Código del producto Vendido],STOCK[[#This Row],[Code]])</f>
        <v>0</v>
      </c>
      <c r="L1394" s="96">
        <f>STOCK[[#This Row],[Entradas]]-STOCK[[#This Row],[Salidas]]</f>
        <v>2</v>
      </c>
      <c r="M1394" s="94">
        <f>STOCK[[#This Row],[Precio Final]]*10%</f>
        <v>2.2</v>
      </c>
      <c r="N1394" s="94">
        <v>0</v>
      </c>
      <c r="O1394" s="94">
        <v>0</v>
      </c>
      <c r="P1394" s="94">
        <v>8.87</v>
      </c>
      <c r="Q1394" s="96">
        <v>0</v>
      </c>
      <c r="R1394" s="94">
        <v>0</v>
      </c>
      <c r="S1394" s="94">
        <v>1.65</v>
      </c>
      <c r="T1394" s="94">
        <f>STOCK[[#This Row],[Costo Unitario (USD)]]+STOCK[[#This Row],[Costo Envío (USD)]]+STOCK[[#This Row],[Comisión 10%]]</f>
        <v>12.72</v>
      </c>
      <c r="U1394" s="76">
        <f>STOCK[[#This Row],[Costo total]]*1.5</f>
        <v>19.08</v>
      </c>
      <c r="V1394" s="94">
        <v>22</v>
      </c>
      <c r="W1394" s="94">
        <f>STOCK[[#This Row],[Precio Final]]-STOCK[[#This Row],[Costo total]]</f>
        <v>9.28</v>
      </c>
      <c r="X1394" s="94">
        <f>STOCK[[#This Row],[Ganancia Unitaria]]*STOCK[[#This Row],[Salidas]]</f>
        <v>0</v>
      </c>
      <c r="Y1394" s="94"/>
      <c r="Z1394" s="94"/>
      <c r="AA1394" s="94">
        <f>STOCK[[#This Row],[Costo total]]*STOCK[[#This Row],[Entradas]]</f>
        <v>25.44</v>
      </c>
      <c r="AB1394" s="94">
        <f>STOCK[[#This Row],[Stock Actual]]*STOCK[[#This Row],[Costo total]]</f>
        <v>25.44</v>
      </c>
      <c r="AC1394" s="94"/>
    </row>
    <row r="1395" s="76" customFormat="1" ht="50" customHeight="1" spans="1:29">
      <c r="A1395" s="76" t="s">
        <v>2845</v>
      </c>
      <c r="B1395" s="95"/>
      <c r="C1395" s="94" t="s">
        <v>30</v>
      </c>
      <c r="D1395" s="94" t="s">
        <v>2842</v>
      </c>
      <c r="E1395" s="94" t="s">
        <v>2843</v>
      </c>
      <c r="F1395" s="94" t="s">
        <v>47</v>
      </c>
      <c r="G1395" s="94"/>
      <c r="H1395" s="94">
        <f>STOCK[[#This Row],[Precio Final]]</f>
        <v>22</v>
      </c>
      <c r="I1395" s="98">
        <f>STOCK[[#This Row],[Precio Venta Ideal (x1.5)]]</f>
        <v>19.08</v>
      </c>
      <c r="J1395" s="96">
        <v>3</v>
      </c>
      <c r="K1395" s="96">
        <f>SUMIFS(VENTAS[Cantidad],VENTAS[Código del producto Vendido],STOCK[[#This Row],[Code]])</f>
        <v>1</v>
      </c>
      <c r="L1395" s="96">
        <f>STOCK[[#This Row],[Entradas]]-STOCK[[#This Row],[Salidas]]</f>
        <v>2</v>
      </c>
      <c r="M1395" s="94">
        <f>STOCK[[#This Row],[Precio Final]]*10%</f>
        <v>2.2</v>
      </c>
      <c r="N1395" s="94">
        <v>0</v>
      </c>
      <c r="O1395" s="94">
        <v>0</v>
      </c>
      <c r="P1395" s="94">
        <v>8.87</v>
      </c>
      <c r="Q1395" s="96">
        <v>0</v>
      </c>
      <c r="R1395" s="94">
        <v>0</v>
      </c>
      <c r="S1395" s="94">
        <v>1.65</v>
      </c>
      <c r="T1395" s="94">
        <f>STOCK[[#This Row],[Costo Unitario (USD)]]+STOCK[[#This Row],[Costo Envío (USD)]]+STOCK[[#This Row],[Comisión 10%]]</f>
        <v>12.72</v>
      </c>
      <c r="U1395" s="76">
        <f>STOCK[[#This Row],[Costo total]]*1.5</f>
        <v>19.08</v>
      </c>
      <c r="V1395" s="94">
        <v>22</v>
      </c>
      <c r="W1395" s="94">
        <f>STOCK[[#This Row],[Precio Final]]-STOCK[[#This Row],[Costo total]]</f>
        <v>9.28</v>
      </c>
      <c r="X1395" s="94">
        <f>STOCK[[#This Row],[Ganancia Unitaria]]*STOCK[[#This Row],[Salidas]]</f>
        <v>9.28</v>
      </c>
      <c r="Y1395" s="94"/>
      <c r="Z1395" s="94"/>
      <c r="AA1395" s="94">
        <f>STOCK[[#This Row],[Costo total]]*STOCK[[#This Row],[Entradas]]</f>
        <v>38.16</v>
      </c>
      <c r="AB1395" s="94">
        <f>STOCK[[#This Row],[Stock Actual]]*STOCK[[#This Row],[Costo total]]</f>
        <v>25.44</v>
      </c>
      <c r="AC1395" s="94"/>
    </row>
    <row r="1396" s="76" customFormat="1" ht="50" customHeight="1" spans="1:29">
      <c r="A1396" s="76" t="s">
        <v>2846</v>
      </c>
      <c r="B1396" s="95"/>
      <c r="C1396" s="94" t="s">
        <v>30</v>
      </c>
      <c r="D1396" s="94" t="s">
        <v>2842</v>
      </c>
      <c r="E1396" s="94" t="s">
        <v>2843</v>
      </c>
      <c r="F1396" s="94" t="s">
        <v>44</v>
      </c>
      <c r="G1396" s="94"/>
      <c r="H1396" s="94">
        <f>STOCK[[#This Row],[Precio Final]]</f>
        <v>22</v>
      </c>
      <c r="I1396" s="98">
        <f>STOCK[[#This Row],[Precio Venta Ideal (x1.5)]]</f>
        <v>19.08</v>
      </c>
      <c r="J1396" s="96">
        <v>3</v>
      </c>
      <c r="K1396" s="96">
        <f>SUMIFS(VENTAS[Cantidad],VENTAS[Código del producto Vendido],STOCK[[#This Row],[Code]])</f>
        <v>3</v>
      </c>
      <c r="L1396" s="96">
        <f>STOCK[[#This Row],[Entradas]]-STOCK[[#This Row],[Salidas]]</f>
        <v>0</v>
      </c>
      <c r="M1396" s="94">
        <f>STOCK[[#This Row],[Precio Final]]*10%</f>
        <v>2.2</v>
      </c>
      <c r="N1396" s="94">
        <v>0</v>
      </c>
      <c r="O1396" s="94">
        <v>0</v>
      </c>
      <c r="P1396" s="94">
        <v>8.87</v>
      </c>
      <c r="Q1396" s="96">
        <v>0</v>
      </c>
      <c r="R1396" s="94">
        <v>0</v>
      </c>
      <c r="S1396" s="94">
        <v>1.65</v>
      </c>
      <c r="T1396" s="94">
        <f>STOCK[[#This Row],[Costo Unitario (USD)]]+STOCK[[#This Row],[Costo Envío (USD)]]+STOCK[[#This Row],[Comisión 10%]]</f>
        <v>12.72</v>
      </c>
      <c r="U1396" s="76">
        <f>STOCK[[#This Row],[Costo total]]*1.5</f>
        <v>19.08</v>
      </c>
      <c r="V1396" s="94">
        <v>22</v>
      </c>
      <c r="W1396" s="94">
        <f>STOCK[[#This Row],[Precio Final]]-STOCK[[#This Row],[Costo total]]</f>
        <v>9.28</v>
      </c>
      <c r="X1396" s="94">
        <f>STOCK[[#This Row],[Ganancia Unitaria]]*STOCK[[#This Row],[Salidas]]</f>
        <v>27.84</v>
      </c>
      <c r="Y1396" s="94"/>
      <c r="Z1396" s="94"/>
      <c r="AA1396" s="94">
        <f>STOCK[[#This Row],[Costo total]]*STOCK[[#This Row],[Entradas]]</f>
        <v>38.16</v>
      </c>
      <c r="AB1396" s="94">
        <f>STOCK[[#This Row],[Stock Actual]]*STOCK[[#This Row],[Costo total]]</f>
        <v>0</v>
      </c>
      <c r="AC1396" s="94"/>
    </row>
    <row r="1397" s="76" customFormat="1" ht="50" customHeight="1" spans="1:29">
      <c r="A1397" s="76" t="s">
        <v>2847</v>
      </c>
      <c r="B1397" s="95"/>
      <c r="C1397" s="94" t="s">
        <v>30</v>
      </c>
      <c r="D1397" s="94" t="s">
        <v>1188</v>
      </c>
      <c r="E1397" s="94" t="s">
        <v>2848</v>
      </c>
      <c r="F1397" s="94" t="s">
        <v>38</v>
      </c>
      <c r="G1397" s="94"/>
      <c r="H1397" s="94">
        <f>STOCK[[#This Row],[Precio Final]]</f>
        <v>18</v>
      </c>
      <c r="I1397" s="98">
        <f>STOCK[[#This Row],[Precio Venta Ideal (x1.5)]]</f>
        <v>15.78</v>
      </c>
      <c r="J1397" s="96">
        <v>2</v>
      </c>
      <c r="K1397" s="96">
        <f>SUMIFS(VENTAS[Cantidad],VENTAS[Código del producto Vendido],STOCK[[#This Row],[Code]])</f>
        <v>0</v>
      </c>
      <c r="L1397" s="96">
        <f>STOCK[[#This Row],[Entradas]]-STOCK[[#This Row],[Salidas]]</f>
        <v>2</v>
      </c>
      <c r="M1397" s="94">
        <f>STOCK[[#This Row],[Precio Final]]*10%</f>
        <v>1.8</v>
      </c>
      <c r="N1397" s="94">
        <v>0</v>
      </c>
      <c r="O1397" s="94">
        <v>0</v>
      </c>
      <c r="P1397" s="94">
        <v>7.07</v>
      </c>
      <c r="Q1397" s="96">
        <v>0</v>
      </c>
      <c r="R1397" s="94">
        <v>0</v>
      </c>
      <c r="S1397" s="94">
        <v>1.65</v>
      </c>
      <c r="T1397" s="94">
        <f>STOCK[[#This Row],[Costo Unitario (USD)]]+STOCK[[#This Row],[Costo Envío (USD)]]+STOCK[[#This Row],[Comisión 10%]]</f>
        <v>10.52</v>
      </c>
      <c r="U1397" s="76">
        <f>STOCK[[#This Row],[Costo total]]*1.5</f>
        <v>15.78</v>
      </c>
      <c r="V1397" s="94">
        <v>18</v>
      </c>
      <c r="W1397" s="94">
        <f>STOCK[[#This Row],[Precio Final]]-STOCK[[#This Row],[Costo total]]</f>
        <v>7.48</v>
      </c>
      <c r="X1397" s="94">
        <f>STOCK[[#This Row],[Ganancia Unitaria]]*STOCK[[#This Row],[Salidas]]</f>
        <v>0</v>
      </c>
      <c r="Y1397" s="94"/>
      <c r="Z1397" s="94"/>
      <c r="AA1397" s="94">
        <f>STOCK[[#This Row],[Costo total]]*STOCK[[#This Row],[Entradas]]</f>
        <v>21.04</v>
      </c>
      <c r="AB1397" s="94">
        <f>STOCK[[#This Row],[Stock Actual]]*STOCK[[#This Row],[Costo total]]</f>
        <v>21.04</v>
      </c>
      <c r="AC1397" s="94"/>
    </row>
    <row r="1398" s="76" customFormat="1" ht="50" customHeight="1" spans="1:29">
      <c r="A1398" s="76" t="s">
        <v>2849</v>
      </c>
      <c r="B1398" s="95"/>
      <c r="C1398" s="94" t="s">
        <v>30</v>
      </c>
      <c r="D1398" s="94" t="s">
        <v>1188</v>
      </c>
      <c r="E1398" s="94" t="s">
        <v>2848</v>
      </c>
      <c r="F1398" s="94" t="s">
        <v>60</v>
      </c>
      <c r="G1398" s="94"/>
      <c r="H1398" s="94">
        <f>STOCK[[#This Row],[Precio Final]]</f>
        <v>18</v>
      </c>
      <c r="I1398" s="98">
        <f>STOCK[[#This Row],[Precio Venta Ideal (x1.5)]]</f>
        <v>15.78</v>
      </c>
      <c r="J1398" s="96">
        <v>2</v>
      </c>
      <c r="K1398" s="96">
        <f>SUMIFS(VENTAS[Cantidad],VENTAS[Código del producto Vendido],STOCK[[#This Row],[Code]])</f>
        <v>0</v>
      </c>
      <c r="L1398" s="96">
        <f>STOCK[[#This Row],[Entradas]]-STOCK[[#This Row],[Salidas]]</f>
        <v>2</v>
      </c>
      <c r="M1398" s="94">
        <f>STOCK[[#This Row],[Precio Final]]*10%</f>
        <v>1.8</v>
      </c>
      <c r="N1398" s="94">
        <v>0</v>
      </c>
      <c r="O1398" s="94">
        <v>0</v>
      </c>
      <c r="P1398" s="94">
        <v>7.07</v>
      </c>
      <c r="Q1398" s="96">
        <v>0</v>
      </c>
      <c r="R1398" s="94">
        <v>0</v>
      </c>
      <c r="S1398" s="94">
        <v>1.65</v>
      </c>
      <c r="T1398" s="94">
        <f>STOCK[[#This Row],[Costo Unitario (USD)]]+STOCK[[#This Row],[Costo Envío (USD)]]+STOCK[[#This Row],[Comisión 10%]]</f>
        <v>10.52</v>
      </c>
      <c r="U1398" s="76">
        <f>STOCK[[#This Row],[Costo total]]*1.5</f>
        <v>15.78</v>
      </c>
      <c r="V1398" s="94">
        <v>18</v>
      </c>
      <c r="W1398" s="94">
        <f>STOCK[[#This Row],[Precio Final]]-STOCK[[#This Row],[Costo total]]</f>
        <v>7.48</v>
      </c>
      <c r="X1398" s="94">
        <f>STOCK[[#This Row],[Ganancia Unitaria]]*STOCK[[#This Row],[Salidas]]</f>
        <v>0</v>
      </c>
      <c r="Y1398" s="94"/>
      <c r="Z1398" s="94"/>
      <c r="AA1398" s="94">
        <f>STOCK[[#This Row],[Costo total]]*STOCK[[#This Row],[Entradas]]</f>
        <v>21.04</v>
      </c>
      <c r="AB1398" s="94">
        <f>STOCK[[#This Row],[Stock Actual]]*STOCK[[#This Row],[Costo total]]</f>
        <v>21.04</v>
      </c>
      <c r="AC1398" s="94"/>
    </row>
    <row r="1399" s="76" customFormat="1" ht="50" customHeight="1" spans="1:29">
      <c r="A1399" s="76" t="s">
        <v>2850</v>
      </c>
      <c r="B1399" s="95"/>
      <c r="C1399" s="94" t="s">
        <v>30</v>
      </c>
      <c r="D1399" s="94" t="s">
        <v>1188</v>
      </c>
      <c r="E1399" s="94" t="s">
        <v>2848</v>
      </c>
      <c r="F1399" s="94" t="s">
        <v>47</v>
      </c>
      <c r="G1399" s="94"/>
      <c r="H1399" s="94">
        <f>STOCK[[#This Row],[Precio Final]]</f>
        <v>18</v>
      </c>
      <c r="I1399" s="98">
        <f>STOCK[[#This Row],[Precio Venta Ideal (x1.5)]]</f>
        <v>15.78</v>
      </c>
      <c r="J1399" s="96">
        <v>2</v>
      </c>
      <c r="K1399" s="96">
        <f>SUMIFS(VENTAS[Cantidad],VENTAS[Código del producto Vendido],STOCK[[#This Row],[Code]])</f>
        <v>0</v>
      </c>
      <c r="L1399" s="96">
        <f>STOCK[[#This Row],[Entradas]]-STOCK[[#This Row],[Salidas]]</f>
        <v>2</v>
      </c>
      <c r="M1399" s="94">
        <f>STOCK[[#This Row],[Precio Final]]*10%</f>
        <v>1.8</v>
      </c>
      <c r="N1399" s="94">
        <v>0</v>
      </c>
      <c r="O1399" s="94">
        <v>0</v>
      </c>
      <c r="P1399" s="94">
        <v>7.07</v>
      </c>
      <c r="Q1399" s="96">
        <v>0</v>
      </c>
      <c r="R1399" s="94">
        <v>0</v>
      </c>
      <c r="S1399" s="94">
        <v>1.65</v>
      </c>
      <c r="T1399" s="94">
        <f>STOCK[[#This Row],[Costo Unitario (USD)]]+STOCK[[#This Row],[Costo Envío (USD)]]+STOCK[[#This Row],[Comisión 10%]]</f>
        <v>10.52</v>
      </c>
      <c r="U1399" s="76">
        <f>STOCK[[#This Row],[Costo total]]*1.5</f>
        <v>15.78</v>
      </c>
      <c r="V1399" s="94">
        <v>18</v>
      </c>
      <c r="W1399" s="94">
        <f>STOCK[[#This Row],[Precio Final]]-STOCK[[#This Row],[Costo total]]</f>
        <v>7.48</v>
      </c>
      <c r="X1399" s="94">
        <f>STOCK[[#This Row],[Ganancia Unitaria]]*STOCK[[#This Row],[Salidas]]</f>
        <v>0</v>
      </c>
      <c r="Y1399" s="94"/>
      <c r="Z1399" s="94"/>
      <c r="AA1399" s="94">
        <f>STOCK[[#This Row],[Costo total]]*STOCK[[#This Row],[Entradas]]</f>
        <v>21.04</v>
      </c>
      <c r="AB1399" s="94">
        <f>STOCK[[#This Row],[Stock Actual]]*STOCK[[#This Row],[Costo total]]</f>
        <v>21.04</v>
      </c>
      <c r="AC1399" s="94"/>
    </row>
    <row r="1400" s="76" customFormat="1" ht="50" customHeight="1" spans="1:29">
      <c r="A1400" s="76" t="s">
        <v>2851</v>
      </c>
      <c r="B1400" s="95"/>
      <c r="C1400" s="94" t="s">
        <v>30</v>
      </c>
      <c r="D1400" s="94" t="s">
        <v>1188</v>
      </c>
      <c r="E1400" s="94" t="s">
        <v>2852</v>
      </c>
      <c r="F1400" s="94" t="s">
        <v>38</v>
      </c>
      <c r="G1400" s="94"/>
      <c r="H1400" s="94">
        <f>STOCK[[#This Row],[Precio Final]]</f>
        <v>18</v>
      </c>
      <c r="I1400" s="98">
        <f>STOCK[[#This Row],[Precio Venta Ideal (x1.5)]]</f>
        <v>16.545</v>
      </c>
      <c r="J1400" s="96">
        <v>2</v>
      </c>
      <c r="K1400" s="96">
        <f>SUMIFS(VENTAS[Cantidad],VENTAS[Código del producto Vendido],STOCK[[#This Row],[Code]])</f>
        <v>0</v>
      </c>
      <c r="L1400" s="96">
        <f>STOCK[[#This Row],[Entradas]]-STOCK[[#This Row],[Salidas]]</f>
        <v>2</v>
      </c>
      <c r="M1400" s="94">
        <f>STOCK[[#This Row],[Precio Final]]*10%</f>
        <v>1.8</v>
      </c>
      <c r="N1400" s="94">
        <v>0</v>
      </c>
      <c r="O1400" s="94">
        <v>0</v>
      </c>
      <c r="P1400" s="94">
        <v>7.58</v>
      </c>
      <c r="Q1400" s="96">
        <v>0</v>
      </c>
      <c r="R1400" s="94">
        <v>0</v>
      </c>
      <c r="S1400" s="94">
        <v>1.65</v>
      </c>
      <c r="T1400" s="94">
        <f>STOCK[[#This Row],[Costo Unitario (USD)]]+STOCK[[#This Row],[Costo Envío (USD)]]+STOCK[[#This Row],[Comisión 10%]]</f>
        <v>11.03</v>
      </c>
      <c r="U1400" s="76">
        <f>STOCK[[#This Row],[Costo total]]*1.5</f>
        <v>16.545</v>
      </c>
      <c r="V1400" s="94">
        <v>18</v>
      </c>
      <c r="W1400" s="94">
        <f>STOCK[[#This Row],[Precio Final]]-STOCK[[#This Row],[Costo total]]</f>
        <v>6.97</v>
      </c>
      <c r="X1400" s="94">
        <f>STOCK[[#This Row],[Ganancia Unitaria]]*STOCK[[#This Row],[Salidas]]</f>
        <v>0</v>
      </c>
      <c r="Y1400" s="94"/>
      <c r="Z1400" s="94"/>
      <c r="AA1400" s="94">
        <f>STOCK[[#This Row],[Costo total]]*STOCK[[#This Row],[Entradas]]</f>
        <v>22.06</v>
      </c>
      <c r="AB1400" s="94">
        <f>STOCK[[#This Row],[Stock Actual]]*STOCK[[#This Row],[Costo total]]</f>
        <v>22.06</v>
      </c>
      <c r="AC1400" s="94"/>
    </row>
    <row r="1401" s="76" customFormat="1" ht="50" customHeight="1" spans="1:29">
      <c r="A1401" s="76" t="s">
        <v>2853</v>
      </c>
      <c r="B1401" s="95"/>
      <c r="C1401" s="94" t="s">
        <v>30</v>
      </c>
      <c r="D1401" s="94" t="s">
        <v>1188</v>
      </c>
      <c r="E1401" s="94" t="s">
        <v>2852</v>
      </c>
      <c r="F1401" s="94" t="s">
        <v>44</v>
      </c>
      <c r="G1401" s="94"/>
      <c r="H1401" s="94">
        <f>STOCK[[#This Row],[Precio Final]]</f>
        <v>18</v>
      </c>
      <c r="I1401" s="98">
        <f>STOCK[[#This Row],[Precio Venta Ideal (x1.5)]]</f>
        <v>16.545</v>
      </c>
      <c r="J1401" s="96">
        <v>1</v>
      </c>
      <c r="K1401" s="96">
        <f>SUMIFS(VENTAS[Cantidad],VENTAS[Código del producto Vendido],STOCK[[#This Row],[Code]])</f>
        <v>0</v>
      </c>
      <c r="L1401" s="96">
        <f>STOCK[[#This Row],[Entradas]]-STOCK[[#This Row],[Salidas]]</f>
        <v>1</v>
      </c>
      <c r="M1401" s="94">
        <f>STOCK[[#This Row],[Precio Final]]*10%</f>
        <v>1.8</v>
      </c>
      <c r="N1401" s="94">
        <v>0</v>
      </c>
      <c r="O1401" s="94">
        <v>0</v>
      </c>
      <c r="P1401" s="94">
        <v>7.58</v>
      </c>
      <c r="Q1401" s="96">
        <v>0</v>
      </c>
      <c r="R1401" s="94">
        <v>0</v>
      </c>
      <c r="S1401" s="94">
        <v>1.65</v>
      </c>
      <c r="T1401" s="94">
        <f>STOCK[[#This Row],[Costo Unitario (USD)]]+STOCK[[#This Row],[Costo Envío (USD)]]+STOCK[[#This Row],[Comisión 10%]]</f>
        <v>11.03</v>
      </c>
      <c r="U1401" s="76">
        <f>STOCK[[#This Row],[Costo total]]*1.5</f>
        <v>16.545</v>
      </c>
      <c r="V1401" s="94">
        <v>18</v>
      </c>
      <c r="W1401" s="94">
        <f>STOCK[[#This Row],[Precio Final]]-STOCK[[#This Row],[Costo total]]</f>
        <v>6.97</v>
      </c>
      <c r="X1401" s="94">
        <f>STOCK[[#This Row],[Ganancia Unitaria]]*STOCK[[#This Row],[Salidas]]</f>
        <v>0</v>
      </c>
      <c r="Y1401" s="94"/>
      <c r="Z1401" s="94"/>
      <c r="AA1401" s="94">
        <f>STOCK[[#This Row],[Costo total]]*STOCK[[#This Row],[Entradas]]</f>
        <v>11.03</v>
      </c>
      <c r="AB1401" s="94">
        <f>STOCK[[#This Row],[Stock Actual]]*STOCK[[#This Row],[Costo total]]</f>
        <v>11.03</v>
      </c>
      <c r="AC1401" s="94"/>
    </row>
    <row r="1402" s="76" customFormat="1" ht="50" customHeight="1" spans="1:29">
      <c r="A1402" s="76" t="s">
        <v>2854</v>
      </c>
      <c r="B1402" s="95"/>
      <c r="C1402" s="94" t="s">
        <v>30</v>
      </c>
      <c r="D1402" s="94" t="s">
        <v>2109</v>
      </c>
      <c r="E1402" s="94" t="s">
        <v>2855</v>
      </c>
      <c r="F1402" s="94" t="s">
        <v>2819</v>
      </c>
      <c r="G1402" s="94"/>
      <c r="H1402" s="94">
        <f>STOCK[[#This Row],[Precio Final]]</f>
        <v>25</v>
      </c>
      <c r="I1402" s="98">
        <f>STOCK[[#This Row],[Precio Venta Ideal (x1.5)]]</f>
        <v>26.025</v>
      </c>
      <c r="J1402" s="96">
        <v>7</v>
      </c>
      <c r="K1402" s="96">
        <f>SUMIFS(VENTAS[Cantidad],VENTAS[Código del producto Vendido],STOCK[[#This Row],[Code]])</f>
        <v>7</v>
      </c>
      <c r="L1402" s="96">
        <f>STOCK[[#This Row],[Entradas]]-STOCK[[#This Row],[Salidas]]</f>
        <v>0</v>
      </c>
      <c r="M1402" s="94">
        <f>STOCK[[#This Row],[Precio Final]]*10%</f>
        <v>2.5</v>
      </c>
      <c r="N1402" s="94">
        <v>0</v>
      </c>
      <c r="O1402" s="94">
        <v>0</v>
      </c>
      <c r="P1402" s="94">
        <v>13.2</v>
      </c>
      <c r="Q1402" s="96">
        <v>0</v>
      </c>
      <c r="R1402" s="94">
        <v>0</v>
      </c>
      <c r="S1402" s="94">
        <v>1.65</v>
      </c>
      <c r="T1402" s="94">
        <f>STOCK[[#This Row],[Costo Unitario (USD)]]+STOCK[[#This Row],[Costo Envío (USD)]]+STOCK[[#This Row],[Comisión 10%]]</f>
        <v>17.35</v>
      </c>
      <c r="U1402" s="76">
        <f>STOCK[[#This Row],[Costo total]]*1.5</f>
        <v>26.025</v>
      </c>
      <c r="V1402" s="94">
        <v>25</v>
      </c>
      <c r="W1402" s="94">
        <f>STOCK[[#This Row],[Precio Final]]-STOCK[[#This Row],[Costo total]]</f>
        <v>7.65</v>
      </c>
      <c r="X1402" s="94">
        <f>STOCK[[#This Row],[Ganancia Unitaria]]*STOCK[[#This Row],[Salidas]]</f>
        <v>53.55</v>
      </c>
      <c r="Y1402" s="94"/>
      <c r="Z1402" s="94"/>
      <c r="AA1402" s="94">
        <f>STOCK[[#This Row],[Costo total]]*STOCK[[#This Row],[Entradas]]</f>
        <v>121.45</v>
      </c>
      <c r="AB1402" s="94">
        <f>STOCK[[#This Row],[Stock Actual]]*STOCK[[#This Row],[Costo total]]</f>
        <v>0</v>
      </c>
      <c r="AC1402" s="94"/>
    </row>
    <row r="1403" s="76" customFormat="1" ht="50" customHeight="1" spans="1:29">
      <c r="A1403" s="76" t="s">
        <v>2856</v>
      </c>
      <c r="B1403" s="95"/>
      <c r="C1403" s="94" t="s">
        <v>30</v>
      </c>
      <c r="D1403" s="94" t="s">
        <v>2626</v>
      </c>
      <c r="E1403" s="94" t="s">
        <v>2857</v>
      </c>
      <c r="F1403" s="94" t="s">
        <v>60</v>
      </c>
      <c r="G1403" s="94"/>
      <c r="H1403" s="94">
        <f>STOCK[[#This Row],[Precio Final]]</f>
        <v>30</v>
      </c>
      <c r="I1403" s="98">
        <f>STOCK[[#This Row],[Precio Venta Ideal (x1.5)]]</f>
        <v>24.735</v>
      </c>
      <c r="J1403" s="96">
        <v>1</v>
      </c>
      <c r="K1403" s="96">
        <f>SUMIFS(VENTAS[Cantidad],VENTAS[Código del producto Vendido],STOCK[[#This Row],[Code]])</f>
        <v>0</v>
      </c>
      <c r="L1403" s="96">
        <f>STOCK[[#This Row],[Entradas]]-STOCK[[#This Row],[Salidas]]</f>
        <v>1</v>
      </c>
      <c r="M1403" s="94">
        <f>STOCK[[#This Row],[Precio Final]]*10%</f>
        <v>3</v>
      </c>
      <c r="N1403" s="94">
        <v>0</v>
      </c>
      <c r="O1403" s="94">
        <v>0</v>
      </c>
      <c r="P1403" s="94">
        <v>11.84</v>
      </c>
      <c r="Q1403" s="96">
        <v>0</v>
      </c>
      <c r="R1403" s="94">
        <v>0</v>
      </c>
      <c r="S1403" s="94">
        <v>1.65</v>
      </c>
      <c r="T1403" s="94">
        <f>STOCK[[#This Row],[Costo Unitario (USD)]]+STOCK[[#This Row],[Costo Envío (USD)]]+STOCK[[#This Row],[Comisión 10%]]</f>
        <v>16.49</v>
      </c>
      <c r="U1403" s="76">
        <f>STOCK[[#This Row],[Costo total]]*1.5</f>
        <v>24.735</v>
      </c>
      <c r="V1403" s="94">
        <v>30</v>
      </c>
      <c r="W1403" s="94">
        <f>STOCK[[#This Row],[Precio Final]]-STOCK[[#This Row],[Costo total]]</f>
        <v>13.51</v>
      </c>
      <c r="X1403" s="94">
        <f>STOCK[[#This Row],[Ganancia Unitaria]]*STOCK[[#This Row],[Salidas]]</f>
        <v>0</v>
      </c>
      <c r="Y1403" s="94"/>
      <c r="Z1403" s="94"/>
      <c r="AA1403" s="94">
        <f>STOCK[[#This Row],[Costo total]]*STOCK[[#This Row],[Entradas]]</f>
        <v>16.49</v>
      </c>
      <c r="AB1403" s="94">
        <f>STOCK[[#This Row],[Stock Actual]]*STOCK[[#This Row],[Costo total]]</f>
        <v>16.49</v>
      </c>
      <c r="AC1403" s="94"/>
    </row>
    <row r="1404" s="76" customFormat="1" ht="50" customHeight="1" spans="1:29">
      <c r="A1404" s="76" t="s">
        <v>2858</v>
      </c>
      <c r="B1404" s="95"/>
      <c r="C1404" s="94" t="s">
        <v>30</v>
      </c>
      <c r="D1404" s="94" t="s">
        <v>2626</v>
      </c>
      <c r="E1404" s="94" t="s">
        <v>2857</v>
      </c>
      <c r="F1404" s="94" t="s">
        <v>47</v>
      </c>
      <c r="G1404" s="94"/>
      <c r="H1404" s="94">
        <f>STOCK[[#This Row],[Precio Final]]</f>
        <v>30</v>
      </c>
      <c r="I1404" s="98">
        <f>STOCK[[#This Row],[Precio Venta Ideal (x1.5)]]</f>
        <v>24.735</v>
      </c>
      <c r="J1404" s="96">
        <v>1</v>
      </c>
      <c r="K1404" s="96">
        <f>SUMIFS(VENTAS[Cantidad],VENTAS[Código del producto Vendido],STOCK[[#This Row],[Code]])</f>
        <v>0</v>
      </c>
      <c r="L1404" s="96">
        <f>STOCK[[#This Row],[Entradas]]-STOCK[[#This Row],[Salidas]]</f>
        <v>1</v>
      </c>
      <c r="M1404" s="94">
        <f>STOCK[[#This Row],[Precio Final]]*10%</f>
        <v>3</v>
      </c>
      <c r="N1404" s="94">
        <v>0</v>
      </c>
      <c r="O1404" s="94">
        <v>0</v>
      </c>
      <c r="P1404" s="94">
        <v>11.84</v>
      </c>
      <c r="Q1404" s="96">
        <v>0</v>
      </c>
      <c r="R1404" s="94">
        <v>0</v>
      </c>
      <c r="S1404" s="94">
        <v>1.65</v>
      </c>
      <c r="T1404" s="94">
        <f>STOCK[[#This Row],[Costo Unitario (USD)]]+STOCK[[#This Row],[Costo Envío (USD)]]+STOCK[[#This Row],[Comisión 10%]]</f>
        <v>16.49</v>
      </c>
      <c r="U1404" s="76">
        <f>STOCK[[#This Row],[Costo total]]*1.5</f>
        <v>24.735</v>
      </c>
      <c r="V1404" s="94">
        <v>30</v>
      </c>
      <c r="W1404" s="94">
        <f>STOCK[[#This Row],[Precio Final]]-STOCK[[#This Row],[Costo total]]</f>
        <v>13.51</v>
      </c>
      <c r="X1404" s="94">
        <f>STOCK[[#This Row],[Ganancia Unitaria]]*STOCK[[#This Row],[Salidas]]</f>
        <v>0</v>
      </c>
      <c r="Y1404" s="94"/>
      <c r="Z1404" s="94"/>
      <c r="AA1404" s="94">
        <f>STOCK[[#This Row],[Costo total]]*STOCK[[#This Row],[Entradas]]</f>
        <v>16.49</v>
      </c>
      <c r="AB1404" s="94">
        <f>STOCK[[#This Row],[Stock Actual]]*STOCK[[#This Row],[Costo total]]</f>
        <v>16.49</v>
      </c>
      <c r="AC1404" s="94"/>
    </row>
    <row r="1405" s="76" customFormat="1" ht="50" customHeight="1" spans="1:29">
      <c r="A1405" s="76" t="s">
        <v>2859</v>
      </c>
      <c r="B1405" s="95"/>
      <c r="C1405" s="94" t="s">
        <v>30</v>
      </c>
      <c r="D1405" s="94" t="s">
        <v>2626</v>
      </c>
      <c r="E1405" s="94" t="s">
        <v>2857</v>
      </c>
      <c r="F1405" s="94" t="s">
        <v>44</v>
      </c>
      <c r="G1405" s="94"/>
      <c r="H1405" s="94">
        <f>STOCK[[#This Row],[Precio Final]]</f>
        <v>30</v>
      </c>
      <c r="I1405" s="98">
        <f>STOCK[[#This Row],[Precio Venta Ideal (x1.5)]]</f>
        <v>24.735</v>
      </c>
      <c r="J1405" s="96">
        <v>1</v>
      </c>
      <c r="K1405" s="96">
        <f>SUMIFS(VENTAS[Cantidad],VENTAS[Código del producto Vendido],STOCK[[#This Row],[Code]])</f>
        <v>0</v>
      </c>
      <c r="L1405" s="96">
        <f>STOCK[[#This Row],[Entradas]]-STOCK[[#This Row],[Salidas]]</f>
        <v>1</v>
      </c>
      <c r="M1405" s="94">
        <f>STOCK[[#This Row],[Precio Final]]*10%</f>
        <v>3</v>
      </c>
      <c r="N1405" s="94">
        <v>0</v>
      </c>
      <c r="O1405" s="94">
        <v>0</v>
      </c>
      <c r="P1405" s="94">
        <v>11.84</v>
      </c>
      <c r="Q1405" s="96">
        <v>0</v>
      </c>
      <c r="R1405" s="94">
        <v>0</v>
      </c>
      <c r="S1405" s="94">
        <v>1.65</v>
      </c>
      <c r="T1405" s="94">
        <f>STOCK[[#This Row],[Costo Unitario (USD)]]+STOCK[[#This Row],[Costo Envío (USD)]]+STOCK[[#This Row],[Comisión 10%]]</f>
        <v>16.49</v>
      </c>
      <c r="U1405" s="76">
        <f>STOCK[[#This Row],[Costo total]]*1.5</f>
        <v>24.735</v>
      </c>
      <c r="V1405" s="94">
        <v>30</v>
      </c>
      <c r="W1405" s="94">
        <f>STOCK[[#This Row],[Precio Final]]-STOCK[[#This Row],[Costo total]]</f>
        <v>13.51</v>
      </c>
      <c r="X1405" s="94">
        <f>STOCK[[#This Row],[Ganancia Unitaria]]*STOCK[[#This Row],[Salidas]]</f>
        <v>0</v>
      </c>
      <c r="Y1405" s="94"/>
      <c r="Z1405" s="94"/>
      <c r="AA1405" s="94">
        <f>STOCK[[#This Row],[Costo total]]*STOCK[[#This Row],[Entradas]]</f>
        <v>16.49</v>
      </c>
      <c r="AB1405" s="94">
        <f>STOCK[[#This Row],[Stock Actual]]*STOCK[[#This Row],[Costo total]]</f>
        <v>16.49</v>
      </c>
      <c r="AC1405" s="94"/>
    </row>
    <row r="1406" s="76" customFormat="1" ht="50" customHeight="1" spans="1:29">
      <c r="A1406" s="76" t="s">
        <v>2860</v>
      </c>
      <c r="B1406" s="95"/>
      <c r="C1406" s="94" t="s">
        <v>30</v>
      </c>
      <c r="D1406" s="94" t="s">
        <v>2626</v>
      </c>
      <c r="E1406" s="94" t="s">
        <v>2861</v>
      </c>
      <c r="F1406" s="94" t="s">
        <v>38</v>
      </c>
      <c r="G1406" s="94"/>
      <c r="H1406" s="94">
        <f>STOCK[[#This Row],[Precio Final]]</f>
        <v>25</v>
      </c>
      <c r="I1406" s="98">
        <f>STOCK[[#This Row],[Precio Venta Ideal (x1.5)]]</f>
        <v>21.72</v>
      </c>
      <c r="J1406" s="96">
        <v>2</v>
      </c>
      <c r="K1406" s="96">
        <f>SUMIFS(VENTAS[Cantidad],VENTAS[Código del producto Vendido],STOCK[[#This Row],[Code]])</f>
        <v>0</v>
      </c>
      <c r="L1406" s="96">
        <f>STOCK[[#This Row],[Entradas]]-STOCK[[#This Row],[Salidas]]</f>
        <v>2</v>
      </c>
      <c r="M1406" s="94">
        <f>STOCK[[#This Row],[Precio Final]]*10%</f>
        <v>2.5</v>
      </c>
      <c r="N1406" s="94">
        <v>0</v>
      </c>
      <c r="O1406" s="94">
        <v>0</v>
      </c>
      <c r="P1406" s="94">
        <v>10.33</v>
      </c>
      <c r="Q1406" s="96">
        <v>0</v>
      </c>
      <c r="R1406" s="94">
        <v>0</v>
      </c>
      <c r="S1406" s="94">
        <v>1.65</v>
      </c>
      <c r="T1406" s="94">
        <f>STOCK[[#This Row],[Costo Unitario (USD)]]+STOCK[[#This Row],[Costo Envío (USD)]]+STOCK[[#This Row],[Comisión 10%]]</f>
        <v>14.48</v>
      </c>
      <c r="U1406" s="76">
        <f>STOCK[[#This Row],[Costo total]]*1.5</f>
        <v>21.72</v>
      </c>
      <c r="V1406" s="94">
        <v>25</v>
      </c>
      <c r="W1406" s="94">
        <f>STOCK[[#This Row],[Precio Final]]-STOCK[[#This Row],[Costo total]]</f>
        <v>10.52</v>
      </c>
      <c r="X1406" s="94">
        <f>STOCK[[#This Row],[Ganancia Unitaria]]*STOCK[[#This Row],[Salidas]]</f>
        <v>0</v>
      </c>
      <c r="Y1406" s="94"/>
      <c r="Z1406" s="94"/>
      <c r="AA1406" s="94">
        <f>STOCK[[#This Row],[Costo total]]*STOCK[[#This Row],[Entradas]]</f>
        <v>28.96</v>
      </c>
      <c r="AB1406" s="94">
        <f>STOCK[[#This Row],[Stock Actual]]*STOCK[[#This Row],[Costo total]]</f>
        <v>28.96</v>
      </c>
      <c r="AC1406" s="94"/>
    </row>
    <row r="1407" s="76" customFormat="1" ht="50" customHeight="1" spans="1:29">
      <c r="A1407" s="76" t="s">
        <v>2862</v>
      </c>
      <c r="B1407" s="95"/>
      <c r="C1407" s="94" t="s">
        <v>30</v>
      </c>
      <c r="D1407" s="94" t="s">
        <v>2626</v>
      </c>
      <c r="E1407" s="94" t="s">
        <v>2861</v>
      </c>
      <c r="F1407" s="94" t="s">
        <v>60</v>
      </c>
      <c r="G1407" s="94"/>
      <c r="H1407" s="94">
        <f>STOCK[[#This Row],[Precio Final]]</f>
        <v>25</v>
      </c>
      <c r="I1407" s="98">
        <f>STOCK[[#This Row],[Precio Venta Ideal (x1.5)]]</f>
        <v>21.72</v>
      </c>
      <c r="J1407" s="96">
        <v>2</v>
      </c>
      <c r="K1407" s="96">
        <f>SUMIFS(VENTAS[Cantidad],VENTAS[Código del producto Vendido],STOCK[[#This Row],[Code]])</f>
        <v>0</v>
      </c>
      <c r="L1407" s="96">
        <f>STOCK[[#This Row],[Entradas]]-STOCK[[#This Row],[Salidas]]</f>
        <v>2</v>
      </c>
      <c r="M1407" s="94">
        <f>STOCK[[#This Row],[Precio Final]]*10%</f>
        <v>2.5</v>
      </c>
      <c r="N1407" s="94">
        <v>0</v>
      </c>
      <c r="O1407" s="94">
        <v>0</v>
      </c>
      <c r="P1407" s="94">
        <v>10.33</v>
      </c>
      <c r="Q1407" s="96">
        <v>0</v>
      </c>
      <c r="R1407" s="94">
        <v>0</v>
      </c>
      <c r="S1407" s="94">
        <v>1.65</v>
      </c>
      <c r="T1407" s="94">
        <f>STOCK[[#This Row],[Costo Unitario (USD)]]+STOCK[[#This Row],[Costo Envío (USD)]]+STOCK[[#This Row],[Comisión 10%]]</f>
        <v>14.48</v>
      </c>
      <c r="U1407" s="76">
        <f>STOCK[[#This Row],[Costo total]]*1.5</f>
        <v>21.72</v>
      </c>
      <c r="V1407" s="94">
        <v>25</v>
      </c>
      <c r="W1407" s="94">
        <f>STOCK[[#This Row],[Precio Final]]-STOCK[[#This Row],[Costo total]]</f>
        <v>10.52</v>
      </c>
      <c r="X1407" s="94">
        <f>STOCK[[#This Row],[Ganancia Unitaria]]*STOCK[[#This Row],[Salidas]]</f>
        <v>0</v>
      </c>
      <c r="Y1407" s="94"/>
      <c r="Z1407" s="94"/>
      <c r="AA1407" s="94">
        <f>STOCK[[#This Row],[Costo total]]*STOCK[[#This Row],[Entradas]]</f>
        <v>28.96</v>
      </c>
      <c r="AB1407" s="94">
        <f>STOCK[[#This Row],[Stock Actual]]*STOCK[[#This Row],[Costo total]]</f>
        <v>28.96</v>
      </c>
      <c r="AC1407" s="94"/>
    </row>
    <row r="1408" s="76" customFormat="1" ht="50" customHeight="1" spans="1:29">
      <c r="A1408" s="76" t="s">
        <v>2863</v>
      </c>
      <c r="B1408" s="95"/>
      <c r="C1408" s="94" t="s">
        <v>30</v>
      </c>
      <c r="D1408" s="94" t="s">
        <v>2626</v>
      </c>
      <c r="E1408" s="94" t="s">
        <v>2861</v>
      </c>
      <c r="F1408" s="94" t="s">
        <v>47</v>
      </c>
      <c r="G1408" s="94"/>
      <c r="H1408" s="94">
        <f>STOCK[[#This Row],[Precio Final]]</f>
        <v>25</v>
      </c>
      <c r="I1408" s="98">
        <f>STOCK[[#This Row],[Precio Venta Ideal (x1.5)]]</f>
        <v>21.72</v>
      </c>
      <c r="J1408" s="96">
        <v>2</v>
      </c>
      <c r="K1408" s="96">
        <f>SUMIFS(VENTAS[Cantidad],VENTAS[Código del producto Vendido],STOCK[[#This Row],[Code]])</f>
        <v>0</v>
      </c>
      <c r="L1408" s="96">
        <f>STOCK[[#This Row],[Entradas]]-STOCK[[#This Row],[Salidas]]</f>
        <v>2</v>
      </c>
      <c r="M1408" s="94">
        <f>STOCK[[#This Row],[Precio Final]]*10%</f>
        <v>2.5</v>
      </c>
      <c r="N1408" s="94">
        <v>0</v>
      </c>
      <c r="O1408" s="94">
        <v>0</v>
      </c>
      <c r="P1408" s="94">
        <v>10.33</v>
      </c>
      <c r="Q1408" s="96">
        <v>0</v>
      </c>
      <c r="R1408" s="94">
        <v>0</v>
      </c>
      <c r="S1408" s="94">
        <v>1.65</v>
      </c>
      <c r="T1408" s="94">
        <f>STOCK[[#This Row],[Costo Unitario (USD)]]+STOCK[[#This Row],[Costo Envío (USD)]]+STOCK[[#This Row],[Comisión 10%]]</f>
        <v>14.48</v>
      </c>
      <c r="U1408" s="76">
        <f>STOCK[[#This Row],[Costo total]]*1.5</f>
        <v>21.72</v>
      </c>
      <c r="V1408" s="94">
        <v>25</v>
      </c>
      <c r="W1408" s="94">
        <f>STOCK[[#This Row],[Precio Final]]-STOCK[[#This Row],[Costo total]]</f>
        <v>10.52</v>
      </c>
      <c r="X1408" s="94">
        <f>STOCK[[#This Row],[Ganancia Unitaria]]*STOCK[[#This Row],[Salidas]]</f>
        <v>0</v>
      </c>
      <c r="Y1408" s="94"/>
      <c r="Z1408" s="94"/>
      <c r="AA1408" s="94">
        <f>STOCK[[#This Row],[Costo total]]*STOCK[[#This Row],[Entradas]]</f>
        <v>28.96</v>
      </c>
      <c r="AB1408" s="94">
        <f>STOCK[[#This Row],[Stock Actual]]*STOCK[[#This Row],[Costo total]]</f>
        <v>28.96</v>
      </c>
      <c r="AC1408" s="94"/>
    </row>
    <row r="1409" s="76" customFormat="1" ht="50" customHeight="1" spans="1:29">
      <c r="A1409" s="76" t="s">
        <v>2864</v>
      </c>
      <c r="B1409" s="95"/>
      <c r="C1409" s="94" t="s">
        <v>30</v>
      </c>
      <c r="D1409" s="94" t="s">
        <v>1188</v>
      </c>
      <c r="E1409" s="94" t="s">
        <v>2865</v>
      </c>
      <c r="F1409" s="94" t="s">
        <v>38</v>
      </c>
      <c r="G1409" s="94"/>
      <c r="H1409" s="94">
        <f>STOCK[[#This Row],[Precio Final]]</f>
        <v>18</v>
      </c>
      <c r="I1409" s="98">
        <f>STOCK[[#This Row],[Precio Venta Ideal (x1.5)]]</f>
        <v>17.97</v>
      </c>
      <c r="J1409" s="96">
        <v>3</v>
      </c>
      <c r="K1409" s="96">
        <f>SUMIFS(VENTAS[Cantidad],VENTAS[Código del producto Vendido],STOCK[[#This Row],[Code]])</f>
        <v>1</v>
      </c>
      <c r="L1409" s="96">
        <f>STOCK[[#This Row],[Entradas]]-STOCK[[#This Row],[Salidas]]</f>
        <v>2</v>
      </c>
      <c r="M1409" s="94">
        <f>STOCK[[#This Row],[Precio Final]]*10%</f>
        <v>1.8</v>
      </c>
      <c r="N1409" s="94">
        <v>0</v>
      </c>
      <c r="O1409" s="94">
        <v>0</v>
      </c>
      <c r="P1409" s="94">
        <v>8.53</v>
      </c>
      <c r="Q1409" s="96">
        <v>0</v>
      </c>
      <c r="R1409" s="94">
        <v>0</v>
      </c>
      <c r="S1409" s="94">
        <v>1.65</v>
      </c>
      <c r="T1409" s="94">
        <f>STOCK[[#This Row],[Costo Unitario (USD)]]+STOCK[[#This Row],[Costo Envío (USD)]]+STOCK[[#This Row],[Comisión 10%]]</f>
        <v>11.98</v>
      </c>
      <c r="U1409" s="76">
        <f>STOCK[[#This Row],[Costo total]]*1.5</f>
        <v>17.97</v>
      </c>
      <c r="V1409" s="94">
        <v>18</v>
      </c>
      <c r="W1409" s="94">
        <f>STOCK[[#This Row],[Precio Final]]-STOCK[[#This Row],[Costo total]]</f>
        <v>6.02</v>
      </c>
      <c r="X1409" s="94">
        <f>STOCK[[#This Row],[Ganancia Unitaria]]*STOCK[[#This Row],[Salidas]]</f>
        <v>6.02</v>
      </c>
      <c r="Y1409" s="94"/>
      <c r="Z1409" s="94"/>
      <c r="AA1409" s="94">
        <f>STOCK[[#This Row],[Costo total]]*STOCK[[#This Row],[Entradas]]</f>
        <v>35.94</v>
      </c>
      <c r="AB1409" s="94">
        <f>STOCK[[#This Row],[Stock Actual]]*STOCK[[#This Row],[Costo total]]</f>
        <v>23.96</v>
      </c>
      <c r="AC1409" s="94"/>
    </row>
    <row r="1410" s="76" customFormat="1" ht="50" customHeight="1" spans="1:29">
      <c r="A1410" s="76" t="s">
        <v>2866</v>
      </c>
      <c r="B1410" s="95"/>
      <c r="C1410" s="94" t="s">
        <v>30</v>
      </c>
      <c r="D1410" s="94" t="s">
        <v>1188</v>
      </c>
      <c r="E1410" s="94" t="s">
        <v>2865</v>
      </c>
      <c r="F1410" s="94" t="s">
        <v>44</v>
      </c>
      <c r="G1410" s="94"/>
      <c r="H1410" s="94">
        <f>STOCK[[#This Row],[Precio Final]]</f>
        <v>18</v>
      </c>
      <c r="I1410" s="98">
        <f>STOCK[[#This Row],[Precio Venta Ideal (x1.5)]]</f>
        <v>17.955</v>
      </c>
      <c r="J1410" s="96">
        <v>2</v>
      </c>
      <c r="K1410" s="96">
        <f>SUMIFS(VENTAS[Cantidad],VENTAS[Código del producto Vendido],STOCK[[#This Row],[Code]])</f>
        <v>0</v>
      </c>
      <c r="L1410" s="96">
        <f>STOCK[[#This Row],[Entradas]]-STOCK[[#This Row],[Salidas]]</f>
        <v>2</v>
      </c>
      <c r="M1410" s="94">
        <f>STOCK[[#This Row],[Precio Final]]*10%</f>
        <v>1.8</v>
      </c>
      <c r="N1410" s="94">
        <v>0</v>
      </c>
      <c r="O1410" s="94">
        <v>0</v>
      </c>
      <c r="P1410" s="94">
        <v>8.52</v>
      </c>
      <c r="Q1410" s="96">
        <v>0</v>
      </c>
      <c r="R1410" s="94">
        <v>0</v>
      </c>
      <c r="S1410" s="94">
        <v>1.65</v>
      </c>
      <c r="T1410" s="94">
        <f>STOCK[[#This Row],[Costo Unitario (USD)]]+STOCK[[#This Row],[Costo Envío (USD)]]+STOCK[[#This Row],[Comisión 10%]]</f>
        <v>11.97</v>
      </c>
      <c r="U1410" s="76">
        <f>STOCK[[#This Row],[Costo total]]*1.5</f>
        <v>17.955</v>
      </c>
      <c r="V1410" s="94">
        <v>18</v>
      </c>
      <c r="W1410" s="94">
        <f>STOCK[[#This Row],[Precio Final]]-STOCK[[#This Row],[Costo total]]</f>
        <v>6.03</v>
      </c>
      <c r="X1410" s="94">
        <f>STOCK[[#This Row],[Ganancia Unitaria]]*STOCK[[#This Row],[Salidas]]</f>
        <v>0</v>
      </c>
      <c r="Y1410" s="94"/>
      <c r="Z1410" s="94"/>
      <c r="AA1410" s="94">
        <f>STOCK[[#This Row],[Costo total]]*STOCK[[#This Row],[Entradas]]</f>
        <v>23.94</v>
      </c>
      <c r="AB1410" s="94">
        <f>STOCK[[#This Row],[Stock Actual]]*STOCK[[#This Row],[Costo total]]</f>
        <v>23.94</v>
      </c>
      <c r="AC1410" s="94"/>
    </row>
    <row r="1411" s="76" customFormat="1" ht="50" customHeight="1" spans="1:29">
      <c r="A1411" s="76" t="s">
        <v>2867</v>
      </c>
      <c r="B1411" s="95"/>
      <c r="C1411" s="94" t="s">
        <v>30</v>
      </c>
      <c r="D1411" s="94" t="s">
        <v>2626</v>
      </c>
      <c r="E1411" s="94" t="s">
        <v>2868</v>
      </c>
      <c r="F1411" s="94" t="s">
        <v>38</v>
      </c>
      <c r="G1411" s="94"/>
      <c r="H1411" s="94">
        <f>STOCK[[#This Row],[Precio Final]]</f>
        <v>30</v>
      </c>
      <c r="I1411" s="98">
        <f>STOCK[[#This Row],[Precio Venta Ideal (x1.5)]]</f>
        <v>28.005</v>
      </c>
      <c r="J1411" s="96">
        <v>2</v>
      </c>
      <c r="K1411" s="96">
        <f>SUMIFS(VENTAS[Cantidad],VENTAS[Código del producto Vendido],STOCK[[#This Row],[Code]])</f>
        <v>0</v>
      </c>
      <c r="L1411" s="96">
        <f>STOCK[[#This Row],[Entradas]]-STOCK[[#This Row],[Salidas]]</f>
        <v>2</v>
      </c>
      <c r="M1411" s="94">
        <f>STOCK[[#This Row],[Precio Final]]*10%</f>
        <v>3</v>
      </c>
      <c r="N1411" s="94">
        <v>0</v>
      </c>
      <c r="O1411" s="94">
        <v>0</v>
      </c>
      <c r="P1411" s="94">
        <v>14.02</v>
      </c>
      <c r="Q1411" s="96">
        <v>0</v>
      </c>
      <c r="R1411" s="94">
        <v>0</v>
      </c>
      <c r="S1411" s="94">
        <v>1.65</v>
      </c>
      <c r="T1411" s="94">
        <f>STOCK[[#This Row],[Costo Unitario (USD)]]+STOCK[[#This Row],[Costo Envío (USD)]]+STOCK[[#This Row],[Comisión 10%]]</f>
        <v>18.67</v>
      </c>
      <c r="U1411" s="76">
        <f>STOCK[[#This Row],[Costo total]]*1.5</f>
        <v>28.005</v>
      </c>
      <c r="V1411" s="94">
        <v>30</v>
      </c>
      <c r="W1411" s="94">
        <f>STOCK[[#This Row],[Precio Final]]-STOCK[[#This Row],[Costo total]]</f>
        <v>11.33</v>
      </c>
      <c r="X1411" s="94">
        <f>STOCK[[#This Row],[Ganancia Unitaria]]*STOCK[[#This Row],[Salidas]]</f>
        <v>0</v>
      </c>
      <c r="Y1411" s="94"/>
      <c r="Z1411" s="94"/>
      <c r="AA1411" s="94">
        <f>STOCK[[#This Row],[Costo total]]*STOCK[[#This Row],[Entradas]]</f>
        <v>37.34</v>
      </c>
      <c r="AB1411" s="94">
        <f>STOCK[[#This Row],[Stock Actual]]*STOCK[[#This Row],[Costo total]]</f>
        <v>37.34</v>
      </c>
      <c r="AC1411" s="94"/>
    </row>
    <row r="1412" s="76" customFormat="1" ht="50" customHeight="1" spans="1:29">
      <c r="A1412" s="76" t="s">
        <v>2869</v>
      </c>
      <c r="B1412" s="95"/>
      <c r="C1412" s="94" t="s">
        <v>30</v>
      </c>
      <c r="D1412" s="94" t="s">
        <v>2125</v>
      </c>
      <c r="E1412" s="94" t="s">
        <v>2870</v>
      </c>
      <c r="F1412" s="94" t="s">
        <v>60</v>
      </c>
      <c r="G1412" s="94"/>
      <c r="H1412" s="94">
        <f>STOCK[[#This Row],[Precio Final]]</f>
        <v>18</v>
      </c>
      <c r="I1412" s="98">
        <f>STOCK[[#This Row],[Precio Venta Ideal (x1.5)]]</f>
        <v>10.095</v>
      </c>
      <c r="J1412" s="96">
        <v>3</v>
      </c>
      <c r="K1412" s="96">
        <f>SUMIFS(VENTAS[Cantidad],VENTAS[Código del producto Vendido],STOCK[[#This Row],[Code]])</f>
        <v>0</v>
      </c>
      <c r="L1412" s="96">
        <f>STOCK[[#This Row],[Entradas]]-STOCK[[#This Row],[Salidas]]</f>
        <v>3</v>
      </c>
      <c r="M1412" s="94">
        <f>STOCK[[#This Row],[Precio Final]]*10%</f>
        <v>1.8</v>
      </c>
      <c r="N1412" s="94">
        <v>0</v>
      </c>
      <c r="O1412" s="94">
        <v>0</v>
      </c>
      <c r="P1412" s="94">
        <v>3.28</v>
      </c>
      <c r="Q1412" s="96">
        <v>0</v>
      </c>
      <c r="R1412" s="94">
        <v>0</v>
      </c>
      <c r="S1412" s="94">
        <v>1.65</v>
      </c>
      <c r="T1412" s="94">
        <f>STOCK[[#This Row],[Costo Unitario (USD)]]+STOCK[[#This Row],[Costo Envío (USD)]]+STOCK[[#This Row],[Comisión 10%]]</f>
        <v>6.73</v>
      </c>
      <c r="U1412" s="76">
        <f>STOCK[[#This Row],[Costo total]]*1.5</f>
        <v>10.095</v>
      </c>
      <c r="V1412" s="94">
        <v>18</v>
      </c>
      <c r="W1412" s="94">
        <f>STOCK[[#This Row],[Precio Final]]-STOCK[[#This Row],[Costo total]]</f>
        <v>11.27</v>
      </c>
      <c r="X1412" s="94">
        <f>STOCK[[#This Row],[Ganancia Unitaria]]*STOCK[[#This Row],[Salidas]]</f>
        <v>0</v>
      </c>
      <c r="Y1412" s="94"/>
      <c r="Z1412" s="94"/>
      <c r="AA1412" s="94">
        <f>STOCK[[#This Row],[Costo total]]*STOCK[[#This Row],[Entradas]]</f>
        <v>20.19</v>
      </c>
      <c r="AB1412" s="94">
        <f>STOCK[[#This Row],[Stock Actual]]*STOCK[[#This Row],[Costo total]]</f>
        <v>20.19</v>
      </c>
      <c r="AC1412" s="94"/>
    </row>
    <row r="1413" s="76" customFormat="1" ht="50" customHeight="1" spans="1:29">
      <c r="A1413" s="76" t="s">
        <v>2871</v>
      </c>
      <c r="B1413" s="95"/>
      <c r="C1413" s="94" t="s">
        <v>30</v>
      </c>
      <c r="D1413" s="94" t="s">
        <v>2125</v>
      </c>
      <c r="E1413" s="94" t="s">
        <v>2872</v>
      </c>
      <c r="F1413" s="94" t="s">
        <v>60</v>
      </c>
      <c r="G1413" s="94"/>
      <c r="H1413" s="94">
        <f>STOCK[[#This Row],[Precio Final]]</f>
        <v>25</v>
      </c>
      <c r="I1413" s="98">
        <f>STOCK[[#This Row],[Precio Venta Ideal (x1.5)]]</f>
        <v>22.47</v>
      </c>
      <c r="J1413" s="96">
        <v>2</v>
      </c>
      <c r="K1413" s="96">
        <f>SUMIFS(VENTAS[Cantidad],VENTAS[Código del producto Vendido],STOCK[[#This Row],[Code]])</f>
        <v>0</v>
      </c>
      <c r="L1413" s="96">
        <f>STOCK[[#This Row],[Entradas]]-STOCK[[#This Row],[Salidas]]</f>
        <v>2</v>
      </c>
      <c r="M1413" s="94">
        <f>STOCK[[#This Row],[Precio Final]]*10%</f>
        <v>2.5</v>
      </c>
      <c r="N1413" s="94">
        <v>0</v>
      </c>
      <c r="O1413" s="94">
        <v>0</v>
      </c>
      <c r="P1413" s="94">
        <v>10.83</v>
      </c>
      <c r="Q1413" s="96">
        <v>0</v>
      </c>
      <c r="R1413" s="94">
        <v>0</v>
      </c>
      <c r="S1413" s="94">
        <v>1.65</v>
      </c>
      <c r="T1413" s="94">
        <f>STOCK[[#This Row],[Costo Unitario (USD)]]+STOCK[[#This Row],[Costo Envío (USD)]]+STOCK[[#This Row],[Comisión 10%]]</f>
        <v>14.98</v>
      </c>
      <c r="U1413" s="76">
        <f>STOCK[[#This Row],[Costo total]]*1.5</f>
        <v>22.47</v>
      </c>
      <c r="V1413" s="94">
        <v>25</v>
      </c>
      <c r="W1413" s="94">
        <f>STOCK[[#This Row],[Precio Final]]-STOCK[[#This Row],[Costo total]]</f>
        <v>10.02</v>
      </c>
      <c r="X1413" s="94">
        <f>STOCK[[#This Row],[Ganancia Unitaria]]*STOCK[[#This Row],[Salidas]]</f>
        <v>0</v>
      </c>
      <c r="Y1413" s="94"/>
      <c r="Z1413" s="94"/>
      <c r="AA1413" s="94">
        <f>STOCK[[#This Row],[Costo total]]*STOCK[[#This Row],[Entradas]]</f>
        <v>29.96</v>
      </c>
      <c r="AB1413" s="94">
        <f>STOCK[[#This Row],[Stock Actual]]*STOCK[[#This Row],[Costo total]]</f>
        <v>29.96</v>
      </c>
      <c r="AC1413" s="94"/>
    </row>
    <row r="1414" s="76" customFormat="1" ht="50" customHeight="1" spans="1:29">
      <c r="A1414" s="76" t="s">
        <v>2873</v>
      </c>
      <c r="B1414" s="95"/>
      <c r="C1414" s="94" t="s">
        <v>30</v>
      </c>
      <c r="D1414" s="94" t="s">
        <v>2125</v>
      </c>
      <c r="E1414" s="94" t="s">
        <v>2872</v>
      </c>
      <c r="F1414" s="94" t="s">
        <v>47</v>
      </c>
      <c r="G1414" s="94"/>
      <c r="H1414" s="94">
        <f>STOCK[[#This Row],[Precio Final]]</f>
        <v>25</v>
      </c>
      <c r="I1414" s="98">
        <f>STOCK[[#This Row],[Precio Venta Ideal (x1.5)]]</f>
        <v>22.47</v>
      </c>
      <c r="J1414" s="96">
        <v>2</v>
      </c>
      <c r="K1414" s="96">
        <f>SUMIFS(VENTAS[Cantidad],VENTAS[Código del producto Vendido],STOCK[[#This Row],[Code]])</f>
        <v>0</v>
      </c>
      <c r="L1414" s="96">
        <f>STOCK[[#This Row],[Entradas]]-STOCK[[#This Row],[Salidas]]</f>
        <v>2</v>
      </c>
      <c r="M1414" s="94">
        <f>STOCK[[#This Row],[Precio Final]]*10%</f>
        <v>2.5</v>
      </c>
      <c r="N1414" s="94">
        <v>0</v>
      </c>
      <c r="O1414" s="94">
        <v>0</v>
      </c>
      <c r="P1414" s="94">
        <v>10.83</v>
      </c>
      <c r="Q1414" s="96">
        <v>0</v>
      </c>
      <c r="R1414" s="94">
        <v>0</v>
      </c>
      <c r="S1414" s="94">
        <v>1.65</v>
      </c>
      <c r="T1414" s="94">
        <f>STOCK[[#This Row],[Costo Unitario (USD)]]+STOCK[[#This Row],[Costo Envío (USD)]]+STOCK[[#This Row],[Comisión 10%]]</f>
        <v>14.98</v>
      </c>
      <c r="U1414" s="76">
        <f>STOCK[[#This Row],[Costo total]]*1.5</f>
        <v>22.47</v>
      </c>
      <c r="V1414" s="94">
        <v>25</v>
      </c>
      <c r="W1414" s="94">
        <f>STOCK[[#This Row],[Precio Final]]-STOCK[[#This Row],[Costo total]]</f>
        <v>10.02</v>
      </c>
      <c r="X1414" s="94">
        <f>STOCK[[#This Row],[Ganancia Unitaria]]*STOCK[[#This Row],[Salidas]]</f>
        <v>0</v>
      </c>
      <c r="Y1414" s="94"/>
      <c r="Z1414" s="94"/>
      <c r="AA1414" s="94">
        <f>STOCK[[#This Row],[Costo total]]*STOCK[[#This Row],[Entradas]]</f>
        <v>29.96</v>
      </c>
      <c r="AB1414" s="94">
        <f>STOCK[[#This Row],[Stock Actual]]*STOCK[[#This Row],[Costo total]]</f>
        <v>29.96</v>
      </c>
      <c r="AC1414" s="94"/>
    </row>
    <row r="1415" s="76" customFormat="1" ht="50" customHeight="1" spans="1:29">
      <c r="A1415" s="76" t="s">
        <v>2874</v>
      </c>
      <c r="B1415" s="95"/>
      <c r="C1415" s="94" t="s">
        <v>30</v>
      </c>
      <c r="D1415" s="94" t="s">
        <v>2125</v>
      </c>
      <c r="E1415" s="94" t="s">
        <v>2872</v>
      </c>
      <c r="F1415" s="94" t="s">
        <v>44</v>
      </c>
      <c r="G1415" s="94"/>
      <c r="H1415" s="94">
        <f>STOCK[[#This Row],[Precio Final]]</f>
        <v>25</v>
      </c>
      <c r="I1415" s="98">
        <f>STOCK[[#This Row],[Precio Venta Ideal (x1.5)]]</f>
        <v>22.485</v>
      </c>
      <c r="J1415" s="96">
        <v>2</v>
      </c>
      <c r="K1415" s="96">
        <f>SUMIFS(VENTAS[Cantidad],VENTAS[Código del producto Vendido],STOCK[[#This Row],[Code]])</f>
        <v>0</v>
      </c>
      <c r="L1415" s="96">
        <f>STOCK[[#This Row],[Entradas]]-STOCK[[#This Row],[Salidas]]</f>
        <v>2</v>
      </c>
      <c r="M1415" s="94">
        <f>STOCK[[#This Row],[Precio Final]]*10%</f>
        <v>2.5</v>
      </c>
      <c r="N1415" s="94">
        <v>0</v>
      </c>
      <c r="O1415" s="94">
        <v>0</v>
      </c>
      <c r="P1415" s="94">
        <v>10.84</v>
      </c>
      <c r="Q1415" s="96">
        <v>0</v>
      </c>
      <c r="R1415" s="94">
        <v>0</v>
      </c>
      <c r="S1415" s="94">
        <v>1.65</v>
      </c>
      <c r="T1415" s="94">
        <f>STOCK[[#This Row],[Costo Unitario (USD)]]+STOCK[[#This Row],[Costo Envío (USD)]]+STOCK[[#This Row],[Comisión 10%]]</f>
        <v>14.99</v>
      </c>
      <c r="U1415" s="76">
        <f>STOCK[[#This Row],[Costo total]]*1.5</f>
        <v>22.485</v>
      </c>
      <c r="V1415" s="94">
        <v>25</v>
      </c>
      <c r="W1415" s="94">
        <f>STOCK[[#This Row],[Precio Final]]-STOCK[[#This Row],[Costo total]]</f>
        <v>10.01</v>
      </c>
      <c r="X1415" s="94">
        <f>STOCK[[#This Row],[Ganancia Unitaria]]*STOCK[[#This Row],[Salidas]]</f>
        <v>0</v>
      </c>
      <c r="Y1415" s="94"/>
      <c r="Z1415" s="94"/>
      <c r="AA1415" s="94">
        <f>STOCK[[#This Row],[Costo total]]*STOCK[[#This Row],[Entradas]]</f>
        <v>29.98</v>
      </c>
      <c r="AB1415" s="94">
        <f>STOCK[[#This Row],[Stock Actual]]*STOCK[[#This Row],[Costo total]]</f>
        <v>29.98</v>
      </c>
      <c r="AC1415" s="94"/>
    </row>
    <row r="1416" s="76" customFormat="1" ht="50" customHeight="1" spans="1:29">
      <c r="A1416" s="76" t="s">
        <v>2875</v>
      </c>
      <c r="B1416" s="95"/>
      <c r="C1416" s="94" t="s">
        <v>30</v>
      </c>
      <c r="D1416" s="94" t="s">
        <v>2876</v>
      </c>
      <c r="E1416" s="94" t="s">
        <v>2877</v>
      </c>
      <c r="F1416" s="94" t="s">
        <v>60</v>
      </c>
      <c r="G1416" s="94"/>
      <c r="H1416" s="94">
        <f>STOCK[[#This Row],[Precio Final]]</f>
        <v>35</v>
      </c>
      <c r="I1416" s="98">
        <f>STOCK[[#This Row],[Precio Venta Ideal (x1.5)]]</f>
        <v>22.605</v>
      </c>
      <c r="J1416" s="96">
        <v>2</v>
      </c>
      <c r="K1416" s="96">
        <f>SUMIFS(VENTAS[Cantidad],VENTAS[Código del producto Vendido],STOCK[[#This Row],[Code]])</f>
        <v>0</v>
      </c>
      <c r="L1416" s="96">
        <f>STOCK[[#This Row],[Entradas]]-STOCK[[#This Row],[Salidas]]</f>
        <v>2</v>
      </c>
      <c r="M1416" s="94">
        <f>STOCK[[#This Row],[Precio Final]]*10%</f>
        <v>3.5</v>
      </c>
      <c r="N1416" s="94">
        <v>0</v>
      </c>
      <c r="O1416" s="94">
        <v>0</v>
      </c>
      <c r="P1416" s="94">
        <v>9.92</v>
      </c>
      <c r="Q1416" s="96">
        <v>0</v>
      </c>
      <c r="R1416" s="94">
        <v>0</v>
      </c>
      <c r="S1416" s="94">
        <v>1.65</v>
      </c>
      <c r="T1416" s="94">
        <f>STOCK[[#This Row],[Costo Unitario (USD)]]+STOCK[[#This Row],[Costo Envío (USD)]]+STOCK[[#This Row],[Comisión 10%]]</f>
        <v>15.07</v>
      </c>
      <c r="U1416" s="76">
        <f>STOCK[[#This Row],[Costo total]]*1.5</f>
        <v>22.605</v>
      </c>
      <c r="V1416" s="94">
        <v>35</v>
      </c>
      <c r="W1416" s="94">
        <f>STOCK[[#This Row],[Precio Final]]-STOCK[[#This Row],[Costo total]]</f>
        <v>19.93</v>
      </c>
      <c r="X1416" s="94">
        <f>STOCK[[#This Row],[Ganancia Unitaria]]*STOCK[[#This Row],[Salidas]]</f>
        <v>0</v>
      </c>
      <c r="Y1416" s="94"/>
      <c r="Z1416" s="94"/>
      <c r="AA1416" s="94">
        <f>STOCK[[#This Row],[Costo total]]*STOCK[[#This Row],[Entradas]]</f>
        <v>30.14</v>
      </c>
      <c r="AB1416" s="94">
        <f>STOCK[[#This Row],[Stock Actual]]*STOCK[[#This Row],[Costo total]]</f>
        <v>30.14</v>
      </c>
      <c r="AC1416" s="94"/>
    </row>
    <row r="1417" s="76" customFormat="1" ht="50" customHeight="1" spans="1:29">
      <c r="A1417" s="76" t="s">
        <v>2878</v>
      </c>
      <c r="B1417" s="95"/>
      <c r="C1417" s="94" t="s">
        <v>30</v>
      </c>
      <c r="D1417" s="94" t="s">
        <v>2876</v>
      </c>
      <c r="E1417" s="94" t="s">
        <v>2877</v>
      </c>
      <c r="F1417" s="94" t="s">
        <v>47</v>
      </c>
      <c r="G1417" s="94"/>
      <c r="H1417" s="94">
        <f>STOCK[[#This Row],[Precio Final]]</f>
        <v>35</v>
      </c>
      <c r="I1417" s="98">
        <f>STOCK[[#This Row],[Precio Venta Ideal (x1.5)]]</f>
        <v>22.605</v>
      </c>
      <c r="J1417" s="96">
        <v>2</v>
      </c>
      <c r="K1417" s="96">
        <f>SUMIFS(VENTAS[Cantidad],VENTAS[Código del producto Vendido],STOCK[[#This Row],[Code]])</f>
        <v>0</v>
      </c>
      <c r="L1417" s="96">
        <f>STOCK[[#This Row],[Entradas]]-STOCK[[#This Row],[Salidas]]</f>
        <v>2</v>
      </c>
      <c r="M1417" s="94">
        <f>STOCK[[#This Row],[Precio Final]]*10%</f>
        <v>3.5</v>
      </c>
      <c r="N1417" s="94">
        <v>0</v>
      </c>
      <c r="O1417" s="94">
        <v>0</v>
      </c>
      <c r="P1417" s="94">
        <v>9.92</v>
      </c>
      <c r="Q1417" s="96">
        <v>0</v>
      </c>
      <c r="R1417" s="94">
        <v>0</v>
      </c>
      <c r="S1417" s="94">
        <v>1.65</v>
      </c>
      <c r="T1417" s="94">
        <f>STOCK[[#This Row],[Costo Unitario (USD)]]+STOCK[[#This Row],[Costo Envío (USD)]]+STOCK[[#This Row],[Comisión 10%]]</f>
        <v>15.07</v>
      </c>
      <c r="U1417" s="76">
        <f>STOCK[[#This Row],[Costo total]]*1.5</f>
        <v>22.605</v>
      </c>
      <c r="V1417" s="94">
        <v>35</v>
      </c>
      <c r="W1417" s="94">
        <f>STOCK[[#This Row],[Precio Final]]-STOCK[[#This Row],[Costo total]]</f>
        <v>19.93</v>
      </c>
      <c r="X1417" s="94">
        <f>STOCK[[#This Row],[Ganancia Unitaria]]*STOCK[[#This Row],[Salidas]]</f>
        <v>0</v>
      </c>
      <c r="Y1417" s="94"/>
      <c r="Z1417" s="94"/>
      <c r="AA1417" s="94">
        <f>STOCK[[#This Row],[Costo total]]*STOCK[[#This Row],[Entradas]]</f>
        <v>30.14</v>
      </c>
      <c r="AB1417" s="94">
        <f>STOCK[[#This Row],[Stock Actual]]*STOCK[[#This Row],[Costo total]]</f>
        <v>30.14</v>
      </c>
      <c r="AC1417" s="94"/>
    </row>
    <row r="1418" s="76" customFormat="1" ht="50" customHeight="1" spans="1:29">
      <c r="A1418" s="76" t="s">
        <v>2879</v>
      </c>
      <c r="B1418" s="95"/>
      <c r="C1418" s="94" t="s">
        <v>30</v>
      </c>
      <c r="D1418" s="94" t="s">
        <v>2876</v>
      </c>
      <c r="E1418" s="94" t="s">
        <v>2877</v>
      </c>
      <c r="F1418" s="94" t="s">
        <v>44</v>
      </c>
      <c r="G1418" s="94"/>
      <c r="H1418" s="94">
        <f>STOCK[[#This Row],[Precio Final]]</f>
        <v>35</v>
      </c>
      <c r="I1418" s="98">
        <f>STOCK[[#This Row],[Precio Venta Ideal (x1.5)]]</f>
        <v>22.605</v>
      </c>
      <c r="J1418" s="96">
        <v>2</v>
      </c>
      <c r="K1418" s="96">
        <f>SUMIFS(VENTAS[Cantidad],VENTAS[Código del producto Vendido],STOCK[[#This Row],[Code]])</f>
        <v>1</v>
      </c>
      <c r="L1418" s="96">
        <f>STOCK[[#This Row],[Entradas]]-STOCK[[#This Row],[Salidas]]</f>
        <v>1</v>
      </c>
      <c r="M1418" s="94">
        <f>STOCK[[#This Row],[Precio Final]]*10%</f>
        <v>3.5</v>
      </c>
      <c r="N1418" s="94">
        <v>0</v>
      </c>
      <c r="O1418" s="94">
        <v>0</v>
      </c>
      <c r="P1418" s="94">
        <v>9.92</v>
      </c>
      <c r="Q1418" s="96">
        <v>0</v>
      </c>
      <c r="R1418" s="94">
        <v>0</v>
      </c>
      <c r="S1418" s="94">
        <v>1.65</v>
      </c>
      <c r="T1418" s="94">
        <f>STOCK[[#This Row],[Costo Unitario (USD)]]+STOCK[[#This Row],[Costo Envío (USD)]]+STOCK[[#This Row],[Comisión 10%]]</f>
        <v>15.07</v>
      </c>
      <c r="U1418" s="76">
        <f>STOCK[[#This Row],[Costo total]]*1.5</f>
        <v>22.605</v>
      </c>
      <c r="V1418" s="94">
        <v>35</v>
      </c>
      <c r="W1418" s="94">
        <f>STOCK[[#This Row],[Precio Final]]-STOCK[[#This Row],[Costo total]]</f>
        <v>19.93</v>
      </c>
      <c r="X1418" s="94">
        <f>STOCK[[#This Row],[Ganancia Unitaria]]*STOCK[[#This Row],[Salidas]]</f>
        <v>19.93</v>
      </c>
      <c r="Y1418" s="94"/>
      <c r="Z1418" s="94"/>
      <c r="AA1418" s="94">
        <f>STOCK[[#This Row],[Costo total]]*STOCK[[#This Row],[Entradas]]</f>
        <v>30.14</v>
      </c>
      <c r="AB1418" s="94">
        <f>STOCK[[#This Row],[Stock Actual]]*STOCK[[#This Row],[Costo total]]</f>
        <v>15.07</v>
      </c>
      <c r="AC1418" s="94"/>
    </row>
    <row r="1419" s="76" customFormat="1" ht="50" customHeight="1" spans="1:29">
      <c r="A1419" s="76" t="s">
        <v>2880</v>
      </c>
      <c r="B1419" s="95"/>
      <c r="C1419" s="94" t="s">
        <v>30</v>
      </c>
      <c r="D1419" s="94" t="s">
        <v>2876</v>
      </c>
      <c r="E1419" s="94" t="s">
        <v>2877</v>
      </c>
      <c r="F1419" s="94" t="s">
        <v>40</v>
      </c>
      <c r="G1419" s="94"/>
      <c r="H1419" s="94">
        <f>STOCK[[#This Row],[Precio Final]]</f>
        <v>35</v>
      </c>
      <c r="I1419" s="98">
        <f>STOCK[[#This Row],[Precio Venta Ideal (x1.5)]]</f>
        <v>22.605</v>
      </c>
      <c r="J1419" s="96">
        <v>2</v>
      </c>
      <c r="K1419" s="96">
        <f>SUMIFS(VENTAS[Cantidad],VENTAS[Código del producto Vendido],STOCK[[#This Row],[Code]])</f>
        <v>0</v>
      </c>
      <c r="L1419" s="96">
        <f>STOCK[[#This Row],[Entradas]]-STOCK[[#This Row],[Salidas]]</f>
        <v>2</v>
      </c>
      <c r="M1419" s="94">
        <f>STOCK[[#This Row],[Precio Final]]*10%</f>
        <v>3.5</v>
      </c>
      <c r="N1419" s="94">
        <v>0</v>
      </c>
      <c r="O1419" s="94">
        <v>0</v>
      </c>
      <c r="P1419" s="94">
        <v>9.92</v>
      </c>
      <c r="Q1419" s="96">
        <v>0</v>
      </c>
      <c r="R1419" s="94">
        <v>0</v>
      </c>
      <c r="S1419" s="94">
        <v>1.65</v>
      </c>
      <c r="T1419" s="94">
        <f>STOCK[[#This Row],[Costo Unitario (USD)]]+STOCK[[#This Row],[Costo Envío (USD)]]+STOCK[[#This Row],[Comisión 10%]]</f>
        <v>15.07</v>
      </c>
      <c r="U1419" s="76">
        <f>STOCK[[#This Row],[Costo total]]*1.5</f>
        <v>22.605</v>
      </c>
      <c r="V1419" s="94">
        <v>35</v>
      </c>
      <c r="W1419" s="94">
        <f>STOCK[[#This Row],[Precio Final]]-STOCK[[#This Row],[Costo total]]</f>
        <v>19.93</v>
      </c>
      <c r="X1419" s="94">
        <f>STOCK[[#This Row],[Ganancia Unitaria]]*STOCK[[#This Row],[Salidas]]</f>
        <v>0</v>
      </c>
      <c r="Y1419" s="94"/>
      <c r="Z1419" s="94"/>
      <c r="AA1419" s="94">
        <f>STOCK[[#This Row],[Costo total]]*STOCK[[#This Row],[Entradas]]</f>
        <v>30.14</v>
      </c>
      <c r="AB1419" s="94">
        <f>STOCK[[#This Row],[Stock Actual]]*STOCK[[#This Row],[Costo total]]</f>
        <v>30.14</v>
      </c>
      <c r="AC1419" s="94"/>
    </row>
    <row r="1420" s="76" customFormat="1" ht="50" customHeight="1" spans="1:29">
      <c r="A1420" s="76" t="s">
        <v>2881</v>
      </c>
      <c r="B1420" s="95"/>
      <c r="C1420" s="94" t="s">
        <v>30</v>
      </c>
      <c r="D1420" s="94" t="s">
        <v>2626</v>
      </c>
      <c r="E1420" s="94" t="s">
        <v>2882</v>
      </c>
      <c r="F1420" s="94" t="s">
        <v>60</v>
      </c>
      <c r="G1420" s="94"/>
      <c r="H1420" s="94">
        <f>STOCK[[#This Row],[Precio Final]]</f>
        <v>35</v>
      </c>
      <c r="I1420" s="98">
        <f>STOCK[[#This Row],[Precio Venta Ideal (x1.5)]]</f>
        <v>25.695</v>
      </c>
      <c r="J1420" s="96">
        <v>1</v>
      </c>
      <c r="K1420" s="96">
        <f>SUMIFS(VENTAS[Cantidad],VENTAS[Código del producto Vendido],STOCK[[#This Row],[Code]])</f>
        <v>0</v>
      </c>
      <c r="L1420" s="96">
        <f>STOCK[[#This Row],[Entradas]]-STOCK[[#This Row],[Salidas]]</f>
        <v>1</v>
      </c>
      <c r="M1420" s="94">
        <f>STOCK[[#This Row],[Precio Final]]*10%</f>
        <v>3.5</v>
      </c>
      <c r="N1420" s="94">
        <v>0</v>
      </c>
      <c r="O1420" s="94">
        <v>0</v>
      </c>
      <c r="P1420" s="94">
        <v>11.98</v>
      </c>
      <c r="Q1420" s="96">
        <v>0</v>
      </c>
      <c r="R1420" s="94">
        <v>0</v>
      </c>
      <c r="S1420" s="94">
        <v>1.65</v>
      </c>
      <c r="T1420" s="94">
        <f>STOCK[[#This Row],[Costo Unitario (USD)]]+STOCK[[#This Row],[Costo Envío (USD)]]+STOCK[[#This Row],[Comisión 10%]]</f>
        <v>17.13</v>
      </c>
      <c r="U1420" s="76">
        <f>STOCK[[#This Row],[Costo total]]*1.5</f>
        <v>25.695</v>
      </c>
      <c r="V1420" s="94">
        <v>35</v>
      </c>
      <c r="W1420" s="94">
        <f>STOCK[[#This Row],[Precio Final]]-STOCK[[#This Row],[Costo total]]</f>
        <v>17.87</v>
      </c>
      <c r="X1420" s="94">
        <f>STOCK[[#This Row],[Ganancia Unitaria]]*STOCK[[#This Row],[Salidas]]</f>
        <v>0</v>
      </c>
      <c r="Y1420" s="94"/>
      <c r="Z1420" s="94"/>
      <c r="AA1420" s="94">
        <f>STOCK[[#This Row],[Costo total]]*STOCK[[#This Row],[Entradas]]</f>
        <v>17.13</v>
      </c>
      <c r="AB1420" s="94">
        <f>STOCK[[#This Row],[Stock Actual]]*STOCK[[#This Row],[Costo total]]</f>
        <v>17.13</v>
      </c>
      <c r="AC1420" s="94"/>
    </row>
    <row r="1421" s="76" customFormat="1" ht="50" customHeight="1" spans="1:29">
      <c r="A1421" s="76" t="s">
        <v>2883</v>
      </c>
      <c r="B1421" s="95"/>
      <c r="C1421" s="94" t="s">
        <v>30</v>
      </c>
      <c r="D1421" s="94" t="s">
        <v>2626</v>
      </c>
      <c r="E1421" s="94" t="s">
        <v>2882</v>
      </c>
      <c r="F1421" s="94" t="s">
        <v>47</v>
      </c>
      <c r="G1421" s="94"/>
      <c r="H1421" s="94">
        <f>STOCK[[#This Row],[Precio Final]]</f>
        <v>35</v>
      </c>
      <c r="I1421" s="98">
        <f>STOCK[[#This Row],[Precio Venta Ideal (x1.5)]]</f>
        <v>25.695</v>
      </c>
      <c r="J1421" s="96">
        <v>1</v>
      </c>
      <c r="K1421" s="96">
        <f>SUMIFS(VENTAS[Cantidad],VENTAS[Código del producto Vendido],STOCK[[#This Row],[Code]])</f>
        <v>0</v>
      </c>
      <c r="L1421" s="96">
        <f>STOCK[[#This Row],[Entradas]]-STOCK[[#This Row],[Salidas]]</f>
        <v>1</v>
      </c>
      <c r="M1421" s="94">
        <f>STOCK[[#This Row],[Precio Final]]*10%</f>
        <v>3.5</v>
      </c>
      <c r="N1421" s="94">
        <v>0</v>
      </c>
      <c r="O1421" s="94">
        <v>0</v>
      </c>
      <c r="P1421" s="94">
        <v>11.98</v>
      </c>
      <c r="Q1421" s="96">
        <v>0</v>
      </c>
      <c r="R1421" s="94">
        <v>0</v>
      </c>
      <c r="S1421" s="94">
        <v>1.65</v>
      </c>
      <c r="T1421" s="94">
        <f>STOCK[[#This Row],[Costo Unitario (USD)]]+STOCK[[#This Row],[Costo Envío (USD)]]+STOCK[[#This Row],[Comisión 10%]]</f>
        <v>17.13</v>
      </c>
      <c r="U1421" s="76">
        <f>STOCK[[#This Row],[Costo total]]*1.5</f>
        <v>25.695</v>
      </c>
      <c r="V1421" s="94">
        <v>35</v>
      </c>
      <c r="W1421" s="94">
        <f>STOCK[[#This Row],[Precio Final]]-STOCK[[#This Row],[Costo total]]</f>
        <v>17.87</v>
      </c>
      <c r="X1421" s="94">
        <f>STOCK[[#This Row],[Ganancia Unitaria]]*STOCK[[#This Row],[Salidas]]</f>
        <v>0</v>
      </c>
      <c r="Y1421" s="94"/>
      <c r="Z1421" s="94"/>
      <c r="AA1421" s="94">
        <f>STOCK[[#This Row],[Costo total]]*STOCK[[#This Row],[Entradas]]</f>
        <v>17.13</v>
      </c>
      <c r="AB1421" s="94">
        <f>STOCK[[#This Row],[Stock Actual]]*STOCK[[#This Row],[Costo total]]</f>
        <v>17.13</v>
      </c>
      <c r="AC1421" s="94"/>
    </row>
    <row r="1422" s="76" customFormat="1" ht="50" customHeight="1" spans="1:29">
      <c r="A1422" s="76" t="s">
        <v>2884</v>
      </c>
      <c r="B1422" s="95"/>
      <c r="C1422" s="94" t="s">
        <v>30</v>
      </c>
      <c r="D1422" s="94" t="s">
        <v>2626</v>
      </c>
      <c r="E1422" s="94" t="s">
        <v>2882</v>
      </c>
      <c r="F1422" s="94" t="s">
        <v>40</v>
      </c>
      <c r="G1422" s="94"/>
      <c r="H1422" s="94">
        <f>STOCK[[#This Row],[Precio Final]]</f>
        <v>35</v>
      </c>
      <c r="I1422" s="98">
        <f>STOCK[[#This Row],[Precio Venta Ideal (x1.5)]]</f>
        <v>25.695</v>
      </c>
      <c r="J1422" s="96">
        <v>1</v>
      </c>
      <c r="K1422" s="96">
        <f>SUMIFS(VENTAS[Cantidad],VENTAS[Código del producto Vendido],STOCK[[#This Row],[Code]])</f>
        <v>0</v>
      </c>
      <c r="L1422" s="96">
        <f>STOCK[[#This Row],[Entradas]]-STOCK[[#This Row],[Salidas]]</f>
        <v>1</v>
      </c>
      <c r="M1422" s="94">
        <f>STOCK[[#This Row],[Precio Final]]*10%</f>
        <v>3.5</v>
      </c>
      <c r="N1422" s="94">
        <v>0</v>
      </c>
      <c r="O1422" s="94">
        <v>0</v>
      </c>
      <c r="P1422" s="94">
        <v>11.98</v>
      </c>
      <c r="Q1422" s="96">
        <v>0</v>
      </c>
      <c r="R1422" s="94">
        <v>0</v>
      </c>
      <c r="S1422" s="94">
        <v>1.65</v>
      </c>
      <c r="T1422" s="94">
        <f>STOCK[[#This Row],[Costo Unitario (USD)]]+STOCK[[#This Row],[Costo Envío (USD)]]+STOCK[[#This Row],[Comisión 10%]]</f>
        <v>17.13</v>
      </c>
      <c r="U1422" s="76">
        <f>STOCK[[#This Row],[Costo total]]*1.5</f>
        <v>25.695</v>
      </c>
      <c r="V1422" s="94">
        <v>35</v>
      </c>
      <c r="W1422" s="94">
        <f>STOCK[[#This Row],[Precio Final]]-STOCK[[#This Row],[Costo total]]</f>
        <v>17.87</v>
      </c>
      <c r="X1422" s="94">
        <f>STOCK[[#This Row],[Ganancia Unitaria]]*STOCK[[#This Row],[Salidas]]</f>
        <v>0</v>
      </c>
      <c r="Y1422" s="94"/>
      <c r="Z1422" s="94"/>
      <c r="AA1422" s="94">
        <f>STOCK[[#This Row],[Costo total]]*STOCK[[#This Row],[Entradas]]</f>
        <v>17.13</v>
      </c>
      <c r="AB1422" s="94">
        <f>STOCK[[#This Row],[Stock Actual]]*STOCK[[#This Row],[Costo total]]</f>
        <v>17.13</v>
      </c>
      <c r="AC1422" s="94"/>
    </row>
    <row r="1423" s="76" customFormat="1" ht="50" customHeight="1" spans="1:29">
      <c r="A1423" s="76" t="s">
        <v>2885</v>
      </c>
      <c r="B1423" s="95"/>
      <c r="C1423" s="94" t="s">
        <v>30</v>
      </c>
      <c r="D1423" s="94" t="s">
        <v>2626</v>
      </c>
      <c r="E1423" s="94" t="s">
        <v>2886</v>
      </c>
      <c r="F1423" s="94" t="s">
        <v>60</v>
      </c>
      <c r="G1423" s="94"/>
      <c r="H1423" s="94">
        <f>STOCK[[#This Row],[Precio Final]]</f>
        <v>20</v>
      </c>
      <c r="I1423" s="98">
        <f>STOCK[[#This Row],[Precio Venta Ideal (x1.5)]]</f>
        <v>19.215</v>
      </c>
      <c r="J1423" s="96">
        <v>1</v>
      </c>
      <c r="K1423" s="96">
        <f>SUMIFS(VENTAS[Cantidad],VENTAS[Código del producto Vendido],STOCK[[#This Row],[Code]])</f>
        <v>0</v>
      </c>
      <c r="L1423" s="96">
        <f>STOCK[[#This Row],[Entradas]]-STOCK[[#This Row],[Salidas]]</f>
        <v>1</v>
      </c>
      <c r="M1423" s="94">
        <f>STOCK[[#This Row],[Precio Final]]*10%</f>
        <v>2</v>
      </c>
      <c r="N1423" s="94">
        <v>0</v>
      </c>
      <c r="O1423" s="94">
        <v>0</v>
      </c>
      <c r="P1423" s="94">
        <v>9.16</v>
      </c>
      <c r="Q1423" s="96">
        <v>0</v>
      </c>
      <c r="R1423" s="94">
        <v>0</v>
      </c>
      <c r="S1423" s="94">
        <v>1.65</v>
      </c>
      <c r="T1423" s="94">
        <f>STOCK[[#This Row],[Costo Unitario (USD)]]+STOCK[[#This Row],[Costo Envío (USD)]]+STOCK[[#This Row],[Comisión 10%]]</f>
        <v>12.81</v>
      </c>
      <c r="U1423" s="76">
        <f>STOCK[[#This Row],[Costo total]]*1.5</f>
        <v>19.215</v>
      </c>
      <c r="V1423" s="94">
        <v>20</v>
      </c>
      <c r="W1423" s="94">
        <f>STOCK[[#This Row],[Precio Final]]-STOCK[[#This Row],[Costo total]]</f>
        <v>7.19</v>
      </c>
      <c r="X1423" s="94">
        <f>STOCK[[#This Row],[Ganancia Unitaria]]*STOCK[[#This Row],[Salidas]]</f>
        <v>0</v>
      </c>
      <c r="Y1423" s="94"/>
      <c r="Z1423" s="94"/>
      <c r="AA1423" s="94">
        <f>STOCK[[#This Row],[Costo total]]*STOCK[[#This Row],[Entradas]]</f>
        <v>12.81</v>
      </c>
      <c r="AB1423" s="94">
        <f>STOCK[[#This Row],[Stock Actual]]*STOCK[[#This Row],[Costo total]]</f>
        <v>12.81</v>
      </c>
      <c r="AC1423" s="94"/>
    </row>
    <row r="1424" s="76" customFormat="1" ht="50" customHeight="1" spans="1:29">
      <c r="A1424" s="76" t="s">
        <v>2887</v>
      </c>
      <c r="B1424" s="95"/>
      <c r="C1424" s="94" t="s">
        <v>30</v>
      </c>
      <c r="D1424" s="94" t="s">
        <v>2626</v>
      </c>
      <c r="E1424" s="94" t="s">
        <v>2886</v>
      </c>
      <c r="F1424" s="94" t="s">
        <v>47</v>
      </c>
      <c r="G1424" s="94"/>
      <c r="H1424" s="94">
        <f>STOCK[[#This Row],[Precio Final]]</f>
        <v>20</v>
      </c>
      <c r="I1424" s="98">
        <f>STOCK[[#This Row],[Precio Venta Ideal (x1.5)]]</f>
        <v>19.215</v>
      </c>
      <c r="J1424" s="96">
        <v>1</v>
      </c>
      <c r="K1424" s="96">
        <f>SUMIFS(VENTAS[Cantidad],VENTAS[Código del producto Vendido],STOCK[[#This Row],[Code]])</f>
        <v>0</v>
      </c>
      <c r="L1424" s="96">
        <f>STOCK[[#This Row],[Entradas]]-STOCK[[#This Row],[Salidas]]</f>
        <v>1</v>
      </c>
      <c r="M1424" s="94">
        <f>STOCK[[#This Row],[Precio Final]]*10%</f>
        <v>2</v>
      </c>
      <c r="N1424" s="94">
        <v>0</v>
      </c>
      <c r="O1424" s="94">
        <v>0</v>
      </c>
      <c r="P1424" s="94">
        <v>9.16</v>
      </c>
      <c r="Q1424" s="96">
        <v>0</v>
      </c>
      <c r="R1424" s="94">
        <v>0</v>
      </c>
      <c r="S1424" s="94">
        <v>1.65</v>
      </c>
      <c r="T1424" s="94">
        <f>STOCK[[#This Row],[Costo Unitario (USD)]]+STOCK[[#This Row],[Costo Envío (USD)]]+STOCK[[#This Row],[Comisión 10%]]</f>
        <v>12.81</v>
      </c>
      <c r="U1424" s="76">
        <f>STOCK[[#This Row],[Costo total]]*1.5</f>
        <v>19.215</v>
      </c>
      <c r="V1424" s="94">
        <v>20</v>
      </c>
      <c r="W1424" s="94">
        <f>STOCK[[#This Row],[Precio Final]]-STOCK[[#This Row],[Costo total]]</f>
        <v>7.19</v>
      </c>
      <c r="X1424" s="94">
        <f>STOCK[[#This Row],[Ganancia Unitaria]]*STOCK[[#This Row],[Salidas]]</f>
        <v>0</v>
      </c>
      <c r="Y1424" s="94"/>
      <c r="Z1424" s="94"/>
      <c r="AA1424" s="94">
        <f>STOCK[[#This Row],[Costo total]]*STOCK[[#This Row],[Entradas]]</f>
        <v>12.81</v>
      </c>
      <c r="AB1424" s="94">
        <f>STOCK[[#This Row],[Stock Actual]]*STOCK[[#This Row],[Costo total]]</f>
        <v>12.81</v>
      </c>
      <c r="AC1424" s="94"/>
    </row>
    <row r="1425" s="76" customFormat="1" ht="50" customHeight="1" spans="1:29">
      <c r="A1425" s="76" t="s">
        <v>2888</v>
      </c>
      <c r="B1425" s="95"/>
      <c r="C1425" s="94" t="s">
        <v>30</v>
      </c>
      <c r="D1425" s="94" t="s">
        <v>2626</v>
      </c>
      <c r="E1425" s="94" t="s">
        <v>2889</v>
      </c>
      <c r="F1425" s="94" t="s">
        <v>38</v>
      </c>
      <c r="G1425" s="94"/>
      <c r="H1425" s="94">
        <f>STOCK[[#This Row],[Precio Final]]</f>
        <v>20</v>
      </c>
      <c r="I1425" s="98">
        <f>STOCK[[#This Row],[Precio Venta Ideal (x1.5)]]</f>
        <v>16.905</v>
      </c>
      <c r="J1425" s="96">
        <v>1</v>
      </c>
      <c r="K1425" s="96">
        <f>SUMIFS(VENTAS[Cantidad],VENTAS[Código del producto Vendido],STOCK[[#This Row],[Code]])</f>
        <v>0</v>
      </c>
      <c r="L1425" s="96">
        <f>STOCK[[#This Row],[Entradas]]-STOCK[[#This Row],[Salidas]]</f>
        <v>1</v>
      </c>
      <c r="M1425" s="94">
        <f>STOCK[[#This Row],[Precio Final]]*10%</f>
        <v>2</v>
      </c>
      <c r="N1425" s="94">
        <v>0</v>
      </c>
      <c r="O1425" s="94">
        <v>0</v>
      </c>
      <c r="P1425" s="94">
        <v>7.62</v>
      </c>
      <c r="Q1425" s="96">
        <v>0</v>
      </c>
      <c r="R1425" s="94">
        <v>0</v>
      </c>
      <c r="S1425" s="94">
        <v>1.65</v>
      </c>
      <c r="T1425" s="94">
        <f>STOCK[[#This Row],[Costo Unitario (USD)]]+STOCK[[#This Row],[Costo Envío (USD)]]+STOCK[[#This Row],[Comisión 10%]]</f>
        <v>11.27</v>
      </c>
      <c r="U1425" s="76">
        <f>STOCK[[#This Row],[Costo total]]*1.5</f>
        <v>16.905</v>
      </c>
      <c r="V1425" s="94">
        <v>20</v>
      </c>
      <c r="W1425" s="94">
        <f>STOCK[[#This Row],[Precio Final]]-STOCK[[#This Row],[Costo total]]</f>
        <v>8.73</v>
      </c>
      <c r="X1425" s="94">
        <f>STOCK[[#This Row],[Ganancia Unitaria]]*STOCK[[#This Row],[Salidas]]</f>
        <v>0</v>
      </c>
      <c r="Y1425" s="94"/>
      <c r="Z1425" s="94"/>
      <c r="AA1425" s="94">
        <f>STOCK[[#This Row],[Costo total]]*STOCK[[#This Row],[Entradas]]</f>
        <v>11.27</v>
      </c>
      <c r="AB1425" s="94">
        <f>STOCK[[#This Row],[Stock Actual]]*STOCK[[#This Row],[Costo total]]</f>
        <v>11.27</v>
      </c>
      <c r="AC1425" s="94"/>
    </row>
    <row r="1426" s="76" customFormat="1" ht="50" customHeight="1" spans="1:29">
      <c r="A1426" s="76" t="s">
        <v>2890</v>
      </c>
      <c r="B1426" s="95"/>
      <c r="C1426" s="94" t="s">
        <v>30</v>
      </c>
      <c r="D1426" s="94" t="s">
        <v>2626</v>
      </c>
      <c r="E1426" s="94" t="s">
        <v>2889</v>
      </c>
      <c r="F1426" s="94" t="s">
        <v>60</v>
      </c>
      <c r="G1426" s="94"/>
      <c r="H1426" s="94">
        <f>STOCK[[#This Row],[Precio Final]]</f>
        <v>20</v>
      </c>
      <c r="I1426" s="98">
        <f>STOCK[[#This Row],[Precio Venta Ideal (x1.5)]]</f>
        <v>16.905</v>
      </c>
      <c r="J1426" s="96">
        <v>1</v>
      </c>
      <c r="K1426" s="96">
        <f>SUMIFS(VENTAS[Cantidad],VENTAS[Código del producto Vendido],STOCK[[#This Row],[Code]])</f>
        <v>0</v>
      </c>
      <c r="L1426" s="96">
        <f>STOCK[[#This Row],[Entradas]]-STOCK[[#This Row],[Salidas]]</f>
        <v>1</v>
      </c>
      <c r="M1426" s="94">
        <f>STOCK[[#This Row],[Precio Final]]*10%</f>
        <v>2</v>
      </c>
      <c r="N1426" s="94">
        <v>0</v>
      </c>
      <c r="O1426" s="94">
        <v>0</v>
      </c>
      <c r="P1426" s="94">
        <v>7.62</v>
      </c>
      <c r="Q1426" s="96">
        <v>0</v>
      </c>
      <c r="R1426" s="94">
        <v>0</v>
      </c>
      <c r="S1426" s="94">
        <v>1.65</v>
      </c>
      <c r="T1426" s="94">
        <f>STOCK[[#This Row],[Costo Unitario (USD)]]+STOCK[[#This Row],[Costo Envío (USD)]]+STOCK[[#This Row],[Comisión 10%]]</f>
        <v>11.27</v>
      </c>
      <c r="U1426" s="76">
        <f>STOCK[[#This Row],[Costo total]]*1.5</f>
        <v>16.905</v>
      </c>
      <c r="V1426" s="94">
        <v>20</v>
      </c>
      <c r="W1426" s="94">
        <f>STOCK[[#This Row],[Precio Final]]-STOCK[[#This Row],[Costo total]]</f>
        <v>8.73</v>
      </c>
      <c r="X1426" s="94">
        <f>STOCK[[#This Row],[Ganancia Unitaria]]*STOCK[[#This Row],[Salidas]]</f>
        <v>0</v>
      </c>
      <c r="Y1426" s="94"/>
      <c r="Z1426" s="94"/>
      <c r="AA1426" s="94">
        <f>STOCK[[#This Row],[Costo total]]*STOCK[[#This Row],[Entradas]]</f>
        <v>11.27</v>
      </c>
      <c r="AB1426" s="94">
        <f>STOCK[[#This Row],[Stock Actual]]*STOCK[[#This Row],[Costo total]]</f>
        <v>11.27</v>
      </c>
      <c r="AC1426" s="94"/>
    </row>
    <row r="1427" s="76" customFormat="1" ht="50" customHeight="1" spans="1:29">
      <c r="A1427" s="76" t="s">
        <v>2891</v>
      </c>
      <c r="B1427" s="95"/>
      <c r="C1427" s="94" t="s">
        <v>30</v>
      </c>
      <c r="D1427" s="94" t="s">
        <v>2626</v>
      </c>
      <c r="E1427" s="94" t="s">
        <v>2889</v>
      </c>
      <c r="F1427" s="94" t="s">
        <v>47</v>
      </c>
      <c r="G1427" s="94"/>
      <c r="H1427" s="94">
        <f>STOCK[[#This Row],[Precio Final]]</f>
        <v>20</v>
      </c>
      <c r="I1427" s="98">
        <f>STOCK[[#This Row],[Precio Venta Ideal (x1.5)]]</f>
        <v>16.905</v>
      </c>
      <c r="J1427" s="96">
        <v>1</v>
      </c>
      <c r="K1427" s="96">
        <f>SUMIFS(VENTAS[Cantidad],VENTAS[Código del producto Vendido],STOCK[[#This Row],[Code]])</f>
        <v>0</v>
      </c>
      <c r="L1427" s="96">
        <f>STOCK[[#This Row],[Entradas]]-STOCK[[#This Row],[Salidas]]</f>
        <v>1</v>
      </c>
      <c r="M1427" s="94">
        <f>STOCK[[#This Row],[Precio Final]]*10%</f>
        <v>2</v>
      </c>
      <c r="N1427" s="94">
        <v>0</v>
      </c>
      <c r="O1427" s="94">
        <v>0</v>
      </c>
      <c r="P1427" s="94">
        <v>7.62</v>
      </c>
      <c r="Q1427" s="96">
        <v>0</v>
      </c>
      <c r="R1427" s="94">
        <v>0</v>
      </c>
      <c r="S1427" s="94">
        <v>1.65</v>
      </c>
      <c r="T1427" s="94">
        <f>STOCK[[#This Row],[Costo Unitario (USD)]]+STOCK[[#This Row],[Costo Envío (USD)]]+STOCK[[#This Row],[Comisión 10%]]</f>
        <v>11.27</v>
      </c>
      <c r="U1427" s="76">
        <f>STOCK[[#This Row],[Costo total]]*1.5</f>
        <v>16.905</v>
      </c>
      <c r="V1427" s="94">
        <v>20</v>
      </c>
      <c r="W1427" s="94">
        <f>STOCK[[#This Row],[Precio Final]]-STOCK[[#This Row],[Costo total]]</f>
        <v>8.73</v>
      </c>
      <c r="X1427" s="94">
        <f>STOCK[[#This Row],[Ganancia Unitaria]]*STOCK[[#This Row],[Salidas]]</f>
        <v>0</v>
      </c>
      <c r="Y1427" s="94"/>
      <c r="Z1427" s="94"/>
      <c r="AA1427" s="94">
        <f>STOCK[[#This Row],[Costo total]]*STOCK[[#This Row],[Entradas]]</f>
        <v>11.27</v>
      </c>
      <c r="AB1427" s="94">
        <f>STOCK[[#This Row],[Stock Actual]]*STOCK[[#This Row],[Costo total]]</f>
        <v>11.27</v>
      </c>
      <c r="AC1427" s="94"/>
    </row>
    <row r="1428" s="76" customFormat="1" ht="50" customHeight="1" spans="1:29">
      <c r="A1428" s="76" t="s">
        <v>2892</v>
      </c>
      <c r="B1428" s="95"/>
      <c r="C1428" s="94" t="s">
        <v>30</v>
      </c>
      <c r="D1428" s="94" t="s">
        <v>2626</v>
      </c>
      <c r="E1428" s="94" t="s">
        <v>2889</v>
      </c>
      <c r="F1428" s="94" t="s">
        <v>44</v>
      </c>
      <c r="G1428" s="94"/>
      <c r="H1428" s="94">
        <f>STOCK[[#This Row],[Precio Final]]</f>
        <v>20</v>
      </c>
      <c r="I1428" s="98">
        <f>STOCK[[#This Row],[Precio Venta Ideal (x1.5)]]</f>
        <v>16.905</v>
      </c>
      <c r="J1428" s="96">
        <v>1</v>
      </c>
      <c r="K1428" s="96">
        <f>SUMIFS(VENTAS[Cantidad],VENTAS[Código del producto Vendido],STOCK[[#This Row],[Code]])</f>
        <v>0</v>
      </c>
      <c r="L1428" s="96">
        <f>STOCK[[#This Row],[Entradas]]-STOCK[[#This Row],[Salidas]]</f>
        <v>1</v>
      </c>
      <c r="M1428" s="94">
        <f>STOCK[[#This Row],[Precio Final]]*10%</f>
        <v>2</v>
      </c>
      <c r="N1428" s="94">
        <v>0</v>
      </c>
      <c r="O1428" s="94">
        <v>0</v>
      </c>
      <c r="P1428" s="94">
        <v>7.62</v>
      </c>
      <c r="Q1428" s="96">
        <v>0</v>
      </c>
      <c r="R1428" s="94">
        <v>0</v>
      </c>
      <c r="S1428" s="94">
        <v>1.65</v>
      </c>
      <c r="T1428" s="94">
        <f>STOCK[[#This Row],[Costo Unitario (USD)]]+STOCK[[#This Row],[Costo Envío (USD)]]+STOCK[[#This Row],[Comisión 10%]]</f>
        <v>11.27</v>
      </c>
      <c r="U1428" s="76">
        <f>STOCK[[#This Row],[Costo total]]*1.5</f>
        <v>16.905</v>
      </c>
      <c r="V1428" s="94">
        <v>20</v>
      </c>
      <c r="W1428" s="94">
        <f>STOCK[[#This Row],[Precio Final]]-STOCK[[#This Row],[Costo total]]</f>
        <v>8.73</v>
      </c>
      <c r="X1428" s="94">
        <f>STOCK[[#This Row],[Ganancia Unitaria]]*STOCK[[#This Row],[Salidas]]</f>
        <v>0</v>
      </c>
      <c r="Y1428" s="94"/>
      <c r="Z1428" s="94"/>
      <c r="AA1428" s="94">
        <f>STOCK[[#This Row],[Costo total]]*STOCK[[#This Row],[Entradas]]</f>
        <v>11.27</v>
      </c>
      <c r="AB1428" s="94">
        <f>STOCK[[#This Row],[Stock Actual]]*STOCK[[#This Row],[Costo total]]</f>
        <v>11.27</v>
      </c>
      <c r="AC1428" s="94"/>
    </row>
    <row r="1429" s="76" customFormat="1" ht="50" customHeight="1" spans="1:29">
      <c r="A1429" s="76" t="s">
        <v>2893</v>
      </c>
      <c r="B1429" s="95"/>
      <c r="C1429" s="94" t="s">
        <v>30</v>
      </c>
      <c r="D1429" s="94" t="s">
        <v>2894</v>
      </c>
      <c r="E1429" s="94" t="s">
        <v>2895</v>
      </c>
      <c r="F1429" s="94" t="s">
        <v>38</v>
      </c>
      <c r="G1429" s="94"/>
      <c r="H1429" s="94">
        <f>STOCK[[#This Row],[Precio Final]]</f>
        <v>15</v>
      </c>
      <c r="I1429" s="98">
        <f>STOCK[[#This Row],[Precio Venta Ideal (x1.5)]]</f>
        <v>11.82</v>
      </c>
      <c r="J1429" s="96">
        <v>2</v>
      </c>
      <c r="K1429" s="96">
        <f>SUMIFS(VENTAS[Cantidad],VENTAS[Código del producto Vendido],STOCK[[#This Row],[Code]])</f>
        <v>1</v>
      </c>
      <c r="L1429" s="96">
        <f>STOCK[[#This Row],[Entradas]]-STOCK[[#This Row],[Salidas]]</f>
        <v>1</v>
      </c>
      <c r="M1429" s="94">
        <f>STOCK[[#This Row],[Precio Final]]*10%</f>
        <v>1.5</v>
      </c>
      <c r="N1429" s="94">
        <v>0</v>
      </c>
      <c r="O1429" s="94">
        <v>0</v>
      </c>
      <c r="P1429" s="94">
        <v>4.73</v>
      </c>
      <c r="Q1429" s="96">
        <v>0</v>
      </c>
      <c r="R1429" s="94">
        <v>0</v>
      </c>
      <c r="S1429" s="94">
        <v>1.65</v>
      </c>
      <c r="T1429" s="94">
        <f>STOCK[[#This Row],[Costo Unitario (USD)]]+STOCK[[#This Row],[Costo Envío (USD)]]+STOCK[[#This Row],[Comisión 10%]]</f>
        <v>7.88</v>
      </c>
      <c r="U1429" s="76">
        <f>STOCK[[#This Row],[Costo total]]*1.5</f>
        <v>11.82</v>
      </c>
      <c r="V1429" s="94">
        <v>15</v>
      </c>
      <c r="W1429" s="94">
        <f>STOCK[[#This Row],[Precio Final]]-STOCK[[#This Row],[Costo total]]</f>
        <v>7.12</v>
      </c>
      <c r="X1429" s="94">
        <f>STOCK[[#This Row],[Ganancia Unitaria]]*STOCK[[#This Row],[Salidas]]</f>
        <v>7.12</v>
      </c>
      <c r="Y1429" s="94"/>
      <c r="Z1429" s="94"/>
      <c r="AA1429" s="94">
        <f>STOCK[[#This Row],[Costo total]]*STOCK[[#This Row],[Entradas]]</f>
        <v>15.76</v>
      </c>
      <c r="AB1429" s="94">
        <f>STOCK[[#This Row],[Stock Actual]]*STOCK[[#This Row],[Costo total]]</f>
        <v>7.88</v>
      </c>
      <c r="AC1429" s="94"/>
    </row>
    <row r="1430" s="76" customFormat="1" ht="50" customHeight="1" spans="1:29">
      <c r="A1430" s="76" t="s">
        <v>2896</v>
      </c>
      <c r="B1430" s="95"/>
      <c r="C1430" s="94" t="s">
        <v>30</v>
      </c>
      <c r="D1430" s="94" t="s">
        <v>2894</v>
      </c>
      <c r="E1430" s="94" t="s">
        <v>2895</v>
      </c>
      <c r="F1430" s="94" t="s">
        <v>60</v>
      </c>
      <c r="G1430" s="94"/>
      <c r="H1430" s="94">
        <f>STOCK[[#This Row],[Precio Final]]</f>
        <v>15</v>
      </c>
      <c r="I1430" s="98">
        <f>STOCK[[#This Row],[Precio Venta Ideal (x1.5)]]</f>
        <v>11.82</v>
      </c>
      <c r="J1430" s="96">
        <v>3</v>
      </c>
      <c r="K1430" s="96">
        <f>SUMIFS(VENTAS[Cantidad],VENTAS[Código del producto Vendido],STOCK[[#This Row],[Code]])</f>
        <v>0</v>
      </c>
      <c r="L1430" s="96">
        <f>STOCK[[#This Row],[Entradas]]-STOCK[[#This Row],[Salidas]]</f>
        <v>3</v>
      </c>
      <c r="M1430" s="94">
        <f>STOCK[[#This Row],[Precio Final]]*10%</f>
        <v>1.5</v>
      </c>
      <c r="N1430" s="94">
        <v>0</v>
      </c>
      <c r="O1430" s="94">
        <v>0</v>
      </c>
      <c r="P1430" s="94">
        <v>4.73</v>
      </c>
      <c r="Q1430" s="96">
        <v>0</v>
      </c>
      <c r="R1430" s="94">
        <v>0</v>
      </c>
      <c r="S1430" s="94">
        <v>1.65</v>
      </c>
      <c r="T1430" s="94">
        <f>STOCK[[#This Row],[Costo Unitario (USD)]]+STOCK[[#This Row],[Costo Envío (USD)]]+STOCK[[#This Row],[Comisión 10%]]</f>
        <v>7.88</v>
      </c>
      <c r="U1430" s="76">
        <f>STOCK[[#This Row],[Costo total]]*1.5</f>
        <v>11.82</v>
      </c>
      <c r="V1430" s="94">
        <v>15</v>
      </c>
      <c r="W1430" s="94">
        <f>STOCK[[#This Row],[Precio Final]]-STOCK[[#This Row],[Costo total]]</f>
        <v>7.12</v>
      </c>
      <c r="X1430" s="94">
        <f>STOCK[[#This Row],[Ganancia Unitaria]]*STOCK[[#This Row],[Salidas]]</f>
        <v>0</v>
      </c>
      <c r="Y1430" s="94"/>
      <c r="Z1430" s="94"/>
      <c r="AA1430" s="94">
        <f>STOCK[[#This Row],[Costo total]]*STOCK[[#This Row],[Entradas]]</f>
        <v>23.64</v>
      </c>
      <c r="AB1430" s="94">
        <f>STOCK[[#This Row],[Stock Actual]]*STOCK[[#This Row],[Costo total]]</f>
        <v>23.64</v>
      </c>
      <c r="AC1430" s="94"/>
    </row>
    <row r="1431" s="76" customFormat="1" ht="50" customHeight="1" spans="1:29">
      <c r="A1431" s="76" t="s">
        <v>2897</v>
      </c>
      <c r="B1431" s="95"/>
      <c r="C1431" s="94" t="s">
        <v>30</v>
      </c>
      <c r="D1431" s="94" t="s">
        <v>2894</v>
      </c>
      <c r="E1431" s="94" t="s">
        <v>2895</v>
      </c>
      <c r="F1431" s="94" t="s">
        <v>47</v>
      </c>
      <c r="G1431" s="94"/>
      <c r="H1431" s="94">
        <f>STOCK[[#This Row],[Precio Final]]</f>
        <v>15</v>
      </c>
      <c r="I1431" s="98">
        <f>STOCK[[#This Row],[Precio Venta Ideal (x1.5)]]</f>
        <v>11.82</v>
      </c>
      <c r="J1431" s="96">
        <v>2</v>
      </c>
      <c r="K1431" s="96">
        <f>SUMIFS(VENTAS[Cantidad],VENTAS[Código del producto Vendido],STOCK[[#This Row],[Code]])</f>
        <v>0</v>
      </c>
      <c r="L1431" s="96">
        <f>STOCK[[#This Row],[Entradas]]-STOCK[[#This Row],[Salidas]]</f>
        <v>2</v>
      </c>
      <c r="M1431" s="94">
        <f>STOCK[[#This Row],[Precio Final]]*10%</f>
        <v>1.5</v>
      </c>
      <c r="N1431" s="94">
        <v>0</v>
      </c>
      <c r="O1431" s="94">
        <v>0</v>
      </c>
      <c r="P1431" s="94">
        <v>4.73</v>
      </c>
      <c r="Q1431" s="96">
        <v>0</v>
      </c>
      <c r="R1431" s="94">
        <v>0</v>
      </c>
      <c r="S1431" s="94">
        <v>1.65</v>
      </c>
      <c r="T1431" s="94">
        <f>STOCK[[#This Row],[Costo Unitario (USD)]]+STOCK[[#This Row],[Costo Envío (USD)]]+STOCK[[#This Row],[Comisión 10%]]</f>
        <v>7.88</v>
      </c>
      <c r="U1431" s="76">
        <f>STOCK[[#This Row],[Costo total]]*1.5</f>
        <v>11.82</v>
      </c>
      <c r="V1431" s="94">
        <v>15</v>
      </c>
      <c r="W1431" s="94">
        <f>STOCK[[#This Row],[Precio Final]]-STOCK[[#This Row],[Costo total]]</f>
        <v>7.12</v>
      </c>
      <c r="X1431" s="94">
        <f>STOCK[[#This Row],[Ganancia Unitaria]]*STOCK[[#This Row],[Salidas]]</f>
        <v>0</v>
      </c>
      <c r="Y1431" s="94"/>
      <c r="Z1431" s="94"/>
      <c r="AA1431" s="94">
        <f>STOCK[[#This Row],[Costo total]]*STOCK[[#This Row],[Entradas]]</f>
        <v>15.76</v>
      </c>
      <c r="AB1431" s="94">
        <f>STOCK[[#This Row],[Stock Actual]]*STOCK[[#This Row],[Costo total]]</f>
        <v>15.76</v>
      </c>
      <c r="AC1431" s="94"/>
    </row>
    <row r="1432" s="76" customFormat="1" ht="50" customHeight="1" spans="1:29">
      <c r="A1432" s="76" t="s">
        <v>2898</v>
      </c>
      <c r="B1432" s="95"/>
      <c r="C1432" s="94" t="s">
        <v>30</v>
      </c>
      <c r="D1432" s="94" t="s">
        <v>2894</v>
      </c>
      <c r="E1432" s="94" t="s">
        <v>2895</v>
      </c>
      <c r="F1432" s="94" t="s">
        <v>44</v>
      </c>
      <c r="G1432" s="94"/>
      <c r="H1432" s="94">
        <f>STOCK[[#This Row],[Precio Final]]</f>
        <v>15</v>
      </c>
      <c r="I1432" s="98">
        <f>STOCK[[#This Row],[Precio Venta Ideal (x1.5)]]</f>
        <v>11.82</v>
      </c>
      <c r="J1432" s="96">
        <v>2</v>
      </c>
      <c r="K1432" s="96">
        <f>SUMIFS(VENTAS[Cantidad],VENTAS[Código del producto Vendido],STOCK[[#This Row],[Code]])</f>
        <v>1</v>
      </c>
      <c r="L1432" s="96">
        <f>STOCK[[#This Row],[Entradas]]-STOCK[[#This Row],[Salidas]]</f>
        <v>1</v>
      </c>
      <c r="M1432" s="94">
        <f>STOCK[[#This Row],[Precio Final]]*10%</f>
        <v>1.5</v>
      </c>
      <c r="N1432" s="94">
        <v>0</v>
      </c>
      <c r="O1432" s="94">
        <v>0</v>
      </c>
      <c r="P1432" s="94">
        <v>4.73</v>
      </c>
      <c r="Q1432" s="96">
        <v>0</v>
      </c>
      <c r="R1432" s="94">
        <v>0</v>
      </c>
      <c r="S1432" s="94">
        <v>1.65</v>
      </c>
      <c r="T1432" s="94">
        <f>STOCK[[#This Row],[Costo Unitario (USD)]]+STOCK[[#This Row],[Costo Envío (USD)]]+STOCK[[#This Row],[Comisión 10%]]</f>
        <v>7.88</v>
      </c>
      <c r="U1432" s="76">
        <f>STOCK[[#This Row],[Costo total]]*1.5</f>
        <v>11.82</v>
      </c>
      <c r="V1432" s="94">
        <v>15</v>
      </c>
      <c r="W1432" s="94">
        <f>STOCK[[#This Row],[Precio Final]]-STOCK[[#This Row],[Costo total]]</f>
        <v>7.12</v>
      </c>
      <c r="X1432" s="94">
        <f>STOCK[[#This Row],[Ganancia Unitaria]]*STOCK[[#This Row],[Salidas]]</f>
        <v>7.12</v>
      </c>
      <c r="Y1432" s="94"/>
      <c r="Z1432" s="94"/>
      <c r="AA1432" s="94">
        <f>STOCK[[#This Row],[Costo total]]*STOCK[[#This Row],[Entradas]]</f>
        <v>15.76</v>
      </c>
      <c r="AB1432" s="94">
        <f>STOCK[[#This Row],[Stock Actual]]*STOCK[[#This Row],[Costo total]]</f>
        <v>7.88</v>
      </c>
      <c r="AC1432" s="94"/>
    </row>
    <row r="1433" s="76" customFormat="1" ht="50" customHeight="1" spans="1:29">
      <c r="A1433" s="76" t="s">
        <v>2899</v>
      </c>
      <c r="B1433" s="95"/>
      <c r="C1433" s="94" t="s">
        <v>30</v>
      </c>
      <c r="D1433" s="94" t="s">
        <v>2894</v>
      </c>
      <c r="E1433" s="94" t="s">
        <v>2900</v>
      </c>
      <c r="F1433" s="94" t="s">
        <v>38</v>
      </c>
      <c r="G1433" s="94"/>
      <c r="H1433" s="94">
        <f>STOCK[[#This Row],[Precio Final]]</f>
        <v>15</v>
      </c>
      <c r="I1433" s="98">
        <f>STOCK[[#This Row],[Precio Venta Ideal (x1.5)]]</f>
        <v>14.46</v>
      </c>
      <c r="J1433" s="96">
        <v>2</v>
      </c>
      <c r="K1433" s="96">
        <f>SUMIFS(VENTAS[Cantidad],VENTAS[Código del producto Vendido],STOCK[[#This Row],[Code]])</f>
        <v>0</v>
      </c>
      <c r="L1433" s="96">
        <f>STOCK[[#This Row],[Entradas]]-STOCK[[#This Row],[Salidas]]</f>
        <v>2</v>
      </c>
      <c r="M1433" s="94">
        <f>STOCK[[#This Row],[Precio Final]]*10%</f>
        <v>1.5</v>
      </c>
      <c r="N1433" s="94">
        <v>0</v>
      </c>
      <c r="O1433" s="94">
        <v>0</v>
      </c>
      <c r="P1433" s="94">
        <v>6.49</v>
      </c>
      <c r="Q1433" s="96">
        <v>0</v>
      </c>
      <c r="R1433" s="94">
        <v>0</v>
      </c>
      <c r="S1433" s="94">
        <v>1.65</v>
      </c>
      <c r="T1433" s="94">
        <f>STOCK[[#This Row],[Costo Unitario (USD)]]+STOCK[[#This Row],[Costo Envío (USD)]]+STOCK[[#This Row],[Comisión 10%]]</f>
        <v>9.64</v>
      </c>
      <c r="U1433" s="76">
        <f>STOCK[[#This Row],[Costo total]]*1.5</f>
        <v>14.46</v>
      </c>
      <c r="V1433" s="99">
        <v>15</v>
      </c>
      <c r="W1433" s="94">
        <f>STOCK[[#This Row],[Precio Final]]-STOCK[[#This Row],[Costo total]]</f>
        <v>5.36</v>
      </c>
      <c r="X1433" s="94">
        <f>STOCK[[#This Row],[Ganancia Unitaria]]*STOCK[[#This Row],[Salidas]]</f>
        <v>0</v>
      </c>
      <c r="Y1433" s="94"/>
      <c r="Z1433" s="94"/>
      <c r="AA1433" s="94">
        <f>STOCK[[#This Row],[Costo total]]*STOCK[[#This Row],[Entradas]]</f>
        <v>19.28</v>
      </c>
      <c r="AB1433" s="94">
        <f>STOCK[[#This Row],[Stock Actual]]*STOCK[[#This Row],[Costo total]]</f>
        <v>19.28</v>
      </c>
      <c r="AC1433" s="94"/>
    </row>
    <row r="1434" s="76" customFormat="1" ht="50" customHeight="1" spans="1:29">
      <c r="A1434" s="76" t="s">
        <v>2901</v>
      </c>
      <c r="B1434" s="95"/>
      <c r="C1434" s="94" t="s">
        <v>30</v>
      </c>
      <c r="D1434" s="94" t="s">
        <v>2894</v>
      </c>
      <c r="E1434" s="94" t="s">
        <v>2900</v>
      </c>
      <c r="F1434" s="94" t="s">
        <v>60</v>
      </c>
      <c r="G1434" s="94"/>
      <c r="H1434" s="94">
        <f>STOCK[[#This Row],[Precio Final]]</f>
        <v>15</v>
      </c>
      <c r="I1434" s="98">
        <f>STOCK[[#This Row],[Precio Venta Ideal (x1.5)]]</f>
        <v>14.475</v>
      </c>
      <c r="J1434" s="96">
        <v>2</v>
      </c>
      <c r="K1434" s="96">
        <f>SUMIFS(VENTAS[Cantidad],VENTAS[Código del producto Vendido],STOCK[[#This Row],[Code]])</f>
        <v>0</v>
      </c>
      <c r="L1434" s="96">
        <f>STOCK[[#This Row],[Entradas]]-STOCK[[#This Row],[Salidas]]</f>
        <v>2</v>
      </c>
      <c r="M1434" s="94">
        <f>STOCK[[#This Row],[Precio Final]]*10%</f>
        <v>1.5</v>
      </c>
      <c r="N1434" s="94">
        <v>0</v>
      </c>
      <c r="O1434" s="94">
        <v>0</v>
      </c>
      <c r="P1434" s="94">
        <v>6.5</v>
      </c>
      <c r="Q1434" s="96">
        <v>0</v>
      </c>
      <c r="R1434" s="94">
        <v>0</v>
      </c>
      <c r="S1434" s="94">
        <v>1.65</v>
      </c>
      <c r="T1434" s="94">
        <f>STOCK[[#This Row],[Costo Unitario (USD)]]+STOCK[[#This Row],[Costo Envío (USD)]]+STOCK[[#This Row],[Comisión 10%]]</f>
        <v>9.65</v>
      </c>
      <c r="U1434" s="76">
        <f>STOCK[[#This Row],[Costo total]]*1.5</f>
        <v>14.475</v>
      </c>
      <c r="V1434" s="94">
        <v>15</v>
      </c>
      <c r="W1434" s="94">
        <f>STOCK[[#This Row],[Precio Final]]-STOCK[[#This Row],[Costo total]]</f>
        <v>5.35</v>
      </c>
      <c r="X1434" s="94">
        <f>STOCK[[#This Row],[Ganancia Unitaria]]*STOCK[[#This Row],[Salidas]]</f>
        <v>0</v>
      </c>
      <c r="Y1434" s="94"/>
      <c r="Z1434" s="94"/>
      <c r="AA1434" s="94">
        <f>STOCK[[#This Row],[Costo total]]*STOCK[[#This Row],[Entradas]]</f>
        <v>19.3</v>
      </c>
      <c r="AB1434" s="94">
        <f>STOCK[[#This Row],[Stock Actual]]*STOCK[[#This Row],[Costo total]]</f>
        <v>19.3</v>
      </c>
      <c r="AC1434" s="94"/>
    </row>
    <row r="1435" s="76" customFormat="1" ht="50" customHeight="1" spans="1:29">
      <c r="A1435" s="76" t="s">
        <v>2902</v>
      </c>
      <c r="B1435" s="95"/>
      <c r="C1435" s="94" t="s">
        <v>30</v>
      </c>
      <c r="D1435" s="94" t="s">
        <v>2894</v>
      </c>
      <c r="E1435" s="94" t="s">
        <v>2900</v>
      </c>
      <c r="F1435" s="94" t="s">
        <v>47</v>
      </c>
      <c r="G1435" s="94"/>
      <c r="H1435" s="94">
        <f>STOCK[[#This Row],[Precio Final]]</f>
        <v>15</v>
      </c>
      <c r="I1435" s="98">
        <f>STOCK[[#This Row],[Precio Venta Ideal (x1.5)]]</f>
        <v>14.46</v>
      </c>
      <c r="J1435" s="96">
        <v>2</v>
      </c>
      <c r="K1435" s="96">
        <f>SUMIFS(VENTAS[Cantidad],VENTAS[Código del producto Vendido],STOCK[[#This Row],[Code]])</f>
        <v>0</v>
      </c>
      <c r="L1435" s="96">
        <f>STOCK[[#This Row],[Entradas]]-STOCK[[#This Row],[Salidas]]</f>
        <v>2</v>
      </c>
      <c r="M1435" s="94">
        <f>STOCK[[#This Row],[Precio Final]]*10%</f>
        <v>1.5</v>
      </c>
      <c r="N1435" s="94">
        <v>0</v>
      </c>
      <c r="O1435" s="94">
        <v>0</v>
      </c>
      <c r="P1435" s="94">
        <v>6.49</v>
      </c>
      <c r="Q1435" s="96">
        <v>0</v>
      </c>
      <c r="R1435" s="94">
        <v>0</v>
      </c>
      <c r="S1435" s="94">
        <v>1.65</v>
      </c>
      <c r="T1435" s="94">
        <f>STOCK[[#This Row],[Costo Unitario (USD)]]+STOCK[[#This Row],[Costo Envío (USD)]]+STOCK[[#This Row],[Comisión 10%]]</f>
        <v>9.64</v>
      </c>
      <c r="U1435" s="76">
        <f>STOCK[[#This Row],[Costo total]]*1.5</f>
        <v>14.46</v>
      </c>
      <c r="V1435" s="94">
        <v>15</v>
      </c>
      <c r="W1435" s="94">
        <f>STOCK[[#This Row],[Precio Final]]-STOCK[[#This Row],[Costo total]]</f>
        <v>5.36</v>
      </c>
      <c r="X1435" s="94">
        <f>STOCK[[#This Row],[Ganancia Unitaria]]*STOCK[[#This Row],[Salidas]]</f>
        <v>0</v>
      </c>
      <c r="Y1435" s="94"/>
      <c r="Z1435" s="94"/>
      <c r="AA1435" s="94">
        <f>STOCK[[#This Row],[Costo total]]*STOCK[[#This Row],[Entradas]]</f>
        <v>19.28</v>
      </c>
      <c r="AB1435" s="94">
        <f>STOCK[[#This Row],[Stock Actual]]*STOCK[[#This Row],[Costo total]]</f>
        <v>19.28</v>
      </c>
      <c r="AC1435" s="94"/>
    </row>
    <row r="1436" s="76" customFormat="1" ht="50" customHeight="1" spans="1:29">
      <c r="A1436" s="76" t="s">
        <v>2903</v>
      </c>
      <c r="B1436" s="95"/>
      <c r="C1436" s="94" t="s">
        <v>30</v>
      </c>
      <c r="D1436" s="94" t="s">
        <v>2894</v>
      </c>
      <c r="E1436" s="94" t="s">
        <v>2900</v>
      </c>
      <c r="F1436" s="94" t="s">
        <v>44</v>
      </c>
      <c r="G1436" s="94"/>
      <c r="H1436" s="94">
        <f>STOCK[[#This Row],[Precio Final]]</f>
        <v>15</v>
      </c>
      <c r="I1436" s="98">
        <f>STOCK[[#This Row],[Precio Venta Ideal (x1.5)]]</f>
        <v>14.475</v>
      </c>
      <c r="J1436" s="96">
        <v>2</v>
      </c>
      <c r="K1436" s="96">
        <f>SUMIFS(VENTAS[Cantidad],VENTAS[Código del producto Vendido],STOCK[[#This Row],[Code]])</f>
        <v>1</v>
      </c>
      <c r="L1436" s="96">
        <f>STOCK[[#This Row],[Entradas]]-STOCK[[#This Row],[Salidas]]</f>
        <v>1</v>
      </c>
      <c r="M1436" s="94">
        <f>STOCK[[#This Row],[Precio Final]]*10%</f>
        <v>1.5</v>
      </c>
      <c r="N1436" s="94">
        <v>0</v>
      </c>
      <c r="O1436" s="94">
        <v>0</v>
      </c>
      <c r="P1436" s="94">
        <v>6.5</v>
      </c>
      <c r="Q1436" s="96">
        <v>0</v>
      </c>
      <c r="R1436" s="94">
        <v>0</v>
      </c>
      <c r="S1436" s="94">
        <v>1.65</v>
      </c>
      <c r="T1436" s="94">
        <f>STOCK[[#This Row],[Costo Unitario (USD)]]+STOCK[[#This Row],[Costo Envío (USD)]]+STOCK[[#This Row],[Comisión 10%]]</f>
        <v>9.65</v>
      </c>
      <c r="U1436" s="76">
        <f>STOCK[[#This Row],[Costo total]]*1.5</f>
        <v>14.475</v>
      </c>
      <c r="V1436" s="94">
        <v>15</v>
      </c>
      <c r="W1436" s="94">
        <f>STOCK[[#This Row],[Precio Final]]-STOCK[[#This Row],[Costo total]]</f>
        <v>5.35</v>
      </c>
      <c r="X1436" s="94">
        <f>STOCK[[#This Row],[Ganancia Unitaria]]*STOCK[[#This Row],[Salidas]]</f>
        <v>5.35</v>
      </c>
      <c r="Y1436" s="94"/>
      <c r="Z1436" s="94"/>
      <c r="AA1436" s="94">
        <f>STOCK[[#This Row],[Costo total]]*STOCK[[#This Row],[Entradas]]</f>
        <v>19.3</v>
      </c>
      <c r="AB1436" s="94">
        <f>STOCK[[#This Row],[Stock Actual]]*STOCK[[#This Row],[Costo total]]</f>
        <v>9.65</v>
      </c>
      <c r="AC1436" s="94"/>
    </row>
    <row r="1437" s="76" customFormat="1" ht="50" customHeight="1" spans="1:29">
      <c r="A1437" s="76" t="s">
        <v>2904</v>
      </c>
      <c r="B1437" s="95"/>
      <c r="C1437" s="94" t="s">
        <v>30</v>
      </c>
      <c r="D1437" s="94" t="s">
        <v>2894</v>
      </c>
      <c r="E1437" s="94" t="s">
        <v>2905</v>
      </c>
      <c r="F1437" s="94" t="s">
        <v>40</v>
      </c>
      <c r="G1437" s="94"/>
      <c r="H1437" s="94">
        <f>STOCK[[#This Row],[Precio Final]]</f>
        <v>15</v>
      </c>
      <c r="I1437" s="98">
        <f>STOCK[[#This Row],[Precio Venta Ideal (x1.5)]]</f>
        <v>11.31</v>
      </c>
      <c r="J1437" s="96">
        <v>2</v>
      </c>
      <c r="K1437" s="96">
        <f>SUMIFS(VENTAS[Cantidad],VENTAS[Código del producto Vendido],STOCK[[#This Row],[Code]])</f>
        <v>0</v>
      </c>
      <c r="L1437" s="96">
        <f>STOCK[[#This Row],[Entradas]]-STOCK[[#This Row],[Salidas]]</f>
        <v>2</v>
      </c>
      <c r="M1437" s="94">
        <f>STOCK[[#This Row],[Precio Final]]*10%</f>
        <v>1.5</v>
      </c>
      <c r="N1437" s="94">
        <v>0</v>
      </c>
      <c r="O1437" s="94">
        <v>0</v>
      </c>
      <c r="P1437" s="94">
        <v>4.39</v>
      </c>
      <c r="Q1437" s="96">
        <v>0</v>
      </c>
      <c r="R1437" s="94">
        <v>0</v>
      </c>
      <c r="S1437" s="94">
        <v>1.65</v>
      </c>
      <c r="T1437" s="94">
        <f>STOCK[[#This Row],[Costo Unitario (USD)]]+STOCK[[#This Row],[Costo Envío (USD)]]+STOCK[[#This Row],[Comisión 10%]]</f>
        <v>7.54</v>
      </c>
      <c r="U1437" s="76">
        <f>STOCK[[#This Row],[Costo total]]*1.5</f>
        <v>11.31</v>
      </c>
      <c r="V1437" s="94">
        <v>15</v>
      </c>
      <c r="W1437" s="94">
        <f>STOCK[[#This Row],[Precio Final]]-STOCK[[#This Row],[Costo total]]</f>
        <v>7.46</v>
      </c>
      <c r="X1437" s="94">
        <f>STOCK[[#This Row],[Ganancia Unitaria]]*STOCK[[#This Row],[Salidas]]</f>
        <v>0</v>
      </c>
      <c r="Y1437" s="94"/>
      <c r="Z1437" s="94"/>
      <c r="AA1437" s="94">
        <f>STOCK[[#This Row],[Costo total]]*STOCK[[#This Row],[Entradas]]</f>
        <v>15.08</v>
      </c>
      <c r="AB1437" s="94">
        <f>STOCK[[#This Row],[Stock Actual]]*STOCK[[#This Row],[Costo total]]</f>
        <v>15.08</v>
      </c>
      <c r="AC1437" s="94"/>
    </row>
    <row r="1438" s="76" customFormat="1" ht="50" customHeight="1" spans="1:29">
      <c r="A1438" s="76" t="s">
        <v>2906</v>
      </c>
      <c r="B1438" s="95"/>
      <c r="C1438" s="94" t="s">
        <v>30</v>
      </c>
      <c r="D1438" s="94" t="s">
        <v>2894</v>
      </c>
      <c r="E1438" s="94" t="s">
        <v>2907</v>
      </c>
      <c r="F1438" s="94" t="s">
        <v>40</v>
      </c>
      <c r="G1438" s="94"/>
      <c r="H1438" s="94">
        <f>STOCK[[#This Row],[Precio Final]]</f>
        <v>15</v>
      </c>
      <c r="I1438" s="98">
        <f>STOCK[[#This Row],[Precio Venta Ideal (x1.5)]]</f>
        <v>12.135</v>
      </c>
      <c r="J1438" s="96">
        <v>2</v>
      </c>
      <c r="K1438" s="96">
        <f>SUMIFS(VENTAS[Cantidad],VENTAS[Código del producto Vendido],STOCK[[#This Row],[Code]])</f>
        <v>0</v>
      </c>
      <c r="L1438" s="96">
        <f>STOCK[[#This Row],[Entradas]]-STOCK[[#This Row],[Salidas]]</f>
        <v>2</v>
      </c>
      <c r="M1438" s="94">
        <f>STOCK[[#This Row],[Precio Final]]*10%</f>
        <v>1.5</v>
      </c>
      <c r="N1438" s="94">
        <v>0</v>
      </c>
      <c r="O1438" s="94">
        <v>0</v>
      </c>
      <c r="P1438" s="94">
        <v>4.94</v>
      </c>
      <c r="Q1438" s="96">
        <v>0</v>
      </c>
      <c r="R1438" s="94">
        <v>0</v>
      </c>
      <c r="S1438" s="94">
        <v>1.65</v>
      </c>
      <c r="T1438" s="94">
        <f>STOCK[[#This Row],[Costo Unitario (USD)]]+STOCK[[#This Row],[Costo Envío (USD)]]+STOCK[[#This Row],[Comisión 10%]]</f>
        <v>8.09</v>
      </c>
      <c r="U1438" s="76">
        <f>STOCK[[#This Row],[Costo total]]*1.5</f>
        <v>12.135</v>
      </c>
      <c r="V1438" s="94">
        <v>15</v>
      </c>
      <c r="W1438" s="94">
        <f>STOCK[[#This Row],[Precio Final]]-STOCK[[#This Row],[Costo total]]</f>
        <v>6.91</v>
      </c>
      <c r="X1438" s="94">
        <f>STOCK[[#This Row],[Ganancia Unitaria]]*STOCK[[#This Row],[Salidas]]</f>
        <v>0</v>
      </c>
      <c r="Y1438" s="94"/>
      <c r="Z1438" s="94"/>
      <c r="AA1438" s="94">
        <f>STOCK[[#This Row],[Costo total]]*STOCK[[#This Row],[Entradas]]</f>
        <v>16.18</v>
      </c>
      <c r="AB1438" s="94">
        <f>STOCK[[#This Row],[Stock Actual]]*STOCK[[#This Row],[Costo total]]</f>
        <v>16.18</v>
      </c>
      <c r="AC1438" s="94"/>
    </row>
    <row r="1439" s="76" customFormat="1" ht="50" customHeight="1" spans="1:29">
      <c r="A1439" s="76" t="s">
        <v>2908</v>
      </c>
      <c r="B1439" s="95"/>
      <c r="C1439" s="94" t="s">
        <v>30</v>
      </c>
      <c r="D1439" s="94" t="s">
        <v>2894</v>
      </c>
      <c r="E1439" s="94" t="s">
        <v>2909</v>
      </c>
      <c r="F1439" s="94" t="s">
        <v>40</v>
      </c>
      <c r="G1439" s="94"/>
      <c r="H1439" s="94">
        <f>STOCK[[#This Row],[Precio Final]]</f>
        <v>15</v>
      </c>
      <c r="I1439" s="98">
        <f>STOCK[[#This Row],[Precio Venta Ideal (x1.5)]]</f>
        <v>11.16</v>
      </c>
      <c r="J1439" s="96">
        <v>2</v>
      </c>
      <c r="K1439" s="96">
        <f>SUMIFS(VENTAS[Cantidad],VENTAS[Código del producto Vendido],STOCK[[#This Row],[Code]])</f>
        <v>0</v>
      </c>
      <c r="L1439" s="96">
        <f>STOCK[[#This Row],[Entradas]]-STOCK[[#This Row],[Salidas]]</f>
        <v>2</v>
      </c>
      <c r="M1439" s="94">
        <f>STOCK[[#This Row],[Precio Final]]*10%</f>
        <v>1.5</v>
      </c>
      <c r="N1439" s="94">
        <v>0</v>
      </c>
      <c r="O1439" s="94">
        <v>0</v>
      </c>
      <c r="P1439" s="94">
        <v>4.29</v>
      </c>
      <c r="Q1439" s="96">
        <v>0</v>
      </c>
      <c r="R1439" s="94">
        <v>0</v>
      </c>
      <c r="S1439" s="94">
        <v>1.65</v>
      </c>
      <c r="T1439" s="94">
        <f>STOCK[[#This Row],[Costo Unitario (USD)]]+STOCK[[#This Row],[Costo Envío (USD)]]+STOCK[[#This Row],[Comisión 10%]]</f>
        <v>7.44</v>
      </c>
      <c r="U1439" s="76">
        <f>STOCK[[#This Row],[Costo total]]*1.5</f>
        <v>11.16</v>
      </c>
      <c r="V1439" s="94">
        <v>15</v>
      </c>
      <c r="W1439" s="94">
        <f>STOCK[[#This Row],[Precio Final]]-STOCK[[#This Row],[Costo total]]</f>
        <v>7.56</v>
      </c>
      <c r="X1439" s="94">
        <f>STOCK[[#This Row],[Ganancia Unitaria]]*STOCK[[#This Row],[Salidas]]</f>
        <v>0</v>
      </c>
      <c r="Y1439" s="94"/>
      <c r="Z1439" s="94"/>
      <c r="AA1439" s="94">
        <f>STOCK[[#This Row],[Costo total]]*STOCK[[#This Row],[Entradas]]</f>
        <v>14.88</v>
      </c>
      <c r="AB1439" s="94">
        <f>STOCK[[#This Row],[Stock Actual]]*STOCK[[#This Row],[Costo total]]</f>
        <v>14.88</v>
      </c>
      <c r="AC1439" s="94"/>
    </row>
    <row r="1440" s="76" customFormat="1" ht="50" customHeight="1" spans="1:29">
      <c r="A1440" s="76" t="s">
        <v>2910</v>
      </c>
      <c r="B1440" s="95"/>
      <c r="C1440" s="94" t="s">
        <v>30</v>
      </c>
      <c r="D1440" s="94" t="s">
        <v>1188</v>
      </c>
      <c r="E1440" s="94" t="s">
        <v>2911</v>
      </c>
      <c r="F1440" s="94" t="s">
        <v>38</v>
      </c>
      <c r="G1440" s="94"/>
      <c r="H1440" s="94">
        <f>STOCK[[#This Row],[Precio Final]]</f>
        <v>25</v>
      </c>
      <c r="I1440" s="98">
        <f>STOCK[[#This Row],[Precio Venta Ideal (x1.5)]]</f>
        <v>21.675</v>
      </c>
      <c r="J1440" s="96">
        <v>2</v>
      </c>
      <c r="K1440" s="96">
        <f>SUMIFS(VENTAS[Cantidad],VENTAS[Código del producto Vendido],STOCK[[#This Row],[Code]])</f>
        <v>0</v>
      </c>
      <c r="L1440" s="96">
        <f>STOCK[[#This Row],[Entradas]]-STOCK[[#This Row],[Salidas]]</f>
        <v>2</v>
      </c>
      <c r="M1440" s="94">
        <f>STOCK[[#This Row],[Precio Final]]*10%</f>
        <v>2.5</v>
      </c>
      <c r="N1440" s="94">
        <v>0</v>
      </c>
      <c r="O1440" s="94">
        <v>0</v>
      </c>
      <c r="P1440" s="94">
        <v>10.3</v>
      </c>
      <c r="Q1440" s="96">
        <v>0</v>
      </c>
      <c r="R1440" s="94">
        <v>0</v>
      </c>
      <c r="S1440" s="94">
        <v>1.65</v>
      </c>
      <c r="T1440" s="94">
        <f>STOCK[[#This Row],[Costo Unitario (USD)]]+STOCK[[#This Row],[Costo Envío (USD)]]+STOCK[[#This Row],[Comisión 10%]]</f>
        <v>14.45</v>
      </c>
      <c r="U1440" s="76">
        <f>STOCK[[#This Row],[Costo total]]*1.5</f>
        <v>21.675</v>
      </c>
      <c r="V1440" s="94">
        <v>25</v>
      </c>
      <c r="W1440" s="94">
        <f>STOCK[[#This Row],[Precio Final]]-STOCK[[#This Row],[Costo total]]</f>
        <v>10.55</v>
      </c>
      <c r="X1440" s="94">
        <f>STOCK[[#This Row],[Ganancia Unitaria]]*STOCK[[#This Row],[Salidas]]</f>
        <v>0</v>
      </c>
      <c r="Y1440" s="94"/>
      <c r="Z1440" s="94"/>
      <c r="AA1440" s="94">
        <f>STOCK[[#This Row],[Costo total]]*STOCK[[#This Row],[Entradas]]</f>
        <v>28.9</v>
      </c>
      <c r="AB1440" s="94">
        <f>STOCK[[#This Row],[Stock Actual]]*STOCK[[#This Row],[Costo total]]</f>
        <v>28.9</v>
      </c>
      <c r="AC1440" s="94"/>
    </row>
    <row r="1441" s="76" customFormat="1" ht="50" customHeight="1" spans="1:29">
      <c r="A1441" s="76" t="s">
        <v>2912</v>
      </c>
      <c r="B1441" s="95"/>
      <c r="C1441" s="94" t="s">
        <v>30</v>
      </c>
      <c r="D1441" s="94" t="s">
        <v>1188</v>
      </c>
      <c r="E1441" s="94" t="s">
        <v>2911</v>
      </c>
      <c r="F1441" s="94" t="s">
        <v>60</v>
      </c>
      <c r="G1441" s="94"/>
      <c r="H1441" s="94">
        <f>STOCK[[#This Row],[Precio Final]]</f>
        <v>25</v>
      </c>
      <c r="I1441" s="98">
        <f>STOCK[[#This Row],[Precio Venta Ideal (x1.5)]]</f>
        <v>21.675</v>
      </c>
      <c r="J1441" s="96">
        <v>2</v>
      </c>
      <c r="K1441" s="96">
        <f>SUMIFS(VENTAS[Cantidad],VENTAS[Código del producto Vendido],STOCK[[#This Row],[Code]])</f>
        <v>0</v>
      </c>
      <c r="L1441" s="96">
        <f>STOCK[[#This Row],[Entradas]]-STOCK[[#This Row],[Salidas]]</f>
        <v>2</v>
      </c>
      <c r="M1441" s="94">
        <f>STOCK[[#This Row],[Precio Final]]*10%</f>
        <v>2.5</v>
      </c>
      <c r="N1441" s="94">
        <v>0</v>
      </c>
      <c r="O1441" s="94">
        <v>0</v>
      </c>
      <c r="P1441" s="94">
        <v>10.3</v>
      </c>
      <c r="Q1441" s="96">
        <v>0</v>
      </c>
      <c r="R1441" s="94">
        <v>0</v>
      </c>
      <c r="S1441" s="94">
        <v>1.65</v>
      </c>
      <c r="T1441" s="94">
        <f>STOCK[[#This Row],[Costo Unitario (USD)]]+STOCK[[#This Row],[Costo Envío (USD)]]+STOCK[[#This Row],[Comisión 10%]]</f>
        <v>14.45</v>
      </c>
      <c r="U1441" s="76">
        <f>STOCK[[#This Row],[Costo total]]*1.5</f>
        <v>21.675</v>
      </c>
      <c r="V1441" s="94">
        <v>25</v>
      </c>
      <c r="W1441" s="94">
        <f>STOCK[[#This Row],[Precio Final]]-STOCK[[#This Row],[Costo total]]</f>
        <v>10.55</v>
      </c>
      <c r="X1441" s="94">
        <f>STOCK[[#This Row],[Ganancia Unitaria]]*STOCK[[#This Row],[Salidas]]</f>
        <v>0</v>
      </c>
      <c r="Y1441" s="94"/>
      <c r="Z1441" s="94"/>
      <c r="AA1441" s="94">
        <f>STOCK[[#This Row],[Costo total]]*STOCK[[#This Row],[Entradas]]</f>
        <v>28.9</v>
      </c>
      <c r="AB1441" s="94">
        <f>STOCK[[#This Row],[Stock Actual]]*STOCK[[#This Row],[Costo total]]</f>
        <v>28.9</v>
      </c>
      <c r="AC1441" s="94"/>
    </row>
    <row r="1442" s="76" customFormat="1" ht="50" customHeight="1" spans="1:29">
      <c r="A1442" s="76" t="s">
        <v>2913</v>
      </c>
      <c r="B1442" s="95"/>
      <c r="C1442" s="94" t="s">
        <v>30</v>
      </c>
      <c r="D1442" s="94" t="s">
        <v>1188</v>
      </c>
      <c r="E1442" s="94" t="s">
        <v>2911</v>
      </c>
      <c r="F1442" s="94" t="s">
        <v>47</v>
      </c>
      <c r="G1442" s="94"/>
      <c r="H1442" s="94">
        <f>STOCK[[#This Row],[Precio Final]]</f>
        <v>25</v>
      </c>
      <c r="I1442" s="98">
        <f>STOCK[[#This Row],[Precio Venta Ideal (x1.5)]]</f>
        <v>21.69</v>
      </c>
      <c r="J1442" s="96">
        <v>2</v>
      </c>
      <c r="K1442" s="96">
        <f>SUMIFS(VENTAS[Cantidad],VENTAS[Código del producto Vendido],STOCK[[#This Row],[Code]])</f>
        <v>0</v>
      </c>
      <c r="L1442" s="96">
        <f>STOCK[[#This Row],[Entradas]]-STOCK[[#This Row],[Salidas]]</f>
        <v>2</v>
      </c>
      <c r="M1442" s="94">
        <f>STOCK[[#This Row],[Precio Final]]*10%</f>
        <v>2.5</v>
      </c>
      <c r="N1442" s="94">
        <v>0</v>
      </c>
      <c r="O1442" s="94">
        <v>0</v>
      </c>
      <c r="P1442" s="94">
        <v>10.31</v>
      </c>
      <c r="Q1442" s="96">
        <v>0</v>
      </c>
      <c r="R1442" s="94">
        <v>0</v>
      </c>
      <c r="S1442" s="94">
        <v>1.65</v>
      </c>
      <c r="T1442" s="94">
        <f>STOCK[[#This Row],[Costo Unitario (USD)]]+STOCK[[#This Row],[Costo Envío (USD)]]+STOCK[[#This Row],[Comisión 10%]]</f>
        <v>14.46</v>
      </c>
      <c r="U1442" s="76">
        <f>STOCK[[#This Row],[Costo total]]*1.5</f>
        <v>21.69</v>
      </c>
      <c r="V1442" s="94">
        <v>25</v>
      </c>
      <c r="W1442" s="94">
        <f>STOCK[[#This Row],[Precio Final]]-STOCK[[#This Row],[Costo total]]</f>
        <v>10.54</v>
      </c>
      <c r="X1442" s="94">
        <f>STOCK[[#This Row],[Ganancia Unitaria]]*STOCK[[#This Row],[Salidas]]</f>
        <v>0</v>
      </c>
      <c r="Y1442" s="94"/>
      <c r="Z1442" s="94"/>
      <c r="AA1442" s="94">
        <f>STOCK[[#This Row],[Costo total]]*STOCK[[#This Row],[Entradas]]</f>
        <v>28.92</v>
      </c>
      <c r="AB1442" s="94">
        <f>STOCK[[#This Row],[Stock Actual]]*STOCK[[#This Row],[Costo total]]</f>
        <v>28.92</v>
      </c>
      <c r="AC1442" s="94"/>
    </row>
    <row r="1443" s="76" customFormat="1" ht="50" customHeight="1" spans="1:29">
      <c r="A1443" s="76" t="s">
        <v>2914</v>
      </c>
      <c r="B1443" s="95"/>
      <c r="C1443" s="94" t="s">
        <v>30</v>
      </c>
      <c r="D1443" s="94" t="s">
        <v>1188</v>
      </c>
      <c r="E1443" s="94" t="s">
        <v>2911</v>
      </c>
      <c r="F1443" s="94" t="s">
        <v>44</v>
      </c>
      <c r="G1443" s="94"/>
      <c r="H1443" s="94">
        <f>STOCK[[#This Row],[Precio Final]]</f>
        <v>25</v>
      </c>
      <c r="I1443" s="98">
        <f>STOCK[[#This Row],[Precio Venta Ideal (x1.5)]]</f>
        <v>21.69</v>
      </c>
      <c r="J1443" s="96">
        <v>2</v>
      </c>
      <c r="K1443" s="96">
        <f>SUMIFS(VENTAS[Cantidad],VENTAS[Código del producto Vendido],STOCK[[#This Row],[Code]])</f>
        <v>0</v>
      </c>
      <c r="L1443" s="96">
        <f>STOCK[[#This Row],[Entradas]]-STOCK[[#This Row],[Salidas]]</f>
        <v>2</v>
      </c>
      <c r="M1443" s="94">
        <f>STOCK[[#This Row],[Precio Final]]*10%</f>
        <v>2.5</v>
      </c>
      <c r="N1443" s="94">
        <v>0</v>
      </c>
      <c r="O1443" s="94">
        <v>0</v>
      </c>
      <c r="P1443" s="94">
        <v>10.31</v>
      </c>
      <c r="Q1443" s="96">
        <v>0</v>
      </c>
      <c r="R1443" s="94">
        <v>0</v>
      </c>
      <c r="S1443" s="94">
        <v>1.65</v>
      </c>
      <c r="T1443" s="94">
        <f>STOCK[[#This Row],[Costo Unitario (USD)]]+STOCK[[#This Row],[Costo Envío (USD)]]+STOCK[[#This Row],[Comisión 10%]]</f>
        <v>14.46</v>
      </c>
      <c r="U1443" s="76">
        <f>STOCK[[#This Row],[Costo total]]*1.5</f>
        <v>21.69</v>
      </c>
      <c r="V1443" s="94">
        <v>25</v>
      </c>
      <c r="W1443" s="94">
        <f>STOCK[[#This Row],[Precio Final]]-STOCK[[#This Row],[Costo total]]</f>
        <v>10.54</v>
      </c>
      <c r="X1443" s="94">
        <f>STOCK[[#This Row],[Ganancia Unitaria]]*STOCK[[#This Row],[Salidas]]</f>
        <v>0</v>
      </c>
      <c r="Y1443" s="94"/>
      <c r="Z1443" s="94"/>
      <c r="AA1443" s="94">
        <f>STOCK[[#This Row],[Costo total]]*STOCK[[#This Row],[Entradas]]</f>
        <v>28.92</v>
      </c>
      <c r="AB1443" s="94">
        <f>STOCK[[#This Row],[Stock Actual]]*STOCK[[#This Row],[Costo total]]</f>
        <v>28.92</v>
      </c>
      <c r="AC1443" s="94"/>
    </row>
    <row r="1444" s="76" customFormat="1" ht="50" customHeight="1" spans="1:29">
      <c r="A1444" s="76" t="s">
        <v>2915</v>
      </c>
      <c r="B1444" s="95"/>
      <c r="C1444" s="94" t="s">
        <v>30</v>
      </c>
      <c r="D1444" s="94" t="s">
        <v>1188</v>
      </c>
      <c r="E1444" s="94" t="s">
        <v>2916</v>
      </c>
      <c r="F1444" s="94" t="s">
        <v>38</v>
      </c>
      <c r="G1444" s="94"/>
      <c r="H1444" s="94">
        <f>STOCK[[#This Row],[Precio Final]]</f>
        <v>25</v>
      </c>
      <c r="I1444" s="98">
        <f>STOCK[[#This Row],[Precio Venta Ideal (x1.5)]]</f>
        <v>21.81</v>
      </c>
      <c r="J1444" s="96">
        <v>1</v>
      </c>
      <c r="K1444" s="96">
        <f>SUMIFS(VENTAS[Cantidad],VENTAS[Código del producto Vendido],STOCK[[#This Row],[Code]])</f>
        <v>0</v>
      </c>
      <c r="L1444" s="96">
        <f>STOCK[[#This Row],[Entradas]]-STOCK[[#This Row],[Salidas]]</f>
        <v>1</v>
      </c>
      <c r="M1444" s="94">
        <f>STOCK[[#This Row],[Precio Final]]*10%</f>
        <v>2.5</v>
      </c>
      <c r="N1444" s="94">
        <v>0</v>
      </c>
      <c r="O1444" s="94">
        <v>0</v>
      </c>
      <c r="P1444" s="94">
        <v>10.39</v>
      </c>
      <c r="Q1444" s="96">
        <v>0</v>
      </c>
      <c r="R1444" s="94">
        <v>0</v>
      </c>
      <c r="S1444" s="94">
        <v>1.65</v>
      </c>
      <c r="T1444" s="94">
        <f>STOCK[[#This Row],[Costo Unitario (USD)]]+STOCK[[#This Row],[Costo Envío (USD)]]+STOCK[[#This Row],[Comisión 10%]]</f>
        <v>14.54</v>
      </c>
      <c r="U1444" s="76">
        <f>STOCK[[#This Row],[Costo total]]*1.5</f>
        <v>21.81</v>
      </c>
      <c r="V1444" s="94">
        <v>25</v>
      </c>
      <c r="W1444" s="94">
        <f>STOCK[[#This Row],[Precio Final]]-STOCK[[#This Row],[Costo total]]</f>
        <v>10.46</v>
      </c>
      <c r="X1444" s="94">
        <f>STOCK[[#This Row],[Ganancia Unitaria]]*STOCK[[#This Row],[Salidas]]</f>
        <v>0</v>
      </c>
      <c r="Y1444" s="94"/>
      <c r="Z1444" s="94"/>
      <c r="AA1444" s="94">
        <f>STOCK[[#This Row],[Costo total]]*STOCK[[#This Row],[Entradas]]</f>
        <v>14.54</v>
      </c>
      <c r="AB1444" s="94">
        <f>STOCK[[#This Row],[Stock Actual]]*STOCK[[#This Row],[Costo total]]</f>
        <v>14.54</v>
      </c>
      <c r="AC1444" s="94"/>
    </row>
    <row r="1445" s="76" customFormat="1" ht="50" customHeight="1" spans="1:29">
      <c r="A1445" s="76" t="s">
        <v>2917</v>
      </c>
      <c r="B1445" s="95"/>
      <c r="C1445" s="94" t="s">
        <v>30</v>
      </c>
      <c r="D1445" s="94" t="s">
        <v>1188</v>
      </c>
      <c r="E1445" s="94" t="s">
        <v>2916</v>
      </c>
      <c r="F1445" s="94" t="s">
        <v>60</v>
      </c>
      <c r="G1445" s="94"/>
      <c r="H1445" s="94">
        <f>STOCK[[#This Row],[Precio Final]]</f>
        <v>25</v>
      </c>
      <c r="I1445" s="98">
        <f>STOCK[[#This Row],[Precio Venta Ideal (x1.5)]]</f>
        <v>21.81</v>
      </c>
      <c r="J1445" s="96">
        <v>2</v>
      </c>
      <c r="K1445" s="96">
        <f>SUMIFS(VENTAS[Cantidad],VENTAS[Código del producto Vendido],STOCK[[#This Row],[Code]])</f>
        <v>0</v>
      </c>
      <c r="L1445" s="96">
        <f>STOCK[[#This Row],[Entradas]]-STOCK[[#This Row],[Salidas]]</f>
        <v>2</v>
      </c>
      <c r="M1445" s="94">
        <f>STOCK[[#This Row],[Precio Final]]*10%</f>
        <v>2.5</v>
      </c>
      <c r="N1445" s="94">
        <v>0</v>
      </c>
      <c r="O1445" s="94">
        <v>0</v>
      </c>
      <c r="P1445" s="94">
        <v>10.39</v>
      </c>
      <c r="Q1445" s="96">
        <v>0</v>
      </c>
      <c r="R1445" s="94">
        <v>0</v>
      </c>
      <c r="S1445" s="94">
        <v>1.65</v>
      </c>
      <c r="T1445" s="94">
        <f>STOCK[[#This Row],[Costo Unitario (USD)]]+STOCK[[#This Row],[Costo Envío (USD)]]+STOCK[[#This Row],[Comisión 10%]]</f>
        <v>14.54</v>
      </c>
      <c r="U1445" s="76">
        <f>STOCK[[#This Row],[Costo total]]*1.5</f>
        <v>21.81</v>
      </c>
      <c r="V1445" s="94">
        <v>25</v>
      </c>
      <c r="W1445" s="94">
        <f>STOCK[[#This Row],[Precio Final]]-STOCK[[#This Row],[Costo total]]</f>
        <v>10.46</v>
      </c>
      <c r="X1445" s="94">
        <f>STOCK[[#This Row],[Ganancia Unitaria]]*STOCK[[#This Row],[Salidas]]</f>
        <v>0</v>
      </c>
      <c r="Y1445" s="94"/>
      <c r="Z1445" s="94"/>
      <c r="AA1445" s="94">
        <f>STOCK[[#This Row],[Costo total]]*STOCK[[#This Row],[Entradas]]</f>
        <v>29.08</v>
      </c>
      <c r="AB1445" s="94">
        <f>STOCK[[#This Row],[Stock Actual]]*STOCK[[#This Row],[Costo total]]</f>
        <v>29.08</v>
      </c>
      <c r="AC1445" s="94"/>
    </row>
    <row r="1446" s="76" customFormat="1" ht="50" customHeight="1" spans="1:29">
      <c r="A1446" s="76" t="s">
        <v>2918</v>
      </c>
      <c r="B1446" s="95"/>
      <c r="C1446" s="94" t="s">
        <v>30</v>
      </c>
      <c r="D1446" s="94" t="s">
        <v>1188</v>
      </c>
      <c r="E1446" s="94" t="s">
        <v>2916</v>
      </c>
      <c r="F1446" s="94" t="s">
        <v>47</v>
      </c>
      <c r="G1446" s="94"/>
      <c r="H1446" s="94">
        <f>STOCK[[#This Row],[Precio Final]]</f>
        <v>25</v>
      </c>
      <c r="I1446" s="98">
        <f>STOCK[[#This Row],[Precio Venta Ideal (x1.5)]]</f>
        <v>21.81</v>
      </c>
      <c r="J1446" s="96">
        <v>1</v>
      </c>
      <c r="K1446" s="96">
        <f>SUMIFS(VENTAS[Cantidad],VENTAS[Código del producto Vendido],STOCK[[#This Row],[Code]])</f>
        <v>0</v>
      </c>
      <c r="L1446" s="96">
        <f>STOCK[[#This Row],[Entradas]]-STOCK[[#This Row],[Salidas]]</f>
        <v>1</v>
      </c>
      <c r="M1446" s="94">
        <f>STOCK[[#This Row],[Precio Final]]*10%</f>
        <v>2.5</v>
      </c>
      <c r="N1446" s="94">
        <v>0</v>
      </c>
      <c r="O1446" s="94">
        <v>0</v>
      </c>
      <c r="P1446" s="94">
        <v>10.39</v>
      </c>
      <c r="Q1446" s="96">
        <v>0</v>
      </c>
      <c r="R1446" s="94">
        <v>0</v>
      </c>
      <c r="S1446" s="94">
        <v>1.65</v>
      </c>
      <c r="T1446" s="94">
        <f>STOCK[[#This Row],[Costo Unitario (USD)]]+STOCK[[#This Row],[Costo Envío (USD)]]+STOCK[[#This Row],[Comisión 10%]]</f>
        <v>14.54</v>
      </c>
      <c r="U1446" s="76">
        <f>STOCK[[#This Row],[Costo total]]*1.5</f>
        <v>21.81</v>
      </c>
      <c r="V1446" s="94">
        <v>25</v>
      </c>
      <c r="W1446" s="94">
        <f>STOCK[[#This Row],[Precio Final]]-STOCK[[#This Row],[Costo total]]</f>
        <v>10.46</v>
      </c>
      <c r="X1446" s="94">
        <f>STOCK[[#This Row],[Ganancia Unitaria]]*STOCK[[#This Row],[Salidas]]</f>
        <v>0</v>
      </c>
      <c r="Y1446" s="94"/>
      <c r="Z1446" s="94"/>
      <c r="AA1446" s="94">
        <f>STOCK[[#This Row],[Costo total]]*STOCK[[#This Row],[Entradas]]</f>
        <v>14.54</v>
      </c>
      <c r="AB1446" s="94">
        <f>STOCK[[#This Row],[Stock Actual]]*STOCK[[#This Row],[Costo total]]</f>
        <v>14.54</v>
      </c>
      <c r="AC1446" s="94"/>
    </row>
    <row r="1447" s="76" customFormat="1" ht="50" customHeight="1" spans="1:29">
      <c r="A1447" s="76" t="s">
        <v>2919</v>
      </c>
      <c r="B1447" s="95"/>
      <c r="C1447" s="94" t="s">
        <v>30</v>
      </c>
      <c r="D1447" s="94" t="s">
        <v>1188</v>
      </c>
      <c r="E1447" s="94" t="s">
        <v>2916</v>
      </c>
      <c r="F1447" s="94" t="s">
        <v>44</v>
      </c>
      <c r="G1447" s="94"/>
      <c r="H1447" s="94">
        <f>STOCK[[#This Row],[Precio Final]]</f>
        <v>25</v>
      </c>
      <c r="I1447" s="98">
        <f>STOCK[[#This Row],[Precio Venta Ideal (x1.5)]]</f>
        <v>21.81</v>
      </c>
      <c r="J1447" s="96">
        <v>1</v>
      </c>
      <c r="K1447" s="96">
        <f>SUMIFS(VENTAS[Cantidad],VENTAS[Código del producto Vendido],STOCK[[#This Row],[Code]])</f>
        <v>0</v>
      </c>
      <c r="L1447" s="96">
        <f>STOCK[[#This Row],[Entradas]]-STOCK[[#This Row],[Salidas]]</f>
        <v>1</v>
      </c>
      <c r="M1447" s="94">
        <f>STOCK[[#This Row],[Precio Final]]*10%</f>
        <v>2.5</v>
      </c>
      <c r="N1447" s="94">
        <v>0</v>
      </c>
      <c r="O1447" s="94">
        <v>0</v>
      </c>
      <c r="P1447" s="94">
        <v>10.39</v>
      </c>
      <c r="Q1447" s="96">
        <v>0</v>
      </c>
      <c r="R1447" s="94">
        <v>0</v>
      </c>
      <c r="S1447" s="94">
        <v>1.65</v>
      </c>
      <c r="T1447" s="94">
        <f>STOCK[[#This Row],[Costo Unitario (USD)]]+STOCK[[#This Row],[Costo Envío (USD)]]+STOCK[[#This Row],[Comisión 10%]]</f>
        <v>14.54</v>
      </c>
      <c r="U1447" s="76">
        <f>STOCK[[#This Row],[Costo total]]*1.5</f>
        <v>21.81</v>
      </c>
      <c r="V1447" s="94">
        <v>25</v>
      </c>
      <c r="W1447" s="94">
        <f>STOCK[[#This Row],[Precio Final]]-STOCK[[#This Row],[Costo total]]</f>
        <v>10.46</v>
      </c>
      <c r="X1447" s="94">
        <f>STOCK[[#This Row],[Ganancia Unitaria]]*STOCK[[#This Row],[Salidas]]</f>
        <v>0</v>
      </c>
      <c r="Y1447" s="94"/>
      <c r="Z1447" s="94"/>
      <c r="AA1447" s="94">
        <f>STOCK[[#This Row],[Costo total]]*STOCK[[#This Row],[Entradas]]</f>
        <v>14.54</v>
      </c>
      <c r="AB1447" s="94">
        <f>STOCK[[#This Row],[Stock Actual]]*STOCK[[#This Row],[Costo total]]</f>
        <v>14.54</v>
      </c>
      <c r="AC1447" s="94"/>
    </row>
    <row r="1448" s="76" customFormat="1" ht="50" customHeight="1" spans="1:29">
      <c r="A1448" s="76" t="s">
        <v>2920</v>
      </c>
      <c r="B1448" s="95"/>
      <c r="C1448" s="94" t="s">
        <v>30</v>
      </c>
      <c r="D1448" s="94" t="s">
        <v>173</v>
      </c>
      <c r="E1448" s="94" t="s">
        <v>2921</v>
      </c>
      <c r="F1448" s="94" t="s">
        <v>38</v>
      </c>
      <c r="G1448" s="94"/>
      <c r="H1448" s="94">
        <f>STOCK[[#This Row],[Precio Final]]</f>
        <v>0</v>
      </c>
      <c r="I1448" s="98" t="e">
        <f>STOCK[[#This Row],[Precio Venta Ideal (x1.5)]]</f>
        <v>#DIV/0!</v>
      </c>
      <c r="J1448" s="96">
        <v>0</v>
      </c>
      <c r="K1448" s="96">
        <f>SUMIFS(VENTAS[Cantidad],VENTAS[Código del producto Vendido],STOCK[[#This Row],[Code]])</f>
        <v>0</v>
      </c>
      <c r="L1448" s="96">
        <f>STOCK[[#This Row],[Entradas]]-STOCK[[#This Row],[Salidas]]</f>
        <v>0</v>
      </c>
      <c r="M1448" s="94">
        <f>STOCK[[#This Row],[Precio Final]]*10%</f>
        <v>0</v>
      </c>
      <c r="N1448" s="94">
        <v>0</v>
      </c>
      <c r="O1448" s="94">
        <v>0</v>
      </c>
      <c r="P1448" s="94" t="e">
        <f>N1448/O1448</f>
        <v>#DIV/0!</v>
      </c>
      <c r="Q1448" s="96">
        <v>0</v>
      </c>
      <c r="R1448" s="94">
        <v>0</v>
      </c>
      <c r="S1448" s="94">
        <v>1.65</v>
      </c>
      <c r="T1448" s="94" t="e">
        <f>STOCK[[#This Row],[Costo Unitario (USD)]]+STOCK[[#This Row],[Costo Envío (USD)]]+STOCK[[#This Row],[Comisión 10%]]</f>
        <v>#DIV/0!</v>
      </c>
      <c r="U1448" s="76" t="e">
        <f>STOCK[[#This Row],[Costo total]]*1.5</f>
        <v>#DIV/0!</v>
      </c>
      <c r="V1448" s="94"/>
      <c r="W1448" s="94" t="e">
        <f>STOCK[[#This Row],[Precio Final]]-STOCK[[#This Row],[Costo total]]</f>
        <v>#DIV/0!</v>
      </c>
      <c r="X1448" s="94" t="e">
        <f>STOCK[[#This Row],[Ganancia Unitaria]]*STOCK[[#This Row],[Salidas]]</f>
        <v>#DIV/0!</v>
      </c>
      <c r="Y1448" s="94"/>
      <c r="Z1448" s="94"/>
      <c r="AA1448" s="94" t="e">
        <f>STOCK[[#This Row],[Costo total]]*STOCK[[#This Row],[Entradas]]</f>
        <v>#DIV/0!</v>
      </c>
      <c r="AB1448" s="94" t="e">
        <f>STOCK[[#This Row],[Stock Actual]]*STOCK[[#This Row],[Costo total]]</f>
        <v>#DIV/0!</v>
      </c>
      <c r="AC1448" s="94"/>
    </row>
    <row r="1449" s="76" customFormat="1" ht="50" customHeight="1" spans="1:29">
      <c r="A1449" s="76" t="s">
        <v>2922</v>
      </c>
      <c r="B1449" s="95"/>
      <c r="C1449" s="94" t="s">
        <v>30</v>
      </c>
      <c r="D1449" s="94" t="s">
        <v>1188</v>
      </c>
      <c r="E1449" s="94" t="s">
        <v>2921</v>
      </c>
      <c r="F1449" s="94" t="s">
        <v>44</v>
      </c>
      <c r="G1449" s="94"/>
      <c r="H1449" s="94">
        <f>STOCK[[#This Row],[Precio Final]]</f>
        <v>0</v>
      </c>
      <c r="I1449" s="98" t="e">
        <f>STOCK[[#This Row],[Precio Venta Ideal (x1.5)]]</f>
        <v>#DIV/0!</v>
      </c>
      <c r="J1449" s="96">
        <v>0</v>
      </c>
      <c r="K1449" s="96">
        <f>SUMIFS(VENTAS[Cantidad],VENTAS[Código del producto Vendido],STOCK[[#This Row],[Code]])</f>
        <v>0</v>
      </c>
      <c r="L1449" s="96">
        <f>STOCK[[#This Row],[Entradas]]-STOCK[[#This Row],[Salidas]]</f>
        <v>0</v>
      </c>
      <c r="M1449" s="94">
        <f>STOCK[[#This Row],[Precio Final]]*10%</f>
        <v>0</v>
      </c>
      <c r="N1449" s="94">
        <v>0</v>
      </c>
      <c r="O1449" s="94">
        <v>0</v>
      </c>
      <c r="P1449" s="94" t="e">
        <f>N1449/O1449</f>
        <v>#DIV/0!</v>
      </c>
      <c r="Q1449" s="96">
        <v>0</v>
      </c>
      <c r="R1449" s="94">
        <v>0</v>
      </c>
      <c r="S1449" s="94">
        <v>1.65</v>
      </c>
      <c r="T1449" s="94" t="e">
        <f>STOCK[[#This Row],[Costo Unitario (USD)]]+STOCK[[#This Row],[Costo Envío (USD)]]+STOCK[[#This Row],[Comisión 10%]]</f>
        <v>#DIV/0!</v>
      </c>
      <c r="U1449" s="76" t="e">
        <f>STOCK[[#This Row],[Costo total]]*1.5</f>
        <v>#DIV/0!</v>
      </c>
      <c r="V1449" s="94"/>
      <c r="W1449" s="94" t="e">
        <f>STOCK[[#This Row],[Precio Final]]-STOCK[[#This Row],[Costo total]]</f>
        <v>#DIV/0!</v>
      </c>
      <c r="X1449" s="94" t="e">
        <f>STOCK[[#This Row],[Ganancia Unitaria]]*STOCK[[#This Row],[Salidas]]</f>
        <v>#DIV/0!</v>
      </c>
      <c r="Y1449" s="94"/>
      <c r="Z1449" s="94"/>
      <c r="AA1449" s="94" t="e">
        <f>STOCK[[#This Row],[Costo total]]*STOCK[[#This Row],[Entradas]]</f>
        <v>#DIV/0!</v>
      </c>
      <c r="AB1449" s="94" t="e">
        <f>STOCK[[#This Row],[Stock Actual]]*STOCK[[#This Row],[Costo total]]</f>
        <v>#DIV/0!</v>
      </c>
      <c r="AC1449" s="94"/>
    </row>
    <row r="1450" s="76" customFormat="1" ht="50" customHeight="1" spans="1:29">
      <c r="A1450" s="76" t="s">
        <v>2923</v>
      </c>
      <c r="B1450" s="95"/>
      <c r="C1450" s="94" t="s">
        <v>30</v>
      </c>
      <c r="D1450" s="94" t="s">
        <v>1188</v>
      </c>
      <c r="E1450" s="94" t="s">
        <v>2924</v>
      </c>
      <c r="F1450" s="94" t="s">
        <v>38</v>
      </c>
      <c r="G1450" s="94"/>
      <c r="H1450" s="94">
        <f>STOCK[[#This Row],[Precio Final]]</f>
        <v>8</v>
      </c>
      <c r="I1450" s="98">
        <f>STOCK[[#This Row],[Precio Venta Ideal (x1.5)]]</f>
        <v>7.11</v>
      </c>
      <c r="J1450" s="96">
        <v>2</v>
      </c>
      <c r="K1450" s="96">
        <f>SUMIFS(VENTAS[Cantidad],VENTAS[Código del producto Vendido],STOCK[[#This Row],[Code]])</f>
        <v>0</v>
      </c>
      <c r="L1450" s="96">
        <f>STOCK[[#This Row],[Entradas]]-STOCK[[#This Row],[Salidas]]</f>
        <v>2</v>
      </c>
      <c r="M1450" s="94">
        <f>STOCK[[#This Row],[Precio Final]]*10%</f>
        <v>0.8</v>
      </c>
      <c r="N1450" s="94">
        <v>0</v>
      </c>
      <c r="O1450" s="94">
        <v>0</v>
      </c>
      <c r="P1450" s="94">
        <v>2.29</v>
      </c>
      <c r="Q1450" s="96">
        <v>0</v>
      </c>
      <c r="R1450" s="94">
        <v>0</v>
      </c>
      <c r="S1450" s="94">
        <v>1.65</v>
      </c>
      <c r="T1450" s="94">
        <f>STOCK[[#This Row],[Costo Unitario (USD)]]+STOCK[[#This Row],[Costo Envío (USD)]]+STOCK[[#This Row],[Comisión 10%]]</f>
        <v>4.74</v>
      </c>
      <c r="U1450" s="76">
        <f>STOCK[[#This Row],[Costo total]]*1.5</f>
        <v>7.11</v>
      </c>
      <c r="V1450" s="94">
        <v>8</v>
      </c>
      <c r="W1450" s="94">
        <f>STOCK[[#This Row],[Precio Final]]-STOCK[[#This Row],[Costo total]]</f>
        <v>3.26</v>
      </c>
      <c r="X1450" s="94">
        <f>STOCK[[#This Row],[Ganancia Unitaria]]*STOCK[[#This Row],[Salidas]]</f>
        <v>0</v>
      </c>
      <c r="Y1450" s="94"/>
      <c r="Z1450" s="94"/>
      <c r="AA1450" s="94">
        <f>STOCK[[#This Row],[Costo total]]*STOCK[[#This Row],[Entradas]]</f>
        <v>9.48</v>
      </c>
      <c r="AB1450" s="94">
        <f>STOCK[[#This Row],[Stock Actual]]*STOCK[[#This Row],[Costo total]]</f>
        <v>9.48</v>
      </c>
      <c r="AC1450" s="94"/>
    </row>
    <row r="1451" s="76" customFormat="1" ht="50" customHeight="1" spans="1:29">
      <c r="A1451" s="76" t="s">
        <v>2925</v>
      </c>
      <c r="B1451" s="95"/>
      <c r="C1451" s="94" t="s">
        <v>30</v>
      </c>
      <c r="D1451" s="94" t="s">
        <v>1188</v>
      </c>
      <c r="E1451" s="94" t="s">
        <v>2924</v>
      </c>
      <c r="F1451" s="94" t="s">
        <v>44</v>
      </c>
      <c r="G1451" s="94"/>
      <c r="H1451" s="94">
        <f>STOCK[[#This Row],[Precio Final]]</f>
        <v>8</v>
      </c>
      <c r="I1451" s="98">
        <f>STOCK[[#This Row],[Precio Venta Ideal (x1.5)]]</f>
        <v>7.11</v>
      </c>
      <c r="J1451" s="96">
        <v>2</v>
      </c>
      <c r="K1451" s="96">
        <f>SUMIFS(VENTAS[Cantidad],VENTAS[Código del producto Vendido],STOCK[[#This Row],[Code]])</f>
        <v>0</v>
      </c>
      <c r="L1451" s="96">
        <f>STOCK[[#This Row],[Entradas]]-STOCK[[#This Row],[Salidas]]</f>
        <v>2</v>
      </c>
      <c r="M1451" s="94">
        <f>STOCK[[#This Row],[Precio Final]]*10%</f>
        <v>0.8</v>
      </c>
      <c r="N1451" s="94">
        <v>0</v>
      </c>
      <c r="O1451" s="94">
        <v>0</v>
      </c>
      <c r="P1451" s="94">
        <v>2.29</v>
      </c>
      <c r="Q1451" s="96">
        <v>0</v>
      </c>
      <c r="R1451" s="94">
        <v>0</v>
      </c>
      <c r="S1451" s="94">
        <v>1.65</v>
      </c>
      <c r="T1451" s="94">
        <f>STOCK[[#This Row],[Costo Unitario (USD)]]+STOCK[[#This Row],[Costo Envío (USD)]]+STOCK[[#This Row],[Comisión 10%]]</f>
        <v>4.74</v>
      </c>
      <c r="U1451" s="76">
        <f>STOCK[[#This Row],[Costo total]]*1.5</f>
        <v>7.11</v>
      </c>
      <c r="V1451" s="94">
        <v>8</v>
      </c>
      <c r="W1451" s="94">
        <f>STOCK[[#This Row],[Precio Final]]-STOCK[[#This Row],[Costo total]]</f>
        <v>3.26</v>
      </c>
      <c r="X1451" s="94">
        <f>STOCK[[#This Row],[Ganancia Unitaria]]*STOCK[[#This Row],[Salidas]]</f>
        <v>0</v>
      </c>
      <c r="Y1451" s="94"/>
      <c r="Z1451" s="94"/>
      <c r="AA1451" s="94">
        <f>STOCK[[#This Row],[Costo total]]*STOCK[[#This Row],[Entradas]]</f>
        <v>9.48</v>
      </c>
      <c r="AB1451" s="94">
        <f>STOCK[[#This Row],[Stock Actual]]*STOCK[[#This Row],[Costo total]]</f>
        <v>9.48</v>
      </c>
      <c r="AC1451" s="94"/>
    </row>
    <row r="1452" s="76" customFormat="1" ht="50" customHeight="1" spans="1:29">
      <c r="A1452" s="76" t="s">
        <v>2926</v>
      </c>
      <c r="B1452" s="95"/>
      <c r="C1452" s="94" t="s">
        <v>30</v>
      </c>
      <c r="D1452" s="94" t="s">
        <v>2842</v>
      </c>
      <c r="E1452" s="94" t="s">
        <v>2927</v>
      </c>
      <c r="F1452" s="94" t="s">
        <v>38</v>
      </c>
      <c r="G1452" s="94"/>
      <c r="H1452" s="94">
        <f>STOCK[[#This Row],[Precio Final]]</f>
        <v>30</v>
      </c>
      <c r="I1452" s="98">
        <f>STOCK[[#This Row],[Precio Venta Ideal (x1.5)]]</f>
        <v>23.19</v>
      </c>
      <c r="J1452" s="96">
        <v>2</v>
      </c>
      <c r="K1452" s="96">
        <f>SUMIFS(VENTAS[Cantidad],VENTAS[Código del producto Vendido],STOCK[[#This Row],[Code]])</f>
        <v>0</v>
      </c>
      <c r="L1452" s="96">
        <f>STOCK[[#This Row],[Entradas]]-STOCK[[#This Row],[Salidas]]</f>
        <v>2</v>
      </c>
      <c r="M1452" s="94">
        <f>STOCK[[#This Row],[Precio Final]]*10%</f>
        <v>3</v>
      </c>
      <c r="N1452" s="94">
        <v>0</v>
      </c>
      <c r="O1452" s="94">
        <v>0</v>
      </c>
      <c r="P1452" s="94">
        <v>10.81</v>
      </c>
      <c r="Q1452" s="96">
        <v>0</v>
      </c>
      <c r="R1452" s="94">
        <v>0</v>
      </c>
      <c r="S1452" s="94">
        <v>1.65</v>
      </c>
      <c r="T1452" s="94">
        <f>STOCK[[#This Row],[Costo Unitario (USD)]]+STOCK[[#This Row],[Costo Envío (USD)]]+STOCK[[#This Row],[Comisión 10%]]</f>
        <v>15.46</v>
      </c>
      <c r="U1452" s="76">
        <f>STOCK[[#This Row],[Costo total]]*1.5</f>
        <v>23.19</v>
      </c>
      <c r="V1452" s="94">
        <v>30</v>
      </c>
      <c r="W1452" s="94">
        <f>STOCK[[#This Row],[Precio Final]]-STOCK[[#This Row],[Costo total]]</f>
        <v>14.54</v>
      </c>
      <c r="X1452" s="94">
        <f>STOCK[[#This Row],[Ganancia Unitaria]]*STOCK[[#This Row],[Salidas]]</f>
        <v>0</v>
      </c>
      <c r="Y1452" s="94"/>
      <c r="Z1452" s="94"/>
      <c r="AA1452" s="94">
        <f>STOCK[[#This Row],[Costo total]]*STOCK[[#This Row],[Entradas]]</f>
        <v>30.92</v>
      </c>
      <c r="AB1452" s="94">
        <f>STOCK[[#This Row],[Stock Actual]]*STOCK[[#This Row],[Costo total]]</f>
        <v>30.92</v>
      </c>
      <c r="AC1452" s="94"/>
    </row>
    <row r="1453" s="76" customFormat="1" ht="50" customHeight="1" spans="1:29">
      <c r="A1453" s="76" t="s">
        <v>2928</v>
      </c>
      <c r="B1453" s="95"/>
      <c r="C1453" s="94" t="s">
        <v>30</v>
      </c>
      <c r="D1453" s="94" t="s">
        <v>2842</v>
      </c>
      <c r="E1453" s="94" t="s">
        <v>2927</v>
      </c>
      <c r="F1453" s="94" t="s">
        <v>60</v>
      </c>
      <c r="G1453" s="94"/>
      <c r="H1453" s="94">
        <f>STOCK[[#This Row],[Precio Final]]</f>
        <v>30</v>
      </c>
      <c r="I1453" s="98">
        <f>STOCK[[#This Row],[Precio Venta Ideal (x1.5)]]</f>
        <v>23.205</v>
      </c>
      <c r="J1453" s="96">
        <v>2</v>
      </c>
      <c r="K1453" s="96">
        <f>SUMIFS(VENTAS[Cantidad],VENTAS[Código del producto Vendido],STOCK[[#This Row],[Code]])</f>
        <v>0</v>
      </c>
      <c r="L1453" s="96">
        <f>STOCK[[#This Row],[Entradas]]-STOCK[[#This Row],[Salidas]]</f>
        <v>2</v>
      </c>
      <c r="M1453" s="94">
        <f>STOCK[[#This Row],[Precio Final]]*10%</f>
        <v>3</v>
      </c>
      <c r="N1453" s="94">
        <v>0</v>
      </c>
      <c r="O1453" s="94">
        <v>0</v>
      </c>
      <c r="P1453" s="94">
        <v>10.82</v>
      </c>
      <c r="Q1453" s="96">
        <v>0</v>
      </c>
      <c r="R1453" s="94">
        <v>0</v>
      </c>
      <c r="S1453" s="94">
        <v>1.65</v>
      </c>
      <c r="T1453" s="94">
        <f>STOCK[[#This Row],[Costo Unitario (USD)]]+STOCK[[#This Row],[Costo Envío (USD)]]+STOCK[[#This Row],[Comisión 10%]]</f>
        <v>15.47</v>
      </c>
      <c r="U1453" s="76">
        <f>STOCK[[#This Row],[Costo total]]*1.5</f>
        <v>23.205</v>
      </c>
      <c r="V1453" s="94">
        <v>30</v>
      </c>
      <c r="W1453" s="94">
        <f>STOCK[[#This Row],[Precio Final]]-STOCK[[#This Row],[Costo total]]</f>
        <v>14.53</v>
      </c>
      <c r="X1453" s="94">
        <f>STOCK[[#This Row],[Ganancia Unitaria]]*STOCK[[#This Row],[Salidas]]</f>
        <v>0</v>
      </c>
      <c r="Y1453" s="94"/>
      <c r="Z1453" s="94"/>
      <c r="AA1453" s="94">
        <f>STOCK[[#This Row],[Costo total]]*STOCK[[#This Row],[Entradas]]</f>
        <v>30.94</v>
      </c>
      <c r="AB1453" s="94">
        <f>STOCK[[#This Row],[Stock Actual]]*STOCK[[#This Row],[Costo total]]</f>
        <v>30.94</v>
      </c>
      <c r="AC1453" s="94"/>
    </row>
    <row r="1454" s="76" customFormat="1" ht="50" customHeight="1" spans="1:29">
      <c r="A1454" s="76" t="s">
        <v>2929</v>
      </c>
      <c r="B1454" s="95"/>
      <c r="C1454" s="94" t="s">
        <v>30</v>
      </c>
      <c r="D1454" s="94" t="s">
        <v>2842</v>
      </c>
      <c r="E1454" s="94" t="s">
        <v>2927</v>
      </c>
      <c r="F1454" s="94" t="s">
        <v>47</v>
      </c>
      <c r="G1454" s="94"/>
      <c r="H1454" s="94">
        <f>STOCK[[#This Row],[Precio Final]]</f>
        <v>30</v>
      </c>
      <c r="I1454" s="98">
        <f>STOCK[[#This Row],[Precio Venta Ideal (x1.5)]]</f>
        <v>23.205</v>
      </c>
      <c r="J1454" s="96">
        <v>3</v>
      </c>
      <c r="K1454" s="96">
        <f>SUMIFS(VENTAS[Cantidad],VENTAS[Código del producto Vendido],STOCK[[#This Row],[Code]])</f>
        <v>0</v>
      </c>
      <c r="L1454" s="96">
        <f>STOCK[[#This Row],[Entradas]]-STOCK[[#This Row],[Salidas]]</f>
        <v>3</v>
      </c>
      <c r="M1454" s="94">
        <f>STOCK[[#This Row],[Precio Final]]*10%</f>
        <v>3</v>
      </c>
      <c r="N1454" s="94">
        <v>0</v>
      </c>
      <c r="O1454" s="94">
        <v>0</v>
      </c>
      <c r="P1454" s="94">
        <v>10.82</v>
      </c>
      <c r="Q1454" s="96">
        <v>0</v>
      </c>
      <c r="R1454" s="94">
        <v>0</v>
      </c>
      <c r="S1454" s="94">
        <v>1.65</v>
      </c>
      <c r="T1454" s="94">
        <f>STOCK[[#This Row],[Costo Unitario (USD)]]+STOCK[[#This Row],[Costo Envío (USD)]]+STOCK[[#This Row],[Comisión 10%]]</f>
        <v>15.47</v>
      </c>
      <c r="U1454" s="76">
        <f>STOCK[[#This Row],[Costo total]]*1.5</f>
        <v>23.205</v>
      </c>
      <c r="V1454" s="94">
        <v>30</v>
      </c>
      <c r="W1454" s="94">
        <f>STOCK[[#This Row],[Precio Final]]-STOCK[[#This Row],[Costo total]]</f>
        <v>14.53</v>
      </c>
      <c r="X1454" s="94">
        <f>STOCK[[#This Row],[Ganancia Unitaria]]*STOCK[[#This Row],[Salidas]]</f>
        <v>0</v>
      </c>
      <c r="Y1454" s="94"/>
      <c r="Z1454" s="94"/>
      <c r="AA1454" s="94">
        <f>STOCK[[#This Row],[Costo total]]*STOCK[[#This Row],[Entradas]]</f>
        <v>46.41</v>
      </c>
      <c r="AB1454" s="94">
        <f>STOCK[[#This Row],[Stock Actual]]*STOCK[[#This Row],[Costo total]]</f>
        <v>46.41</v>
      </c>
      <c r="AC1454" s="94"/>
    </row>
    <row r="1455" s="76" customFormat="1" ht="50" customHeight="1" spans="1:29">
      <c r="A1455" s="76" t="s">
        <v>2930</v>
      </c>
      <c r="B1455" s="95"/>
      <c r="C1455" s="94" t="s">
        <v>30</v>
      </c>
      <c r="D1455" s="94" t="s">
        <v>2842</v>
      </c>
      <c r="E1455" s="94" t="s">
        <v>2927</v>
      </c>
      <c r="F1455" s="94" t="s">
        <v>44</v>
      </c>
      <c r="G1455" s="94"/>
      <c r="H1455" s="94">
        <f>STOCK[[#This Row],[Precio Final]]</f>
        <v>30</v>
      </c>
      <c r="I1455" s="98">
        <f>STOCK[[#This Row],[Precio Venta Ideal (x1.5)]]</f>
        <v>23.19</v>
      </c>
      <c r="J1455" s="96">
        <v>2</v>
      </c>
      <c r="K1455" s="96">
        <f>SUMIFS(VENTAS[Cantidad],VENTAS[Código del producto Vendido],STOCK[[#This Row],[Code]])</f>
        <v>0</v>
      </c>
      <c r="L1455" s="96">
        <f>STOCK[[#This Row],[Entradas]]-STOCK[[#This Row],[Salidas]]</f>
        <v>2</v>
      </c>
      <c r="M1455" s="94">
        <f>STOCK[[#This Row],[Precio Final]]*10%</f>
        <v>3</v>
      </c>
      <c r="N1455" s="94">
        <v>0</v>
      </c>
      <c r="O1455" s="94">
        <v>0</v>
      </c>
      <c r="P1455" s="94">
        <v>10.81</v>
      </c>
      <c r="Q1455" s="96">
        <v>0</v>
      </c>
      <c r="R1455" s="94">
        <v>0</v>
      </c>
      <c r="S1455" s="94">
        <v>1.65</v>
      </c>
      <c r="T1455" s="94">
        <f>STOCK[[#This Row],[Costo Unitario (USD)]]+STOCK[[#This Row],[Costo Envío (USD)]]+STOCK[[#This Row],[Comisión 10%]]</f>
        <v>15.46</v>
      </c>
      <c r="U1455" s="76">
        <f>STOCK[[#This Row],[Costo total]]*1.5</f>
        <v>23.19</v>
      </c>
      <c r="V1455" s="94">
        <v>30</v>
      </c>
      <c r="W1455" s="94">
        <f>STOCK[[#This Row],[Precio Final]]-STOCK[[#This Row],[Costo total]]</f>
        <v>14.54</v>
      </c>
      <c r="X1455" s="94">
        <f>STOCK[[#This Row],[Ganancia Unitaria]]*STOCK[[#This Row],[Salidas]]</f>
        <v>0</v>
      </c>
      <c r="Y1455" s="94"/>
      <c r="Z1455" s="94"/>
      <c r="AA1455" s="94">
        <f>STOCK[[#This Row],[Costo total]]*STOCK[[#This Row],[Entradas]]</f>
        <v>30.92</v>
      </c>
      <c r="AB1455" s="94">
        <f>STOCK[[#This Row],[Stock Actual]]*STOCK[[#This Row],[Costo total]]</f>
        <v>30.92</v>
      </c>
      <c r="AC1455" s="94"/>
    </row>
    <row r="1456" s="76" customFormat="1" ht="50" customHeight="1" spans="1:29">
      <c r="A1456" s="76" t="s">
        <v>2931</v>
      </c>
      <c r="B1456" s="95"/>
      <c r="C1456" s="94" t="s">
        <v>30</v>
      </c>
      <c r="D1456" s="94" t="s">
        <v>2842</v>
      </c>
      <c r="E1456" s="94" t="s">
        <v>2927</v>
      </c>
      <c r="F1456" s="94" t="s">
        <v>40</v>
      </c>
      <c r="G1456" s="94"/>
      <c r="H1456" s="94">
        <f>STOCK[[#This Row],[Precio Final]]</f>
        <v>30</v>
      </c>
      <c r="I1456" s="98">
        <f>STOCK[[#This Row],[Precio Venta Ideal (x1.5)]]</f>
        <v>23.19</v>
      </c>
      <c r="J1456" s="96">
        <v>2</v>
      </c>
      <c r="K1456" s="96">
        <f>SUMIFS(VENTAS[Cantidad],VENTAS[Código del producto Vendido],STOCK[[#This Row],[Code]])</f>
        <v>0</v>
      </c>
      <c r="L1456" s="96">
        <f>STOCK[[#This Row],[Entradas]]-STOCK[[#This Row],[Salidas]]</f>
        <v>2</v>
      </c>
      <c r="M1456" s="94">
        <f>STOCK[[#This Row],[Precio Final]]*10%</f>
        <v>3</v>
      </c>
      <c r="N1456" s="94">
        <v>0</v>
      </c>
      <c r="O1456" s="94">
        <v>0</v>
      </c>
      <c r="P1456" s="94">
        <v>10.81</v>
      </c>
      <c r="Q1456" s="96">
        <v>0</v>
      </c>
      <c r="R1456" s="94">
        <v>0</v>
      </c>
      <c r="S1456" s="94">
        <v>1.65</v>
      </c>
      <c r="T1456" s="94">
        <f>STOCK[[#This Row],[Costo Unitario (USD)]]+STOCK[[#This Row],[Costo Envío (USD)]]+STOCK[[#This Row],[Comisión 10%]]</f>
        <v>15.46</v>
      </c>
      <c r="U1456" s="76">
        <f>STOCK[[#This Row],[Costo total]]*1.5</f>
        <v>23.19</v>
      </c>
      <c r="V1456" s="94">
        <v>30</v>
      </c>
      <c r="W1456" s="94">
        <f>STOCK[[#This Row],[Precio Final]]-STOCK[[#This Row],[Costo total]]</f>
        <v>14.54</v>
      </c>
      <c r="X1456" s="94">
        <f>STOCK[[#This Row],[Ganancia Unitaria]]*STOCK[[#This Row],[Salidas]]</f>
        <v>0</v>
      </c>
      <c r="Y1456" s="94"/>
      <c r="Z1456" s="94"/>
      <c r="AA1456" s="94">
        <f>STOCK[[#This Row],[Costo total]]*STOCK[[#This Row],[Entradas]]</f>
        <v>30.92</v>
      </c>
      <c r="AB1456" s="94">
        <f>STOCK[[#This Row],[Stock Actual]]*STOCK[[#This Row],[Costo total]]</f>
        <v>30.92</v>
      </c>
      <c r="AC1456" s="94"/>
    </row>
    <row r="1457" s="76" customFormat="1" ht="50" customHeight="1" spans="1:29">
      <c r="A1457" s="76" t="s">
        <v>2932</v>
      </c>
      <c r="B1457" s="95"/>
      <c r="C1457" s="94" t="s">
        <v>30</v>
      </c>
      <c r="D1457" s="94" t="s">
        <v>1224</v>
      </c>
      <c r="E1457" s="94" t="s">
        <v>2933</v>
      </c>
      <c r="F1457" s="94" t="s">
        <v>539</v>
      </c>
      <c r="G1457" s="94"/>
      <c r="H1457" s="94">
        <f>STOCK[[#This Row],[Precio Final]]</f>
        <v>18</v>
      </c>
      <c r="I1457" s="98">
        <f>STOCK[[#This Row],[Precio Venta Ideal (x1.5)]]</f>
        <v>16.89</v>
      </c>
      <c r="J1457" s="96">
        <v>1</v>
      </c>
      <c r="K1457" s="96">
        <f>SUMIFS(VENTAS[Cantidad],VENTAS[Código del producto Vendido],STOCK[[#This Row],[Code]])</f>
        <v>1</v>
      </c>
      <c r="L1457" s="96">
        <f>STOCK[[#This Row],[Entradas]]-STOCK[[#This Row],[Salidas]]</f>
        <v>0</v>
      </c>
      <c r="M1457" s="94">
        <f>STOCK[[#This Row],[Precio Final]]*10%</f>
        <v>1.8</v>
      </c>
      <c r="N1457" s="94">
        <v>0</v>
      </c>
      <c r="O1457" s="94">
        <v>0</v>
      </c>
      <c r="P1457" s="94">
        <v>7.81</v>
      </c>
      <c r="Q1457" s="96">
        <v>0</v>
      </c>
      <c r="R1457" s="94">
        <v>0</v>
      </c>
      <c r="S1457" s="94">
        <v>1.65</v>
      </c>
      <c r="T1457" s="94">
        <f>STOCK[[#This Row],[Costo Unitario (USD)]]+STOCK[[#This Row],[Costo Envío (USD)]]+STOCK[[#This Row],[Comisión 10%]]</f>
        <v>11.26</v>
      </c>
      <c r="U1457" s="76">
        <f>STOCK[[#This Row],[Costo total]]*1.5</f>
        <v>16.89</v>
      </c>
      <c r="V1457" s="94">
        <v>18</v>
      </c>
      <c r="W1457" s="94">
        <f>STOCK[[#This Row],[Precio Final]]-STOCK[[#This Row],[Costo total]]</f>
        <v>6.74</v>
      </c>
      <c r="X1457" s="94">
        <f>STOCK[[#This Row],[Ganancia Unitaria]]*STOCK[[#This Row],[Salidas]]</f>
        <v>6.74</v>
      </c>
      <c r="Y1457" s="94"/>
      <c r="Z1457" s="94"/>
      <c r="AA1457" s="94">
        <f>STOCK[[#This Row],[Costo total]]*STOCK[[#This Row],[Entradas]]</f>
        <v>11.26</v>
      </c>
      <c r="AB1457" s="94">
        <f>STOCK[[#This Row],[Stock Actual]]*STOCK[[#This Row],[Costo total]]</f>
        <v>0</v>
      </c>
      <c r="AC1457" s="94"/>
    </row>
    <row r="1458" s="76" customFormat="1" ht="50" customHeight="1" spans="1:29">
      <c r="A1458" s="76" t="s">
        <v>2934</v>
      </c>
      <c r="B1458" s="95"/>
      <c r="C1458" s="94" t="s">
        <v>30</v>
      </c>
      <c r="D1458" s="94" t="s">
        <v>1224</v>
      </c>
      <c r="E1458" s="94" t="s">
        <v>2933</v>
      </c>
      <c r="F1458" s="94" t="s">
        <v>757</v>
      </c>
      <c r="G1458" s="94"/>
      <c r="H1458" s="94">
        <f>STOCK[[#This Row],[Precio Final]]</f>
        <v>18</v>
      </c>
      <c r="I1458" s="98">
        <f>STOCK[[#This Row],[Precio Venta Ideal (x1.5)]]</f>
        <v>16.89</v>
      </c>
      <c r="J1458" s="96">
        <v>1</v>
      </c>
      <c r="K1458" s="96">
        <f>SUMIFS(VENTAS[Cantidad],VENTAS[Código del producto Vendido],STOCK[[#This Row],[Code]])</f>
        <v>1</v>
      </c>
      <c r="L1458" s="96">
        <f>STOCK[[#This Row],[Entradas]]-STOCK[[#This Row],[Salidas]]</f>
        <v>0</v>
      </c>
      <c r="M1458" s="94">
        <f>STOCK[[#This Row],[Precio Final]]*10%</f>
        <v>1.8</v>
      </c>
      <c r="N1458" s="94">
        <v>0</v>
      </c>
      <c r="O1458" s="94">
        <v>0</v>
      </c>
      <c r="P1458" s="94">
        <v>7.81</v>
      </c>
      <c r="Q1458" s="96">
        <v>0</v>
      </c>
      <c r="R1458" s="94">
        <v>0</v>
      </c>
      <c r="S1458" s="94">
        <v>1.65</v>
      </c>
      <c r="T1458" s="94">
        <f>STOCK[[#This Row],[Costo Unitario (USD)]]+STOCK[[#This Row],[Costo Envío (USD)]]+STOCK[[#This Row],[Comisión 10%]]</f>
        <v>11.26</v>
      </c>
      <c r="U1458" s="76">
        <f>STOCK[[#This Row],[Costo total]]*1.5</f>
        <v>16.89</v>
      </c>
      <c r="V1458" s="94">
        <v>18</v>
      </c>
      <c r="W1458" s="94">
        <f>STOCK[[#This Row],[Precio Final]]-STOCK[[#This Row],[Costo total]]</f>
        <v>6.74</v>
      </c>
      <c r="X1458" s="94">
        <f>STOCK[[#This Row],[Ganancia Unitaria]]*STOCK[[#This Row],[Salidas]]</f>
        <v>6.74</v>
      </c>
      <c r="Y1458" s="94"/>
      <c r="Z1458" s="94"/>
      <c r="AA1458" s="94">
        <f>STOCK[[#This Row],[Costo total]]*STOCK[[#This Row],[Entradas]]</f>
        <v>11.26</v>
      </c>
      <c r="AB1458" s="94">
        <f>STOCK[[#This Row],[Stock Actual]]*STOCK[[#This Row],[Costo total]]</f>
        <v>0</v>
      </c>
      <c r="AC1458" s="94"/>
    </row>
    <row r="1459" s="76" customFormat="1" ht="50" customHeight="1" spans="1:29">
      <c r="A1459" s="76" t="s">
        <v>2935</v>
      </c>
      <c r="B1459" s="95"/>
      <c r="C1459" s="94" t="s">
        <v>30</v>
      </c>
      <c r="D1459" s="94" t="s">
        <v>2626</v>
      </c>
      <c r="E1459" s="94" t="s">
        <v>2936</v>
      </c>
      <c r="F1459" s="94" t="s">
        <v>60</v>
      </c>
      <c r="G1459" s="94"/>
      <c r="H1459" s="94">
        <f>STOCK[[#This Row],[Precio Final]]</f>
        <v>25</v>
      </c>
      <c r="I1459" s="98">
        <f>STOCK[[#This Row],[Precio Venta Ideal (x1.5)]]</f>
        <v>19.935</v>
      </c>
      <c r="J1459" s="96">
        <v>1</v>
      </c>
      <c r="K1459" s="96">
        <f>SUMIFS(VENTAS[Cantidad],VENTAS[Código del producto Vendido],STOCK[[#This Row],[Code]])</f>
        <v>1</v>
      </c>
      <c r="L1459" s="96">
        <f>STOCK[[#This Row],[Entradas]]-STOCK[[#This Row],[Salidas]]</f>
        <v>0</v>
      </c>
      <c r="M1459" s="94">
        <f>STOCK[[#This Row],[Precio Final]]*10%</f>
        <v>2.5</v>
      </c>
      <c r="N1459" s="94">
        <v>0</v>
      </c>
      <c r="O1459" s="94">
        <v>0</v>
      </c>
      <c r="P1459" s="94">
        <v>9.14</v>
      </c>
      <c r="Q1459" s="96">
        <v>0</v>
      </c>
      <c r="R1459" s="94">
        <v>0</v>
      </c>
      <c r="S1459" s="94">
        <v>1.65</v>
      </c>
      <c r="T1459" s="94">
        <f>STOCK[[#This Row],[Costo Unitario (USD)]]+STOCK[[#This Row],[Costo Envío (USD)]]+STOCK[[#This Row],[Comisión 10%]]</f>
        <v>13.29</v>
      </c>
      <c r="U1459" s="76">
        <f>STOCK[[#This Row],[Costo total]]*1.5</f>
        <v>19.935</v>
      </c>
      <c r="V1459" s="94">
        <v>25</v>
      </c>
      <c r="W1459" s="94">
        <f>STOCK[[#This Row],[Precio Final]]-STOCK[[#This Row],[Costo total]]</f>
        <v>11.71</v>
      </c>
      <c r="X1459" s="94">
        <f>STOCK[[#This Row],[Ganancia Unitaria]]*STOCK[[#This Row],[Salidas]]</f>
        <v>11.71</v>
      </c>
      <c r="Y1459" s="94"/>
      <c r="Z1459" s="94"/>
      <c r="AA1459" s="94">
        <f>STOCK[[#This Row],[Costo total]]*STOCK[[#This Row],[Entradas]]</f>
        <v>13.29</v>
      </c>
      <c r="AB1459" s="94">
        <f>STOCK[[#This Row],[Stock Actual]]*STOCK[[#This Row],[Costo total]]</f>
        <v>0</v>
      </c>
      <c r="AC1459" s="94"/>
    </row>
    <row r="1460" s="76" customFormat="1" ht="50" customHeight="1" spans="1:29">
      <c r="A1460" s="76" t="s">
        <v>2937</v>
      </c>
      <c r="B1460" s="95"/>
      <c r="C1460" s="94" t="s">
        <v>30</v>
      </c>
      <c r="D1460" s="94" t="s">
        <v>2626</v>
      </c>
      <c r="E1460" s="94" t="s">
        <v>2936</v>
      </c>
      <c r="F1460" s="94" t="s">
        <v>47</v>
      </c>
      <c r="G1460" s="94"/>
      <c r="H1460" s="94">
        <f>STOCK[[#This Row],[Precio Final]]</f>
        <v>25</v>
      </c>
      <c r="I1460" s="98">
        <f>STOCK[[#This Row],[Precio Venta Ideal (x1.5)]]</f>
        <v>19.935</v>
      </c>
      <c r="J1460" s="96">
        <v>1</v>
      </c>
      <c r="K1460" s="96">
        <f>SUMIFS(VENTAS[Cantidad],VENTAS[Código del producto Vendido],STOCK[[#This Row],[Code]])</f>
        <v>1</v>
      </c>
      <c r="L1460" s="96">
        <f>STOCK[[#This Row],[Entradas]]-STOCK[[#This Row],[Salidas]]</f>
        <v>0</v>
      </c>
      <c r="M1460" s="94">
        <f>STOCK[[#This Row],[Precio Final]]*10%</f>
        <v>2.5</v>
      </c>
      <c r="N1460" s="94">
        <v>0</v>
      </c>
      <c r="O1460" s="94">
        <v>0</v>
      </c>
      <c r="P1460" s="94">
        <v>9.14</v>
      </c>
      <c r="Q1460" s="96">
        <v>0</v>
      </c>
      <c r="R1460" s="94">
        <v>0</v>
      </c>
      <c r="S1460" s="94">
        <v>1.65</v>
      </c>
      <c r="T1460" s="94">
        <f>STOCK[[#This Row],[Costo Unitario (USD)]]+STOCK[[#This Row],[Costo Envío (USD)]]+STOCK[[#This Row],[Comisión 10%]]</f>
        <v>13.29</v>
      </c>
      <c r="U1460" s="76">
        <f>STOCK[[#This Row],[Costo total]]*1.5</f>
        <v>19.935</v>
      </c>
      <c r="V1460" s="94">
        <v>25</v>
      </c>
      <c r="W1460" s="94">
        <f>STOCK[[#This Row],[Precio Final]]-STOCK[[#This Row],[Costo total]]</f>
        <v>11.71</v>
      </c>
      <c r="X1460" s="94">
        <f>STOCK[[#This Row],[Ganancia Unitaria]]*STOCK[[#This Row],[Salidas]]</f>
        <v>11.71</v>
      </c>
      <c r="Y1460" s="94"/>
      <c r="Z1460" s="94"/>
      <c r="AA1460" s="94">
        <f>STOCK[[#This Row],[Costo total]]*STOCK[[#This Row],[Entradas]]</f>
        <v>13.29</v>
      </c>
      <c r="AB1460" s="94">
        <f>STOCK[[#This Row],[Stock Actual]]*STOCK[[#This Row],[Costo total]]</f>
        <v>0</v>
      </c>
      <c r="AC1460" s="94"/>
    </row>
    <row r="1461" s="76" customFormat="1" ht="50" customHeight="1" spans="1:29">
      <c r="A1461" s="76" t="s">
        <v>2938</v>
      </c>
      <c r="B1461" s="95"/>
      <c r="C1461" s="94" t="s">
        <v>30</v>
      </c>
      <c r="D1461" s="94" t="s">
        <v>2626</v>
      </c>
      <c r="E1461" s="94" t="s">
        <v>2936</v>
      </c>
      <c r="F1461" s="94" t="s">
        <v>44</v>
      </c>
      <c r="G1461" s="94"/>
      <c r="H1461" s="94">
        <f>STOCK[[#This Row],[Precio Final]]</f>
        <v>25</v>
      </c>
      <c r="I1461" s="98">
        <f>STOCK[[#This Row],[Precio Venta Ideal (x1.5)]]</f>
        <v>19.935</v>
      </c>
      <c r="J1461" s="96">
        <v>1</v>
      </c>
      <c r="K1461" s="96">
        <f>SUMIFS(VENTAS[Cantidad],VENTAS[Código del producto Vendido],STOCK[[#This Row],[Code]])</f>
        <v>0</v>
      </c>
      <c r="L1461" s="96">
        <f>STOCK[[#This Row],[Entradas]]-STOCK[[#This Row],[Salidas]]</f>
        <v>1</v>
      </c>
      <c r="M1461" s="94">
        <f>STOCK[[#This Row],[Precio Final]]*10%</f>
        <v>2.5</v>
      </c>
      <c r="N1461" s="94">
        <v>0</v>
      </c>
      <c r="O1461" s="94">
        <v>0</v>
      </c>
      <c r="P1461" s="94">
        <v>9.14</v>
      </c>
      <c r="Q1461" s="96">
        <v>0</v>
      </c>
      <c r="R1461" s="94">
        <v>0</v>
      </c>
      <c r="S1461" s="94">
        <v>1.65</v>
      </c>
      <c r="T1461" s="94">
        <f>STOCK[[#This Row],[Costo Unitario (USD)]]+STOCK[[#This Row],[Costo Envío (USD)]]+STOCK[[#This Row],[Comisión 10%]]</f>
        <v>13.29</v>
      </c>
      <c r="U1461" s="76">
        <f>STOCK[[#This Row],[Costo total]]*1.5</f>
        <v>19.935</v>
      </c>
      <c r="V1461" s="94">
        <v>25</v>
      </c>
      <c r="W1461" s="94">
        <f>STOCK[[#This Row],[Precio Final]]-STOCK[[#This Row],[Costo total]]</f>
        <v>11.71</v>
      </c>
      <c r="X1461" s="94">
        <f>STOCK[[#This Row],[Ganancia Unitaria]]*STOCK[[#This Row],[Salidas]]</f>
        <v>0</v>
      </c>
      <c r="Y1461" s="94"/>
      <c r="Z1461" s="94"/>
      <c r="AA1461" s="94">
        <f>STOCK[[#This Row],[Costo total]]*STOCK[[#This Row],[Entradas]]</f>
        <v>13.29</v>
      </c>
      <c r="AB1461" s="94">
        <f>STOCK[[#This Row],[Stock Actual]]*STOCK[[#This Row],[Costo total]]</f>
        <v>13.29</v>
      </c>
      <c r="AC1461" s="94"/>
    </row>
    <row r="1462" s="76" customFormat="1" ht="50" customHeight="1" spans="1:29">
      <c r="A1462" s="76" t="s">
        <v>2939</v>
      </c>
      <c r="B1462" s="95"/>
      <c r="C1462" s="94" t="s">
        <v>30</v>
      </c>
      <c r="D1462" s="94" t="s">
        <v>2626</v>
      </c>
      <c r="E1462" s="94" t="s">
        <v>2940</v>
      </c>
      <c r="F1462" s="94" t="s">
        <v>2819</v>
      </c>
      <c r="G1462" s="94"/>
      <c r="H1462" s="94">
        <f>STOCK[[#This Row],[Precio Final]]</f>
        <v>25</v>
      </c>
      <c r="I1462" s="98">
        <f>STOCK[[#This Row],[Precio Venta Ideal (x1.5)]]</f>
        <v>16.56</v>
      </c>
      <c r="J1462" s="96">
        <v>5</v>
      </c>
      <c r="K1462" s="96">
        <f>SUMIFS(VENTAS[Cantidad],VENTAS[Código del producto Vendido],STOCK[[#This Row],[Code]])</f>
        <v>0</v>
      </c>
      <c r="L1462" s="96">
        <f>STOCK[[#This Row],[Entradas]]-STOCK[[#This Row],[Salidas]]</f>
        <v>5</v>
      </c>
      <c r="M1462" s="94">
        <f>STOCK[[#This Row],[Precio Final]]*10%</f>
        <v>2.5</v>
      </c>
      <c r="N1462" s="94">
        <v>0</v>
      </c>
      <c r="O1462" s="94">
        <v>0</v>
      </c>
      <c r="P1462" s="94">
        <v>6.89</v>
      </c>
      <c r="Q1462" s="96">
        <v>0</v>
      </c>
      <c r="R1462" s="94">
        <v>0</v>
      </c>
      <c r="S1462" s="94">
        <v>1.65</v>
      </c>
      <c r="T1462" s="94">
        <f>STOCK[[#This Row],[Costo Unitario (USD)]]+STOCK[[#This Row],[Costo Envío (USD)]]+STOCK[[#This Row],[Comisión 10%]]</f>
        <v>11.04</v>
      </c>
      <c r="U1462" s="76">
        <f>STOCK[[#This Row],[Costo total]]*1.5</f>
        <v>16.56</v>
      </c>
      <c r="V1462" s="94">
        <v>25</v>
      </c>
      <c r="W1462" s="94">
        <f>STOCK[[#This Row],[Precio Final]]-STOCK[[#This Row],[Costo total]]</f>
        <v>13.96</v>
      </c>
      <c r="X1462" s="94">
        <f>STOCK[[#This Row],[Ganancia Unitaria]]*STOCK[[#This Row],[Salidas]]</f>
        <v>0</v>
      </c>
      <c r="Y1462" s="94"/>
      <c r="Z1462" s="94"/>
      <c r="AA1462" s="94">
        <f>STOCK[[#This Row],[Costo total]]*STOCK[[#This Row],[Entradas]]</f>
        <v>55.2</v>
      </c>
      <c r="AB1462" s="94">
        <f>STOCK[[#This Row],[Stock Actual]]*STOCK[[#This Row],[Costo total]]</f>
        <v>55.2</v>
      </c>
      <c r="AC1462" s="94"/>
    </row>
    <row r="1463" s="76" customFormat="1" ht="50" customHeight="1" spans="1:29">
      <c r="A1463" s="76" t="s">
        <v>2941</v>
      </c>
      <c r="B1463" s="95"/>
      <c r="C1463" s="94" t="s">
        <v>30</v>
      </c>
      <c r="D1463" s="94" t="s">
        <v>2626</v>
      </c>
      <c r="E1463" s="94" t="s">
        <v>2942</v>
      </c>
      <c r="F1463" s="94" t="s">
        <v>60</v>
      </c>
      <c r="G1463" s="94"/>
      <c r="H1463" s="94">
        <f>STOCK[[#This Row],[Precio Final]]</f>
        <v>30</v>
      </c>
      <c r="I1463" s="98">
        <f>STOCK[[#This Row],[Precio Venta Ideal (x1.5)]]</f>
        <v>19.8</v>
      </c>
      <c r="J1463" s="96">
        <v>1</v>
      </c>
      <c r="K1463" s="96">
        <f>SUMIFS(VENTAS[Cantidad],VENTAS[Código del producto Vendido],STOCK[[#This Row],[Code]])</f>
        <v>0</v>
      </c>
      <c r="L1463" s="96">
        <f>STOCK[[#This Row],[Entradas]]-STOCK[[#This Row],[Salidas]]</f>
        <v>1</v>
      </c>
      <c r="M1463" s="94">
        <f>STOCK[[#This Row],[Precio Final]]*10%</f>
        <v>3</v>
      </c>
      <c r="N1463" s="94">
        <v>0</v>
      </c>
      <c r="O1463" s="94">
        <v>0</v>
      </c>
      <c r="P1463" s="94">
        <v>8.55</v>
      </c>
      <c r="Q1463" s="96">
        <v>0</v>
      </c>
      <c r="R1463" s="94">
        <v>0</v>
      </c>
      <c r="S1463" s="94">
        <v>1.65</v>
      </c>
      <c r="T1463" s="94">
        <f>STOCK[[#This Row],[Costo Unitario (USD)]]+STOCK[[#This Row],[Costo Envío (USD)]]+STOCK[[#This Row],[Comisión 10%]]</f>
        <v>13.2</v>
      </c>
      <c r="U1463" s="76">
        <f>STOCK[[#This Row],[Costo total]]*1.5</f>
        <v>19.8</v>
      </c>
      <c r="V1463" s="94">
        <v>30</v>
      </c>
      <c r="W1463" s="94">
        <f>STOCK[[#This Row],[Precio Final]]-STOCK[[#This Row],[Costo total]]</f>
        <v>16.8</v>
      </c>
      <c r="X1463" s="94">
        <f>STOCK[[#This Row],[Ganancia Unitaria]]*STOCK[[#This Row],[Salidas]]</f>
        <v>0</v>
      </c>
      <c r="Y1463" s="94"/>
      <c r="Z1463" s="94"/>
      <c r="AA1463" s="94">
        <f>STOCK[[#This Row],[Costo total]]*STOCK[[#This Row],[Entradas]]</f>
        <v>13.2</v>
      </c>
      <c r="AB1463" s="94">
        <f>STOCK[[#This Row],[Stock Actual]]*STOCK[[#This Row],[Costo total]]</f>
        <v>13.2</v>
      </c>
      <c r="AC1463" s="94"/>
    </row>
    <row r="1464" s="76" customFormat="1" ht="50" customHeight="1" spans="1:29">
      <c r="A1464" s="76" t="s">
        <v>2943</v>
      </c>
      <c r="B1464" s="95"/>
      <c r="C1464" s="94" t="s">
        <v>30</v>
      </c>
      <c r="D1464" s="94" t="s">
        <v>2626</v>
      </c>
      <c r="E1464" s="94" t="s">
        <v>2944</v>
      </c>
      <c r="F1464" s="94" t="s">
        <v>60</v>
      </c>
      <c r="G1464" s="94"/>
      <c r="H1464" s="94">
        <f>STOCK[[#This Row],[Precio Final]]</f>
        <v>35</v>
      </c>
      <c r="I1464" s="98">
        <f>STOCK[[#This Row],[Precio Venta Ideal (x1.5)]]</f>
        <v>21.165</v>
      </c>
      <c r="J1464" s="96">
        <v>1</v>
      </c>
      <c r="K1464" s="96">
        <f>SUMIFS(VENTAS[Cantidad],VENTAS[Código del producto Vendido],STOCK[[#This Row],[Code]])</f>
        <v>0</v>
      </c>
      <c r="L1464" s="96">
        <f>STOCK[[#This Row],[Entradas]]-STOCK[[#This Row],[Salidas]]</f>
        <v>1</v>
      </c>
      <c r="M1464" s="94">
        <f>STOCK[[#This Row],[Precio Final]]*10%</f>
        <v>3.5</v>
      </c>
      <c r="N1464" s="94">
        <v>0</v>
      </c>
      <c r="O1464" s="94">
        <v>0</v>
      </c>
      <c r="P1464" s="94">
        <v>8.96</v>
      </c>
      <c r="Q1464" s="96">
        <v>0</v>
      </c>
      <c r="R1464" s="94">
        <v>0</v>
      </c>
      <c r="S1464" s="94">
        <v>1.65</v>
      </c>
      <c r="T1464" s="94">
        <f>STOCK[[#This Row],[Costo Unitario (USD)]]+STOCK[[#This Row],[Costo Envío (USD)]]+STOCK[[#This Row],[Comisión 10%]]</f>
        <v>14.11</v>
      </c>
      <c r="U1464" s="76">
        <f>STOCK[[#This Row],[Costo total]]*1.5</f>
        <v>21.165</v>
      </c>
      <c r="V1464" s="94">
        <v>35</v>
      </c>
      <c r="W1464" s="94">
        <f>STOCK[[#This Row],[Precio Final]]-STOCK[[#This Row],[Costo total]]</f>
        <v>20.89</v>
      </c>
      <c r="X1464" s="94">
        <f>STOCK[[#This Row],[Ganancia Unitaria]]*STOCK[[#This Row],[Salidas]]</f>
        <v>0</v>
      </c>
      <c r="Y1464" s="94"/>
      <c r="Z1464" s="94"/>
      <c r="AA1464" s="94">
        <f>STOCK[[#This Row],[Costo total]]*STOCK[[#This Row],[Entradas]]</f>
        <v>14.11</v>
      </c>
      <c r="AB1464" s="94">
        <f>STOCK[[#This Row],[Stock Actual]]*STOCK[[#This Row],[Costo total]]</f>
        <v>14.11</v>
      </c>
      <c r="AC1464" s="94"/>
    </row>
    <row r="1465" s="76" customFormat="1" ht="50" customHeight="1" spans="1:29">
      <c r="A1465" s="76" t="s">
        <v>2945</v>
      </c>
      <c r="B1465" s="95"/>
      <c r="C1465" s="94" t="s">
        <v>30</v>
      </c>
      <c r="D1465" s="94" t="s">
        <v>1210</v>
      </c>
      <c r="E1465" s="94" t="s">
        <v>2946</v>
      </c>
      <c r="F1465" s="94" t="s">
        <v>60</v>
      </c>
      <c r="G1465" s="94"/>
      <c r="H1465" s="94">
        <f>STOCK[[#This Row],[Precio Final]]</f>
        <v>30</v>
      </c>
      <c r="I1465" s="98">
        <f>STOCK[[#This Row],[Precio Venta Ideal (x1.5)]]</f>
        <v>17.4</v>
      </c>
      <c r="J1465" s="96">
        <v>3</v>
      </c>
      <c r="K1465" s="96">
        <f>SUMIFS(VENTAS[Cantidad],VENTAS[Código del producto Vendido],STOCK[[#This Row],[Code]])</f>
        <v>0</v>
      </c>
      <c r="L1465" s="96">
        <f>STOCK[[#This Row],[Entradas]]-STOCK[[#This Row],[Salidas]]</f>
        <v>3</v>
      </c>
      <c r="M1465" s="94">
        <f>STOCK[[#This Row],[Precio Final]]*10%</f>
        <v>3</v>
      </c>
      <c r="N1465" s="94">
        <v>0</v>
      </c>
      <c r="O1465" s="94">
        <v>0</v>
      </c>
      <c r="P1465" s="94">
        <v>6.95</v>
      </c>
      <c r="Q1465" s="96">
        <v>0</v>
      </c>
      <c r="R1465" s="94">
        <v>0</v>
      </c>
      <c r="S1465" s="94">
        <v>1.65</v>
      </c>
      <c r="T1465" s="94">
        <f>STOCK[[#This Row],[Costo Unitario (USD)]]+STOCK[[#This Row],[Costo Envío (USD)]]+STOCK[[#This Row],[Comisión 10%]]</f>
        <v>11.6</v>
      </c>
      <c r="U1465" s="76">
        <f>STOCK[[#This Row],[Costo total]]*1.5</f>
        <v>17.4</v>
      </c>
      <c r="V1465" s="94">
        <v>30</v>
      </c>
      <c r="W1465" s="94">
        <f>STOCK[[#This Row],[Precio Final]]-STOCK[[#This Row],[Costo total]]</f>
        <v>18.4</v>
      </c>
      <c r="X1465" s="94">
        <f>STOCK[[#This Row],[Ganancia Unitaria]]*STOCK[[#This Row],[Salidas]]</f>
        <v>0</v>
      </c>
      <c r="Y1465" s="94"/>
      <c r="Z1465" s="94"/>
      <c r="AA1465" s="94">
        <f>STOCK[[#This Row],[Costo total]]*STOCK[[#This Row],[Entradas]]</f>
        <v>34.8</v>
      </c>
      <c r="AB1465" s="94">
        <f>STOCK[[#This Row],[Stock Actual]]*STOCK[[#This Row],[Costo total]]</f>
        <v>34.8</v>
      </c>
      <c r="AC1465" s="94"/>
    </row>
    <row r="1466" s="76" customFormat="1" ht="50" customHeight="1" spans="1:29">
      <c r="A1466" s="76" t="s">
        <v>2947</v>
      </c>
      <c r="B1466" s="95"/>
      <c r="C1466" s="94" t="s">
        <v>30</v>
      </c>
      <c r="D1466" s="94" t="s">
        <v>1210</v>
      </c>
      <c r="E1466" s="94" t="s">
        <v>2946</v>
      </c>
      <c r="F1466" s="94" t="s">
        <v>47</v>
      </c>
      <c r="G1466" s="94"/>
      <c r="H1466" s="94">
        <f>STOCK[[#This Row],[Precio Final]]</f>
        <v>30</v>
      </c>
      <c r="I1466" s="98">
        <f>STOCK[[#This Row],[Precio Venta Ideal (x1.5)]]</f>
        <v>17.4</v>
      </c>
      <c r="J1466" s="96">
        <v>3</v>
      </c>
      <c r="K1466" s="96">
        <f>SUMIFS(VENTAS[Cantidad],VENTAS[Código del producto Vendido],STOCK[[#This Row],[Code]])</f>
        <v>0</v>
      </c>
      <c r="L1466" s="96">
        <f>STOCK[[#This Row],[Entradas]]-STOCK[[#This Row],[Salidas]]</f>
        <v>3</v>
      </c>
      <c r="M1466" s="94">
        <f>STOCK[[#This Row],[Precio Final]]*10%</f>
        <v>3</v>
      </c>
      <c r="N1466" s="94">
        <v>0</v>
      </c>
      <c r="O1466" s="94">
        <v>0</v>
      </c>
      <c r="P1466" s="94">
        <v>6.95</v>
      </c>
      <c r="Q1466" s="96">
        <v>0</v>
      </c>
      <c r="R1466" s="94">
        <v>0</v>
      </c>
      <c r="S1466" s="94">
        <v>1.65</v>
      </c>
      <c r="T1466" s="94">
        <f>STOCK[[#This Row],[Costo Unitario (USD)]]+STOCK[[#This Row],[Costo Envío (USD)]]+STOCK[[#This Row],[Comisión 10%]]</f>
        <v>11.6</v>
      </c>
      <c r="U1466" s="76">
        <f>STOCK[[#This Row],[Costo total]]*1.5</f>
        <v>17.4</v>
      </c>
      <c r="V1466" s="94">
        <v>30</v>
      </c>
      <c r="W1466" s="94">
        <f>STOCK[[#This Row],[Precio Final]]-STOCK[[#This Row],[Costo total]]</f>
        <v>18.4</v>
      </c>
      <c r="X1466" s="94">
        <f>STOCK[[#This Row],[Ganancia Unitaria]]*STOCK[[#This Row],[Salidas]]</f>
        <v>0</v>
      </c>
      <c r="Y1466" s="94"/>
      <c r="Z1466" s="94"/>
      <c r="AA1466" s="94">
        <f>STOCK[[#This Row],[Costo total]]*STOCK[[#This Row],[Entradas]]</f>
        <v>34.8</v>
      </c>
      <c r="AB1466" s="94">
        <f>STOCK[[#This Row],[Stock Actual]]*STOCK[[#This Row],[Costo total]]</f>
        <v>34.8</v>
      </c>
      <c r="AC1466" s="94"/>
    </row>
    <row r="1467" s="76" customFormat="1" ht="50" customHeight="1" spans="1:29">
      <c r="A1467" s="76" t="s">
        <v>2948</v>
      </c>
      <c r="B1467" s="95"/>
      <c r="C1467" s="94" t="s">
        <v>30</v>
      </c>
      <c r="D1467" s="94" t="s">
        <v>1210</v>
      </c>
      <c r="E1467" s="94" t="s">
        <v>2946</v>
      </c>
      <c r="F1467" s="94" t="s">
        <v>44</v>
      </c>
      <c r="G1467" s="94"/>
      <c r="H1467" s="94">
        <f>STOCK[[#This Row],[Precio Final]]</f>
        <v>30</v>
      </c>
      <c r="I1467" s="98">
        <f>STOCK[[#This Row],[Precio Venta Ideal (x1.5)]]</f>
        <v>17.4</v>
      </c>
      <c r="J1467" s="96">
        <v>3</v>
      </c>
      <c r="K1467" s="96">
        <f>SUMIFS(VENTAS[Cantidad],VENTAS[Código del producto Vendido],STOCK[[#This Row],[Code]])</f>
        <v>0</v>
      </c>
      <c r="L1467" s="96">
        <f>STOCK[[#This Row],[Entradas]]-STOCK[[#This Row],[Salidas]]</f>
        <v>3</v>
      </c>
      <c r="M1467" s="94">
        <f>STOCK[[#This Row],[Precio Final]]*10%</f>
        <v>3</v>
      </c>
      <c r="N1467" s="94">
        <v>0</v>
      </c>
      <c r="O1467" s="94">
        <v>0</v>
      </c>
      <c r="P1467" s="94">
        <v>6.95</v>
      </c>
      <c r="Q1467" s="96">
        <v>0</v>
      </c>
      <c r="R1467" s="94">
        <v>0</v>
      </c>
      <c r="S1467" s="94">
        <v>1.65</v>
      </c>
      <c r="T1467" s="94">
        <f>STOCK[[#This Row],[Costo Unitario (USD)]]+STOCK[[#This Row],[Costo Envío (USD)]]+STOCK[[#This Row],[Comisión 10%]]</f>
        <v>11.6</v>
      </c>
      <c r="U1467" s="76">
        <f>STOCK[[#This Row],[Costo total]]*1.5</f>
        <v>17.4</v>
      </c>
      <c r="V1467" s="94">
        <v>30</v>
      </c>
      <c r="W1467" s="94">
        <f>STOCK[[#This Row],[Precio Final]]-STOCK[[#This Row],[Costo total]]</f>
        <v>18.4</v>
      </c>
      <c r="X1467" s="94">
        <f>STOCK[[#This Row],[Ganancia Unitaria]]*STOCK[[#This Row],[Salidas]]</f>
        <v>0</v>
      </c>
      <c r="Y1467" s="94"/>
      <c r="Z1467" s="94"/>
      <c r="AA1467" s="94">
        <f>STOCK[[#This Row],[Costo total]]*STOCK[[#This Row],[Entradas]]</f>
        <v>34.8</v>
      </c>
      <c r="AB1467" s="94">
        <f>STOCK[[#This Row],[Stock Actual]]*STOCK[[#This Row],[Costo total]]</f>
        <v>34.8</v>
      </c>
      <c r="AC1467" s="94"/>
    </row>
    <row r="1468" s="76" customFormat="1" ht="50" customHeight="1" spans="1:29">
      <c r="A1468" s="76" t="s">
        <v>2949</v>
      </c>
      <c r="B1468" s="95"/>
      <c r="C1468" s="94" t="s">
        <v>30</v>
      </c>
      <c r="D1468" s="94" t="s">
        <v>1210</v>
      </c>
      <c r="E1468" s="94" t="s">
        <v>2946</v>
      </c>
      <c r="F1468" s="94" t="s">
        <v>40</v>
      </c>
      <c r="G1468" s="94"/>
      <c r="H1468" s="94">
        <f>STOCK[[#This Row],[Precio Final]]</f>
        <v>30</v>
      </c>
      <c r="I1468" s="98">
        <f>STOCK[[#This Row],[Precio Venta Ideal (x1.5)]]</f>
        <v>17.4</v>
      </c>
      <c r="J1468" s="96">
        <v>3</v>
      </c>
      <c r="K1468" s="96">
        <f>SUMIFS(VENTAS[Cantidad],VENTAS[Código del producto Vendido],STOCK[[#This Row],[Code]])</f>
        <v>0</v>
      </c>
      <c r="L1468" s="96">
        <f>STOCK[[#This Row],[Entradas]]-STOCK[[#This Row],[Salidas]]</f>
        <v>3</v>
      </c>
      <c r="M1468" s="94">
        <f>STOCK[[#This Row],[Precio Final]]*10%</f>
        <v>3</v>
      </c>
      <c r="N1468" s="94">
        <v>0</v>
      </c>
      <c r="O1468" s="94">
        <v>0</v>
      </c>
      <c r="P1468" s="94">
        <v>6.95</v>
      </c>
      <c r="Q1468" s="96">
        <v>0</v>
      </c>
      <c r="R1468" s="94">
        <v>0</v>
      </c>
      <c r="S1468" s="94">
        <v>1.65</v>
      </c>
      <c r="T1468" s="94">
        <f>STOCK[[#This Row],[Costo Unitario (USD)]]+STOCK[[#This Row],[Costo Envío (USD)]]+STOCK[[#This Row],[Comisión 10%]]</f>
        <v>11.6</v>
      </c>
      <c r="U1468" s="76">
        <f>STOCK[[#This Row],[Costo total]]*1.5</f>
        <v>17.4</v>
      </c>
      <c r="V1468" s="94">
        <v>30</v>
      </c>
      <c r="W1468" s="94">
        <f>STOCK[[#This Row],[Precio Final]]-STOCK[[#This Row],[Costo total]]</f>
        <v>18.4</v>
      </c>
      <c r="X1468" s="94">
        <f>STOCK[[#This Row],[Ganancia Unitaria]]*STOCK[[#This Row],[Salidas]]</f>
        <v>0</v>
      </c>
      <c r="Y1468" s="94"/>
      <c r="Z1468" s="94"/>
      <c r="AA1468" s="94">
        <f>STOCK[[#This Row],[Costo total]]*STOCK[[#This Row],[Entradas]]</f>
        <v>34.8</v>
      </c>
      <c r="AB1468" s="94">
        <f>STOCK[[#This Row],[Stock Actual]]*STOCK[[#This Row],[Costo total]]</f>
        <v>34.8</v>
      </c>
      <c r="AC1468" s="94"/>
    </row>
    <row r="1469" s="76" customFormat="1" ht="50" customHeight="1" spans="1:29">
      <c r="A1469" s="76" t="s">
        <v>2950</v>
      </c>
      <c r="B1469" s="95"/>
      <c r="C1469" s="94" t="s">
        <v>30</v>
      </c>
      <c r="D1469" s="94" t="s">
        <v>2626</v>
      </c>
      <c r="E1469" s="94" t="s">
        <v>2951</v>
      </c>
      <c r="F1469" s="94" t="s">
        <v>60</v>
      </c>
      <c r="G1469" s="94"/>
      <c r="H1469" s="94">
        <f>STOCK[[#This Row],[Precio Final]]</f>
        <v>30</v>
      </c>
      <c r="I1469" s="98">
        <f>STOCK[[#This Row],[Precio Venta Ideal (x1.5)]]</f>
        <v>24.45</v>
      </c>
      <c r="J1469" s="96">
        <v>1</v>
      </c>
      <c r="K1469" s="96">
        <f>SUMIFS(VENTAS[Cantidad],VENTAS[Código del producto Vendido],STOCK[[#This Row],[Code]])</f>
        <v>1</v>
      </c>
      <c r="L1469" s="96">
        <f>STOCK[[#This Row],[Entradas]]-STOCK[[#This Row],[Salidas]]</f>
        <v>0</v>
      </c>
      <c r="M1469" s="94">
        <f>STOCK[[#This Row],[Precio Final]]*10%</f>
        <v>3</v>
      </c>
      <c r="N1469" s="94">
        <v>0</v>
      </c>
      <c r="O1469" s="94">
        <v>0</v>
      </c>
      <c r="P1469" s="94">
        <v>11.65</v>
      </c>
      <c r="Q1469" s="96">
        <v>0</v>
      </c>
      <c r="R1469" s="94">
        <v>0</v>
      </c>
      <c r="S1469" s="94">
        <v>1.65</v>
      </c>
      <c r="T1469" s="94">
        <f>STOCK[[#This Row],[Costo Unitario (USD)]]+STOCK[[#This Row],[Costo Envío (USD)]]+STOCK[[#This Row],[Comisión 10%]]</f>
        <v>16.3</v>
      </c>
      <c r="U1469" s="76">
        <f>STOCK[[#This Row],[Costo total]]*1.5</f>
        <v>24.45</v>
      </c>
      <c r="V1469" s="94">
        <v>30</v>
      </c>
      <c r="W1469" s="94">
        <f>STOCK[[#This Row],[Precio Final]]-STOCK[[#This Row],[Costo total]]</f>
        <v>13.7</v>
      </c>
      <c r="X1469" s="94">
        <f>STOCK[[#This Row],[Ganancia Unitaria]]*STOCK[[#This Row],[Salidas]]</f>
        <v>13.7</v>
      </c>
      <c r="Y1469" s="94"/>
      <c r="Z1469" s="94"/>
      <c r="AA1469" s="94">
        <f>STOCK[[#This Row],[Costo total]]*STOCK[[#This Row],[Entradas]]</f>
        <v>16.3</v>
      </c>
      <c r="AB1469" s="94">
        <f>STOCK[[#This Row],[Stock Actual]]*STOCK[[#This Row],[Costo total]]</f>
        <v>0</v>
      </c>
      <c r="AC1469" s="94"/>
    </row>
    <row r="1470" s="76" customFormat="1" ht="50" customHeight="1" spans="1:29">
      <c r="A1470" s="76" t="s">
        <v>2952</v>
      </c>
      <c r="B1470" s="95"/>
      <c r="C1470" s="94" t="s">
        <v>30</v>
      </c>
      <c r="D1470" s="94" t="s">
        <v>2626</v>
      </c>
      <c r="E1470" s="94" t="s">
        <v>2953</v>
      </c>
      <c r="F1470" s="94" t="s">
        <v>44</v>
      </c>
      <c r="G1470" s="94"/>
      <c r="H1470" s="94">
        <f>STOCK[[#This Row],[Precio Final]]</f>
        <v>30</v>
      </c>
      <c r="I1470" s="98">
        <f>STOCK[[#This Row],[Precio Venta Ideal (x1.5)]]</f>
        <v>21.945</v>
      </c>
      <c r="J1470" s="96">
        <v>4</v>
      </c>
      <c r="K1470" s="96">
        <f>SUMIFS(VENTAS[Cantidad],VENTAS[Código del producto Vendido],STOCK[[#This Row],[Code]])</f>
        <v>0</v>
      </c>
      <c r="L1470" s="96">
        <f>STOCK[[#This Row],[Entradas]]-STOCK[[#This Row],[Salidas]]</f>
        <v>4</v>
      </c>
      <c r="M1470" s="94">
        <f>STOCK[[#This Row],[Precio Final]]*10%</f>
        <v>3</v>
      </c>
      <c r="N1470" s="94">
        <v>0</v>
      </c>
      <c r="O1470" s="94">
        <v>0</v>
      </c>
      <c r="P1470" s="94">
        <v>9.98</v>
      </c>
      <c r="Q1470" s="96">
        <v>0</v>
      </c>
      <c r="R1470" s="94">
        <v>0</v>
      </c>
      <c r="S1470" s="94">
        <v>1.65</v>
      </c>
      <c r="T1470" s="94">
        <f>STOCK[[#This Row],[Costo Unitario (USD)]]+STOCK[[#This Row],[Costo Envío (USD)]]+STOCK[[#This Row],[Comisión 10%]]</f>
        <v>14.63</v>
      </c>
      <c r="U1470" s="76">
        <f>STOCK[[#This Row],[Costo total]]*1.5</f>
        <v>21.945</v>
      </c>
      <c r="V1470" s="94">
        <v>30</v>
      </c>
      <c r="W1470" s="94">
        <f>STOCK[[#This Row],[Precio Final]]-STOCK[[#This Row],[Costo total]]</f>
        <v>15.37</v>
      </c>
      <c r="X1470" s="94">
        <f>STOCK[[#This Row],[Ganancia Unitaria]]*STOCK[[#This Row],[Salidas]]</f>
        <v>0</v>
      </c>
      <c r="Y1470" s="94"/>
      <c r="Z1470" s="94"/>
      <c r="AA1470" s="94">
        <f>STOCK[[#This Row],[Costo total]]*STOCK[[#This Row],[Entradas]]</f>
        <v>58.52</v>
      </c>
      <c r="AB1470" s="94">
        <f>STOCK[[#This Row],[Stock Actual]]*STOCK[[#This Row],[Costo total]]</f>
        <v>58.52</v>
      </c>
      <c r="AC1470" s="94"/>
    </row>
    <row r="1471" s="76" customFormat="1" ht="50" customHeight="1" spans="1:29">
      <c r="A1471" s="76" t="s">
        <v>2954</v>
      </c>
      <c r="B1471" s="95"/>
      <c r="C1471" s="94" t="s">
        <v>30</v>
      </c>
      <c r="D1471" s="94" t="s">
        <v>2626</v>
      </c>
      <c r="E1471" s="94" t="s">
        <v>2955</v>
      </c>
      <c r="F1471" s="94" t="s">
        <v>60</v>
      </c>
      <c r="G1471" s="94"/>
      <c r="H1471" s="94">
        <f>STOCK[[#This Row],[Precio Final]]</f>
        <v>30</v>
      </c>
      <c r="I1471" s="98">
        <f>STOCK[[#This Row],[Precio Venta Ideal (x1.5)]]</f>
        <v>27.195</v>
      </c>
      <c r="J1471" s="96">
        <v>2</v>
      </c>
      <c r="K1471" s="96">
        <f>SUMIFS(VENTAS[Cantidad],VENTAS[Código del producto Vendido],STOCK[[#This Row],[Code]])</f>
        <v>2</v>
      </c>
      <c r="L1471" s="96">
        <f>STOCK[[#This Row],[Entradas]]-STOCK[[#This Row],[Salidas]]</f>
        <v>0</v>
      </c>
      <c r="M1471" s="94">
        <f>STOCK[[#This Row],[Precio Final]]*10%</f>
        <v>3</v>
      </c>
      <c r="N1471" s="94">
        <v>0</v>
      </c>
      <c r="O1471" s="94">
        <v>0</v>
      </c>
      <c r="P1471" s="94">
        <v>13.48</v>
      </c>
      <c r="Q1471" s="96">
        <v>0</v>
      </c>
      <c r="R1471" s="94">
        <v>0</v>
      </c>
      <c r="S1471" s="94">
        <v>1.65</v>
      </c>
      <c r="T1471" s="94">
        <f>STOCK[[#This Row],[Costo Unitario (USD)]]+STOCK[[#This Row],[Costo Envío (USD)]]+STOCK[[#This Row],[Comisión 10%]]</f>
        <v>18.13</v>
      </c>
      <c r="U1471" s="76">
        <f>STOCK[[#This Row],[Costo total]]*1.5</f>
        <v>27.195</v>
      </c>
      <c r="V1471" s="94">
        <v>30</v>
      </c>
      <c r="W1471" s="94">
        <f>STOCK[[#This Row],[Precio Final]]-STOCK[[#This Row],[Costo total]]</f>
        <v>11.87</v>
      </c>
      <c r="X1471" s="94">
        <f>STOCK[[#This Row],[Ganancia Unitaria]]*STOCK[[#This Row],[Salidas]]</f>
        <v>23.74</v>
      </c>
      <c r="Y1471" s="94"/>
      <c r="Z1471" s="94"/>
      <c r="AA1471" s="94">
        <f>STOCK[[#This Row],[Costo total]]*STOCK[[#This Row],[Entradas]]</f>
        <v>36.26</v>
      </c>
      <c r="AB1471" s="94">
        <f>STOCK[[#This Row],[Stock Actual]]*STOCK[[#This Row],[Costo total]]</f>
        <v>0</v>
      </c>
      <c r="AC1471" s="94"/>
    </row>
    <row r="1472" s="76" customFormat="1" ht="50" customHeight="1" spans="1:29">
      <c r="A1472" s="76" t="s">
        <v>2956</v>
      </c>
      <c r="B1472" s="95"/>
      <c r="C1472" s="94" t="s">
        <v>30</v>
      </c>
      <c r="D1472" s="94" t="s">
        <v>2626</v>
      </c>
      <c r="E1472" s="94" t="s">
        <v>2955</v>
      </c>
      <c r="F1472" s="94" t="s">
        <v>47</v>
      </c>
      <c r="G1472" s="94"/>
      <c r="H1472" s="94">
        <f>STOCK[[#This Row],[Precio Final]]</f>
        <v>30</v>
      </c>
      <c r="I1472" s="98">
        <f>STOCK[[#This Row],[Precio Venta Ideal (x1.5)]]</f>
        <v>27.195</v>
      </c>
      <c r="J1472" s="96">
        <v>2</v>
      </c>
      <c r="K1472" s="96">
        <f>SUMIFS(VENTAS[Cantidad],VENTAS[Código del producto Vendido],STOCK[[#This Row],[Code]])</f>
        <v>0</v>
      </c>
      <c r="L1472" s="96">
        <f>STOCK[[#This Row],[Entradas]]-STOCK[[#This Row],[Salidas]]</f>
        <v>2</v>
      </c>
      <c r="M1472" s="94">
        <f>STOCK[[#This Row],[Precio Final]]*10%</f>
        <v>3</v>
      </c>
      <c r="N1472" s="94">
        <v>0</v>
      </c>
      <c r="O1472" s="94">
        <v>0</v>
      </c>
      <c r="P1472" s="94">
        <v>13.48</v>
      </c>
      <c r="Q1472" s="96">
        <v>0</v>
      </c>
      <c r="R1472" s="94">
        <v>0</v>
      </c>
      <c r="S1472" s="94">
        <v>1.65</v>
      </c>
      <c r="T1472" s="94">
        <f>STOCK[[#This Row],[Costo Unitario (USD)]]+STOCK[[#This Row],[Costo Envío (USD)]]+STOCK[[#This Row],[Comisión 10%]]</f>
        <v>18.13</v>
      </c>
      <c r="U1472" s="76">
        <f>STOCK[[#This Row],[Costo total]]*1.5</f>
        <v>27.195</v>
      </c>
      <c r="V1472" s="94">
        <v>30</v>
      </c>
      <c r="W1472" s="94">
        <f>STOCK[[#This Row],[Precio Final]]-STOCK[[#This Row],[Costo total]]</f>
        <v>11.87</v>
      </c>
      <c r="X1472" s="94">
        <f>STOCK[[#This Row],[Ganancia Unitaria]]*STOCK[[#This Row],[Salidas]]</f>
        <v>0</v>
      </c>
      <c r="Y1472" s="94"/>
      <c r="Z1472" s="94"/>
      <c r="AA1472" s="94">
        <f>STOCK[[#This Row],[Costo total]]*STOCK[[#This Row],[Entradas]]</f>
        <v>36.26</v>
      </c>
      <c r="AB1472" s="94">
        <f>STOCK[[#This Row],[Stock Actual]]*STOCK[[#This Row],[Costo total]]</f>
        <v>36.26</v>
      </c>
      <c r="AC1472" s="94"/>
    </row>
    <row r="1473" s="76" customFormat="1" ht="50" customHeight="1" spans="1:29">
      <c r="A1473" s="76" t="s">
        <v>2957</v>
      </c>
      <c r="B1473" s="95"/>
      <c r="C1473" s="94" t="s">
        <v>30</v>
      </c>
      <c r="D1473" s="94" t="s">
        <v>2626</v>
      </c>
      <c r="E1473" s="94" t="s">
        <v>2955</v>
      </c>
      <c r="F1473" s="94" t="s">
        <v>44</v>
      </c>
      <c r="G1473" s="94"/>
      <c r="H1473" s="94">
        <f>STOCK[[#This Row],[Precio Final]]</f>
        <v>30</v>
      </c>
      <c r="I1473" s="98">
        <f>STOCK[[#This Row],[Precio Venta Ideal (x1.5)]]</f>
        <v>27.195</v>
      </c>
      <c r="J1473" s="96">
        <v>2</v>
      </c>
      <c r="K1473" s="96">
        <f>SUMIFS(VENTAS[Cantidad],VENTAS[Código del producto Vendido],STOCK[[#This Row],[Code]])</f>
        <v>0</v>
      </c>
      <c r="L1473" s="96">
        <f>STOCK[[#This Row],[Entradas]]-STOCK[[#This Row],[Salidas]]</f>
        <v>2</v>
      </c>
      <c r="M1473" s="94">
        <f>STOCK[[#This Row],[Precio Final]]*10%</f>
        <v>3</v>
      </c>
      <c r="N1473" s="94">
        <v>0</v>
      </c>
      <c r="O1473" s="94">
        <v>0</v>
      </c>
      <c r="P1473" s="94">
        <v>13.48</v>
      </c>
      <c r="Q1473" s="96">
        <v>0</v>
      </c>
      <c r="R1473" s="94">
        <v>0</v>
      </c>
      <c r="S1473" s="94">
        <v>1.65</v>
      </c>
      <c r="T1473" s="94">
        <f>STOCK[[#This Row],[Costo Unitario (USD)]]+STOCK[[#This Row],[Costo Envío (USD)]]+STOCK[[#This Row],[Comisión 10%]]</f>
        <v>18.13</v>
      </c>
      <c r="U1473" s="76">
        <f>STOCK[[#This Row],[Costo total]]*1.5</f>
        <v>27.195</v>
      </c>
      <c r="V1473" s="94">
        <v>30</v>
      </c>
      <c r="W1473" s="94">
        <f>STOCK[[#This Row],[Precio Final]]-STOCK[[#This Row],[Costo total]]</f>
        <v>11.87</v>
      </c>
      <c r="X1473" s="94">
        <f>STOCK[[#This Row],[Ganancia Unitaria]]*STOCK[[#This Row],[Salidas]]</f>
        <v>0</v>
      </c>
      <c r="Y1473" s="94"/>
      <c r="Z1473" s="94"/>
      <c r="AA1473" s="94">
        <f>STOCK[[#This Row],[Costo total]]*STOCK[[#This Row],[Entradas]]</f>
        <v>36.26</v>
      </c>
      <c r="AB1473" s="94">
        <f>STOCK[[#This Row],[Stock Actual]]*STOCK[[#This Row],[Costo total]]</f>
        <v>36.26</v>
      </c>
      <c r="AC1473" s="94"/>
    </row>
    <row r="1474" s="76" customFormat="1" ht="50" customHeight="1" spans="1:29">
      <c r="A1474" s="76" t="s">
        <v>2958</v>
      </c>
      <c r="B1474" s="95"/>
      <c r="C1474" s="94" t="s">
        <v>30</v>
      </c>
      <c r="D1474" s="94" t="s">
        <v>2626</v>
      </c>
      <c r="E1474" s="94" t="s">
        <v>2959</v>
      </c>
      <c r="F1474" s="94" t="s">
        <v>60</v>
      </c>
      <c r="G1474" s="94"/>
      <c r="H1474" s="94">
        <f>STOCK[[#This Row],[Precio Final]]</f>
        <v>25</v>
      </c>
      <c r="I1474" s="98">
        <f>STOCK[[#This Row],[Precio Venta Ideal (x1.5)]]</f>
        <v>24.195</v>
      </c>
      <c r="J1474" s="96">
        <v>1</v>
      </c>
      <c r="K1474" s="96">
        <f>SUMIFS(VENTAS[Cantidad],VENTAS[Código del producto Vendido],STOCK[[#This Row],[Code]])</f>
        <v>1</v>
      </c>
      <c r="L1474" s="96">
        <f>STOCK[[#This Row],[Entradas]]-STOCK[[#This Row],[Salidas]]</f>
        <v>0</v>
      </c>
      <c r="M1474" s="94">
        <f>STOCK[[#This Row],[Precio Final]]*10%</f>
        <v>2.5</v>
      </c>
      <c r="N1474" s="94">
        <v>0</v>
      </c>
      <c r="O1474" s="94">
        <v>0</v>
      </c>
      <c r="P1474" s="94">
        <v>11.98</v>
      </c>
      <c r="Q1474" s="96">
        <v>0</v>
      </c>
      <c r="R1474" s="94">
        <v>0</v>
      </c>
      <c r="S1474" s="94">
        <v>1.65</v>
      </c>
      <c r="T1474" s="94">
        <f>STOCK[[#This Row],[Costo Unitario (USD)]]+STOCK[[#This Row],[Costo Envío (USD)]]+STOCK[[#This Row],[Comisión 10%]]</f>
        <v>16.13</v>
      </c>
      <c r="U1474" s="76">
        <f>STOCK[[#This Row],[Costo total]]*1.5</f>
        <v>24.195</v>
      </c>
      <c r="V1474" s="94">
        <v>25</v>
      </c>
      <c r="W1474" s="94">
        <f>STOCK[[#This Row],[Precio Final]]-STOCK[[#This Row],[Costo total]]</f>
        <v>8.87</v>
      </c>
      <c r="X1474" s="94">
        <f>STOCK[[#This Row],[Ganancia Unitaria]]*STOCK[[#This Row],[Salidas]]</f>
        <v>8.87</v>
      </c>
      <c r="Y1474" s="94"/>
      <c r="Z1474" s="94"/>
      <c r="AA1474" s="94">
        <f>STOCK[[#This Row],[Costo total]]*STOCK[[#This Row],[Entradas]]</f>
        <v>16.13</v>
      </c>
      <c r="AB1474" s="94">
        <f>STOCK[[#This Row],[Stock Actual]]*STOCK[[#This Row],[Costo total]]</f>
        <v>0</v>
      </c>
      <c r="AC1474" s="94"/>
    </row>
    <row r="1475" s="76" customFormat="1" ht="50" customHeight="1" spans="1:29">
      <c r="A1475" s="76" t="s">
        <v>2960</v>
      </c>
      <c r="B1475" s="95"/>
      <c r="C1475" s="94" t="s">
        <v>30</v>
      </c>
      <c r="D1475" s="94" t="s">
        <v>2626</v>
      </c>
      <c r="E1475" s="94" t="s">
        <v>2959</v>
      </c>
      <c r="F1475" s="94" t="s">
        <v>47</v>
      </c>
      <c r="G1475" s="94"/>
      <c r="H1475" s="94">
        <f>STOCK[[#This Row],[Precio Final]]</f>
        <v>25</v>
      </c>
      <c r="I1475" s="98">
        <f>STOCK[[#This Row],[Precio Venta Ideal (x1.5)]]</f>
        <v>24.195</v>
      </c>
      <c r="J1475" s="96">
        <v>1</v>
      </c>
      <c r="K1475" s="96">
        <f>SUMIFS(VENTAS[Cantidad],VENTAS[Código del producto Vendido],STOCK[[#This Row],[Code]])</f>
        <v>0</v>
      </c>
      <c r="L1475" s="96">
        <f>STOCK[[#This Row],[Entradas]]-STOCK[[#This Row],[Salidas]]</f>
        <v>1</v>
      </c>
      <c r="M1475" s="94">
        <f>STOCK[[#This Row],[Precio Final]]*10%</f>
        <v>2.5</v>
      </c>
      <c r="N1475" s="94">
        <v>0</v>
      </c>
      <c r="O1475" s="94">
        <v>0</v>
      </c>
      <c r="P1475" s="94">
        <v>11.98</v>
      </c>
      <c r="Q1475" s="96">
        <v>0</v>
      </c>
      <c r="R1475" s="94">
        <v>0</v>
      </c>
      <c r="S1475" s="94">
        <v>1.65</v>
      </c>
      <c r="T1475" s="94">
        <f>STOCK[[#This Row],[Costo Unitario (USD)]]+STOCK[[#This Row],[Costo Envío (USD)]]+STOCK[[#This Row],[Comisión 10%]]</f>
        <v>16.13</v>
      </c>
      <c r="U1475" s="76">
        <f>STOCK[[#This Row],[Costo total]]*1.5</f>
        <v>24.195</v>
      </c>
      <c r="V1475" s="94">
        <v>25</v>
      </c>
      <c r="W1475" s="94">
        <f>STOCK[[#This Row],[Precio Final]]-STOCK[[#This Row],[Costo total]]</f>
        <v>8.87</v>
      </c>
      <c r="X1475" s="94">
        <f>STOCK[[#This Row],[Ganancia Unitaria]]*STOCK[[#This Row],[Salidas]]</f>
        <v>0</v>
      </c>
      <c r="Y1475" s="94"/>
      <c r="Z1475" s="94"/>
      <c r="AA1475" s="94">
        <f>STOCK[[#This Row],[Costo total]]*STOCK[[#This Row],[Entradas]]</f>
        <v>16.13</v>
      </c>
      <c r="AB1475" s="94">
        <f>STOCK[[#This Row],[Stock Actual]]*STOCK[[#This Row],[Costo total]]</f>
        <v>16.13</v>
      </c>
      <c r="AC1475" s="94"/>
    </row>
    <row r="1476" s="76" customFormat="1" ht="50" customHeight="1" spans="1:29">
      <c r="A1476" s="76" t="s">
        <v>2961</v>
      </c>
      <c r="B1476" s="95"/>
      <c r="C1476" s="94" t="s">
        <v>30</v>
      </c>
      <c r="D1476" s="94" t="s">
        <v>2626</v>
      </c>
      <c r="E1476" s="94" t="s">
        <v>2942</v>
      </c>
      <c r="F1476" s="94" t="s">
        <v>47</v>
      </c>
      <c r="G1476" s="94"/>
      <c r="H1476" s="94">
        <f>STOCK[[#This Row],[Precio Final]]</f>
        <v>30</v>
      </c>
      <c r="I1476" s="98">
        <f>STOCK[[#This Row],[Precio Venta Ideal (x1.5)]]</f>
        <v>19.8</v>
      </c>
      <c r="J1476" s="96">
        <v>1</v>
      </c>
      <c r="K1476" s="96">
        <f>SUMIFS(VENTAS[Cantidad],VENTAS[Código del producto Vendido],STOCK[[#This Row],[Code]])</f>
        <v>0</v>
      </c>
      <c r="L1476" s="96">
        <f>STOCK[[#This Row],[Entradas]]-STOCK[[#This Row],[Salidas]]</f>
        <v>1</v>
      </c>
      <c r="M1476" s="94">
        <f>STOCK[[#This Row],[Precio Final]]*10%</f>
        <v>3</v>
      </c>
      <c r="N1476" s="94">
        <v>0</v>
      </c>
      <c r="O1476" s="94">
        <v>0</v>
      </c>
      <c r="P1476" s="94">
        <v>8.55</v>
      </c>
      <c r="Q1476" s="96">
        <v>0</v>
      </c>
      <c r="R1476" s="94">
        <v>0</v>
      </c>
      <c r="S1476" s="94">
        <v>1.65</v>
      </c>
      <c r="T1476" s="94">
        <f>STOCK[[#This Row],[Costo Unitario (USD)]]+STOCK[[#This Row],[Costo Envío (USD)]]+STOCK[[#This Row],[Comisión 10%]]</f>
        <v>13.2</v>
      </c>
      <c r="U1476" s="76">
        <f>STOCK[[#This Row],[Costo total]]*1.5</f>
        <v>19.8</v>
      </c>
      <c r="V1476" s="94">
        <v>30</v>
      </c>
      <c r="W1476" s="94">
        <f>STOCK[[#This Row],[Precio Final]]-STOCK[[#This Row],[Costo total]]</f>
        <v>16.8</v>
      </c>
      <c r="X1476" s="94">
        <f>STOCK[[#This Row],[Ganancia Unitaria]]*STOCK[[#This Row],[Salidas]]</f>
        <v>0</v>
      </c>
      <c r="Y1476" s="94"/>
      <c r="Z1476" s="94"/>
      <c r="AA1476" s="94">
        <f>STOCK[[#This Row],[Costo total]]*STOCK[[#This Row],[Entradas]]</f>
        <v>13.2</v>
      </c>
      <c r="AB1476" s="94">
        <f>STOCK[[#This Row],[Stock Actual]]*STOCK[[#This Row],[Costo total]]</f>
        <v>13.2</v>
      </c>
      <c r="AC1476" s="94"/>
    </row>
    <row r="1477" s="76" customFormat="1" ht="50" customHeight="1" spans="1:29">
      <c r="A1477" s="76" t="s">
        <v>2962</v>
      </c>
      <c r="B1477" s="95"/>
      <c r="C1477" s="94" t="s">
        <v>30</v>
      </c>
      <c r="D1477" s="94" t="s">
        <v>2626</v>
      </c>
      <c r="E1477" s="94" t="s">
        <v>2963</v>
      </c>
      <c r="F1477" s="94" t="s">
        <v>1045</v>
      </c>
      <c r="G1477" s="94"/>
      <c r="H1477" s="94">
        <f>STOCK[[#This Row],[Precio Final]]</f>
        <v>20</v>
      </c>
      <c r="I1477" s="98">
        <f>STOCK[[#This Row],[Precio Venta Ideal (x1.5)]]</f>
        <v>14.445</v>
      </c>
      <c r="J1477" s="96">
        <v>2</v>
      </c>
      <c r="K1477" s="96">
        <f>SUMIFS(VENTAS[Cantidad],VENTAS[Código del producto Vendido],STOCK[[#This Row],[Code]])</f>
        <v>2</v>
      </c>
      <c r="L1477" s="96">
        <f>STOCK[[#This Row],[Entradas]]-STOCK[[#This Row],[Salidas]]</f>
        <v>0</v>
      </c>
      <c r="M1477" s="94">
        <f>STOCK[[#This Row],[Precio Final]]*10%</f>
        <v>2</v>
      </c>
      <c r="N1477" s="94">
        <v>0</v>
      </c>
      <c r="O1477" s="94">
        <v>0</v>
      </c>
      <c r="P1477" s="94">
        <v>5.98</v>
      </c>
      <c r="Q1477" s="96">
        <v>0</v>
      </c>
      <c r="R1477" s="94">
        <v>0</v>
      </c>
      <c r="S1477" s="94">
        <v>1.65</v>
      </c>
      <c r="T1477" s="94">
        <f>STOCK[[#This Row],[Costo Unitario (USD)]]+STOCK[[#This Row],[Costo Envío (USD)]]+STOCK[[#This Row],[Comisión 10%]]</f>
        <v>9.63</v>
      </c>
      <c r="U1477" s="76">
        <f>STOCK[[#This Row],[Costo total]]*1.5</f>
        <v>14.445</v>
      </c>
      <c r="V1477" s="94">
        <v>20</v>
      </c>
      <c r="W1477" s="94">
        <f>STOCK[[#This Row],[Precio Final]]-STOCK[[#This Row],[Costo total]]</f>
        <v>10.37</v>
      </c>
      <c r="X1477" s="94">
        <f>STOCK[[#This Row],[Ganancia Unitaria]]*STOCK[[#This Row],[Salidas]]</f>
        <v>20.74</v>
      </c>
      <c r="Y1477" s="94"/>
      <c r="Z1477" s="94"/>
      <c r="AA1477" s="94">
        <f>STOCK[[#This Row],[Costo total]]*STOCK[[#This Row],[Entradas]]</f>
        <v>19.26</v>
      </c>
      <c r="AB1477" s="94">
        <f>STOCK[[#This Row],[Stock Actual]]*STOCK[[#This Row],[Costo total]]</f>
        <v>0</v>
      </c>
      <c r="AC1477" s="94"/>
    </row>
    <row r="1478" s="76" customFormat="1" ht="50" customHeight="1" spans="1:29">
      <c r="A1478" s="76" t="s">
        <v>2964</v>
      </c>
      <c r="B1478" s="95"/>
      <c r="C1478" s="94" t="s">
        <v>30</v>
      </c>
      <c r="D1478" s="94" t="s">
        <v>2626</v>
      </c>
      <c r="E1478" s="94" t="s">
        <v>2963</v>
      </c>
      <c r="F1478" s="94" t="s">
        <v>47</v>
      </c>
      <c r="G1478" s="94"/>
      <c r="H1478" s="94">
        <f>STOCK[[#This Row],[Precio Final]]</f>
        <v>20</v>
      </c>
      <c r="I1478" s="98">
        <f>STOCK[[#This Row],[Precio Venta Ideal (x1.5)]]</f>
        <v>14.445</v>
      </c>
      <c r="J1478" s="96">
        <v>1</v>
      </c>
      <c r="K1478" s="96">
        <f>SUMIFS(VENTAS[Cantidad],VENTAS[Código del producto Vendido],STOCK[[#This Row],[Code]])</f>
        <v>1</v>
      </c>
      <c r="L1478" s="96">
        <f>STOCK[[#This Row],[Entradas]]-STOCK[[#This Row],[Salidas]]</f>
        <v>0</v>
      </c>
      <c r="M1478" s="94">
        <f>STOCK[[#This Row],[Precio Final]]*10%</f>
        <v>2</v>
      </c>
      <c r="N1478" s="94">
        <v>0</v>
      </c>
      <c r="O1478" s="94">
        <v>0</v>
      </c>
      <c r="P1478" s="94">
        <v>5.98</v>
      </c>
      <c r="Q1478" s="96">
        <v>0</v>
      </c>
      <c r="R1478" s="94">
        <v>0</v>
      </c>
      <c r="S1478" s="94">
        <v>1.65</v>
      </c>
      <c r="T1478" s="94">
        <f>STOCK[[#This Row],[Costo Unitario (USD)]]+STOCK[[#This Row],[Costo Envío (USD)]]+STOCK[[#This Row],[Comisión 10%]]</f>
        <v>9.63</v>
      </c>
      <c r="U1478" s="76">
        <f>STOCK[[#This Row],[Costo total]]*1.5</f>
        <v>14.445</v>
      </c>
      <c r="V1478" s="94">
        <v>20</v>
      </c>
      <c r="W1478" s="94">
        <f>STOCK[[#This Row],[Precio Final]]-STOCK[[#This Row],[Costo total]]</f>
        <v>10.37</v>
      </c>
      <c r="X1478" s="94">
        <f>STOCK[[#This Row],[Ganancia Unitaria]]*STOCK[[#This Row],[Salidas]]</f>
        <v>10.37</v>
      </c>
      <c r="Y1478" s="94"/>
      <c r="Z1478" s="94"/>
      <c r="AA1478" s="94">
        <f>STOCK[[#This Row],[Costo total]]*STOCK[[#This Row],[Entradas]]</f>
        <v>9.63</v>
      </c>
      <c r="AB1478" s="94">
        <f>STOCK[[#This Row],[Stock Actual]]*STOCK[[#This Row],[Costo total]]</f>
        <v>0</v>
      </c>
      <c r="AC1478" s="94"/>
    </row>
    <row r="1479" s="76" customFormat="1" ht="50" customHeight="1" spans="1:29">
      <c r="A1479" s="76" t="s">
        <v>2965</v>
      </c>
      <c r="B1479" s="95"/>
      <c r="C1479" s="94" t="s">
        <v>30</v>
      </c>
      <c r="D1479" s="94" t="s">
        <v>2626</v>
      </c>
      <c r="E1479" s="94" t="s">
        <v>2963</v>
      </c>
      <c r="F1479" s="94" t="s">
        <v>44</v>
      </c>
      <c r="G1479" s="94"/>
      <c r="H1479" s="94">
        <f>STOCK[[#This Row],[Precio Final]]</f>
        <v>20</v>
      </c>
      <c r="I1479" s="98">
        <f>STOCK[[#This Row],[Precio Venta Ideal (x1.5)]]</f>
        <v>14.445</v>
      </c>
      <c r="J1479" s="96">
        <v>1</v>
      </c>
      <c r="K1479" s="96">
        <f>SUMIFS(VENTAS[Cantidad],VENTAS[Código del producto Vendido],STOCK[[#This Row],[Code]])</f>
        <v>1</v>
      </c>
      <c r="L1479" s="96">
        <f>STOCK[[#This Row],[Entradas]]-STOCK[[#This Row],[Salidas]]</f>
        <v>0</v>
      </c>
      <c r="M1479" s="94">
        <f>STOCK[[#This Row],[Precio Final]]*10%</f>
        <v>2</v>
      </c>
      <c r="N1479" s="94">
        <v>0</v>
      </c>
      <c r="O1479" s="94">
        <v>0</v>
      </c>
      <c r="P1479" s="94">
        <v>5.98</v>
      </c>
      <c r="Q1479" s="96">
        <v>0</v>
      </c>
      <c r="R1479" s="94">
        <v>0</v>
      </c>
      <c r="S1479" s="94">
        <v>1.65</v>
      </c>
      <c r="T1479" s="94">
        <f>STOCK[[#This Row],[Costo Unitario (USD)]]+STOCK[[#This Row],[Costo Envío (USD)]]+STOCK[[#This Row],[Comisión 10%]]</f>
        <v>9.63</v>
      </c>
      <c r="U1479" s="76">
        <f>STOCK[[#This Row],[Costo total]]*1.5</f>
        <v>14.445</v>
      </c>
      <c r="V1479" s="94">
        <v>20</v>
      </c>
      <c r="W1479" s="94">
        <f>STOCK[[#This Row],[Precio Final]]-STOCK[[#This Row],[Costo total]]</f>
        <v>10.37</v>
      </c>
      <c r="X1479" s="94">
        <f>STOCK[[#This Row],[Ganancia Unitaria]]*STOCK[[#This Row],[Salidas]]</f>
        <v>10.37</v>
      </c>
      <c r="Y1479" s="94"/>
      <c r="Z1479" s="94"/>
      <c r="AA1479" s="94">
        <f>STOCK[[#This Row],[Costo total]]*STOCK[[#This Row],[Entradas]]</f>
        <v>9.63</v>
      </c>
      <c r="AB1479" s="94">
        <f>STOCK[[#This Row],[Stock Actual]]*STOCK[[#This Row],[Costo total]]</f>
        <v>0</v>
      </c>
      <c r="AC1479" s="94"/>
    </row>
    <row r="1480" s="76" customFormat="1" ht="50" customHeight="1" spans="1:29">
      <c r="A1480" s="76" t="s">
        <v>2966</v>
      </c>
      <c r="B1480" s="95"/>
      <c r="C1480" s="94" t="s">
        <v>30</v>
      </c>
      <c r="D1480" s="94" t="s">
        <v>2131</v>
      </c>
      <c r="E1480" s="94" t="s">
        <v>2967</v>
      </c>
      <c r="F1480" s="94" t="s">
        <v>47</v>
      </c>
      <c r="G1480" s="94"/>
      <c r="H1480" s="94">
        <f>STOCK[[#This Row],[Precio Final]]</f>
        <v>40</v>
      </c>
      <c r="I1480" s="98">
        <f>STOCK[[#This Row],[Precio Venta Ideal (x1.5)]]</f>
        <v>27.855</v>
      </c>
      <c r="J1480" s="96">
        <v>1</v>
      </c>
      <c r="K1480" s="96">
        <f>SUMIFS(VENTAS[Cantidad],VENTAS[Código del producto Vendido],STOCK[[#This Row],[Code]])</f>
        <v>1</v>
      </c>
      <c r="L1480" s="96">
        <f>STOCK[[#This Row],[Entradas]]-STOCK[[#This Row],[Salidas]]</f>
        <v>0</v>
      </c>
      <c r="M1480" s="94">
        <f>STOCK[[#This Row],[Precio Final]]*10%</f>
        <v>4</v>
      </c>
      <c r="N1480" s="94">
        <v>0</v>
      </c>
      <c r="O1480" s="94">
        <v>0</v>
      </c>
      <c r="P1480" s="94">
        <v>12.92</v>
      </c>
      <c r="Q1480" s="96">
        <v>0</v>
      </c>
      <c r="R1480" s="94">
        <v>0</v>
      </c>
      <c r="S1480" s="94">
        <v>1.65</v>
      </c>
      <c r="T1480" s="94">
        <f>STOCK[[#This Row],[Costo Unitario (USD)]]+STOCK[[#This Row],[Costo Envío (USD)]]+STOCK[[#This Row],[Comisión 10%]]</f>
        <v>18.57</v>
      </c>
      <c r="U1480" s="76">
        <f>STOCK[[#This Row],[Costo total]]*1.5</f>
        <v>27.855</v>
      </c>
      <c r="V1480" s="94">
        <v>40</v>
      </c>
      <c r="W1480" s="94">
        <f>STOCK[[#This Row],[Precio Final]]-STOCK[[#This Row],[Costo total]]</f>
        <v>21.43</v>
      </c>
      <c r="X1480" s="94">
        <f>STOCK[[#This Row],[Ganancia Unitaria]]*STOCK[[#This Row],[Salidas]]</f>
        <v>21.43</v>
      </c>
      <c r="Y1480" s="94"/>
      <c r="Z1480" s="94"/>
      <c r="AA1480" s="94">
        <f>STOCK[[#This Row],[Costo total]]*STOCK[[#This Row],[Entradas]]</f>
        <v>18.57</v>
      </c>
      <c r="AB1480" s="94">
        <f>STOCK[[#This Row],[Stock Actual]]*STOCK[[#This Row],[Costo total]]</f>
        <v>0</v>
      </c>
      <c r="AC1480" s="94"/>
    </row>
    <row r="1481" s="76" customFormat="1" ht="50" customHeight="1" spans="1:29">
      <c r="A1481" s="76" t="s">
        <v>2968</v>
      </c>
      <c r="B1481" s="95"/>
      <c r="C1481" s="94" t="s">
        <v>30</v>
      </c>
      <c r="D1481" s="94" t="s">
        <v>2626</v>
      </c>
      <c r="E1481" s="94" t="s">
        <v>2963</v>
      </c>
      <c r="F1481" s="94" t="s">
        <v>60</v>
      </c>
      <c r="G1481" s="94"/>
      <c r="H1481" s="94">
        <f>STOCK[[#This Row],[Precio Final]]</f>
        <v>20</v>
      </c>
      <c r="I1481" s="98">
        <f>STOCK[[#This Row],[Precio Venta Ideal (x1.5)]]</f>
        <v>14.445</v>
      </c>
      <c r="J1481" s="96">
        <v>2</v>
      </c>
      <c r="K1481" s="96">
        <f>SUMIFS(VENTAS[Cantidad],VENTAS[Código del producto Vendido],STOCK[[#This Row],[Code]])</f>
        <v>2</v>
      </c>
      <c r="L1481" s="96">
        <f>STOCK[[#This Row],[Entradas]]-STOCK[[#This Row],[Salidas]]</f>
        <v>0</v>
      </c>
      <c r="M1481" s="94">
        <f>STOCK[[#This Row],[Precio Final]]*10%</f>
        <v>2</v>
      </c>
      <c r="N1481" s="94">
        <v>0</v>
      </c>
      <c r="O1481" s="94">
        <v>0</v>
      </c>
      <c r="P1481" s="94">
        <v>5.98</v>
      </c>
      <c r="Q1481" s="96">
        <v>0</v>
      </c>
      <c r="R1481" s="94">
        <v>0</v>
      </c>
      <c r="S1481" s="94">
        <v>1.65</v>
      </c>
      <c r="T1481" s="94">
        <f>STOCK[[#This Row],[Costo Unitario (USD)]]+STOCK[[#This Row],[Costo Envío (USD)]]+STOCK[[#This Row],[Comisión 10%]]</f>
        <v>9.63</v>
      </c>
      <c r="U1481" s="76">
        <f>STOCK[[#This Row],[Costo total]]*1.5</f>
        <v>14.445</v>
      </c>
      <c r="V1481" s="94">
        <v>20</v>
      </c>
      <c r="W1481" s="94">
        <f>STOCK[[#This Row],[Precio Final]]-STOCK[[#This Row],[Costo total]]</f>
        <v>10.37</v>
      </c>
      <c r="X1481" s="94">
        <f>STOCK[[#This Row],[Ganancia Unitaria]]*STOCK[[#This Row],[Salidas]]</f>
        <v>20.74</v>
      </c>
      <c r="Y1481" s="94"/>
      <c r="Z1481" s="94"/>
      <c r="AA1481" s="94">
        <f>STOCK[[#This Row],[Costo total]]*STOCK[[#This Row],[Entradas]]</f>
        <v>19.26</v>
      </c>
      <c r="AB1481" s="94">
        <f>STOCK[[#This Row],[Stock Actual]]*STOCK[[#This Row],[Costo total]]</f>
        <v>0</v>
      </c>
      <c r="AC1481" s="94"/>
    </row>
    <row r="1482" s="76" customFormat="1" ht="50" customHeight="1" spans="1:29">
      <c r="A1482" s="76" t="s">
        <v>2969</v>
      </c>
      <c r="B1482" s="95"/>
      <c r="C1482" s="94" t="s">
        <v>30</v>
      </c>
      <c r="D1482" s="94" t="s">
        <v>2626</v>
      </c>
      <c r="E1482" s="94" t="s">
        <v>2970</v>
      </c>
      <c r="F1482" s="94" t="s">
        <v>60</v>
      </c>
      <c r="G1482" s="94"/>
      <c r="H1482" s="94">
        <f>STOCK[[#This Row],[Precio Final]]</f>
        <v>25</v>
      </c>
      <c r="I1482" s="98">
        <f>STOCK[[#This Row],[Precio Venta Ideal (x1.5)]]</f>
        <v>22.23</v>
      </c>
      <c r="J1482" s="96">
        <v>2</v>
      </c>
      <c r="K1482" s="96">
        <f>SUMIFS(VENTAS[Cantidad],VENTAS[Código del producto Vendido],STOCK[[#This Row],[Code]])</f>
        <v>1</v>
      </c>
      <c r="L1482" s="96">
        <f>STOCK[[#This Row],[Entradas]]-STOCK[[#This Row],[Salidas]]</f>
        <v>1</v>
      </c>
      <c r="M1482" s="94">
        <f>STOCK[[#This Row],[Precio Final]]*10%</f>
        <v>2.5</v>
      </c>
      <c r="N1482" s="94">
        <v>0</v>
      </c>
      <c r="O1482" s="94">
        <v>0</v>
      </c>
      <c r="P1482" s="94">
        <v>10.67</v>
      </c>
      <c r="Q1482" s="96">
        <v>0</v>
      </c>
      <c r="R1482" s="94">
        <v>0</v>
      </c>
      <c r="S1482" s="94">
        <v>1.65</v>
      </c>
      <c r="T1482" s="94">
        <f>STOCK[[#This Row],[Costo Unitario (USD)]]+STOCK[[#This Row],[Costo Envío (USD)]]+STOCK[[#This Row],[Comisión 10%]]</f>
        <v>14.82</v>
      </c>
      <c r="U1482" s="76">
        <f>STOCK[[#This Row],[Costo total]]*1.5</f>
        <v>22.23</v>
      </c>
      <c r="V1482" s="94">
        <v>25</v>
      </c>
      <c r="W1482" s="94">
        <f>STOCK[[#This Row],[Precio Final]]-STOCK[[#This Row],[Costo total]]</f>
        <v>10.18</v>
      </c>
      <c r="X1482" s="94">
        <f>STOCK[[#This Row],[Ganancia Unitaria]]*STOCK[[#This Row],[Salidas]]</f>
        <v>10.18</v>
      </c>
      <c r="Y1482" s="94"/>
      <c r="Z1482" s="94"/>
      <c r="AA1482" s="94">
        <f>STOCK[[#This Row],[Costo total]]*STOCK[[#This Row],[Entradas]]</f>
        <v>29.64</v>
      </c>
      <c r="AB1482" s="94">
        <f>STOCK[[#This Row],[Stock Actual]]*STOCK[[#This Row],[Costo total]]</f>
        <v>14.82</v>
      </c>
      <c r="AC1482" s="94"/>
    </row>
    <row r="1483" s="76" customFormat="1" ht="50" customHeight="1" spans="1:29">
      <c r="A1483" s="76" t="s">
        <v>2971</v>
      </c>
      <c r="B1483" s="95"/>
      <c r="C1483" s="94" t="s">
        <v>30</v>
      </c>
      <c r="D1483" s="94" t="s">
        <v>2626</v>
      </c>
      <c r="E1483" s="94" t="s">
        <v>2970</v>
      </c>
      <c r="F1483" s="94" t="s">
        <v>47</v>
      </c>
      <c r="G1483" s="94"/>
      <c r="H1483" s="94">
        <f>STOCK[[#This Row],[Precio Final]]</f>
        <v>25</v>
      </c>
      <c r="I1483" s="98">
        <f>STOCK[[#This Row],[Precio Venta Ideal (x1.5)]]</f>
        <v>22.23</v>
      </c>
      <c r="J1483" s="96">
        <v>2</v>
      </c>
      <c r="K1483" s="96">
        <f>SUMIFS(VENTAS[Cantidad],VENTAS[Código del producto Vendido],STOCK[[#This Row],[Code]])</f>
        <v>2</v>
      </c>
      <c r="L1483" s="96">
        <f>STOCK[[#This Row],[Entradas]]-STOCK[[#This Row],[Salidas]]</f>
        <v>0</v>
      </c>
      <c r="M1483" s="94">
        <f>STOCK[[#This Row],[Precio Final]]*10%</f>
        <v>2.5</v>
      </c>
      <c r="N1483" s="94">
        <v>0</v>
      </c>
      <c r="O1483" s="94">
        <v>0</v>
      </c>
      <c r="P1483" s="94">
        <v>10.67</v>
      </c>
      <c r="Q1483" s="96">
        <v>0</v>
      </c>
      <c r="R1483" s="94">
        <v>0</v>
      </c>
      <c r="S1483" s="94">
        <v>1.65</v>
      </c>
      <c r="T1483" s="94">
        <f>STOCK[[#This Row],[Costo Unitario (USD)]]+STOCK[[#This Row],[Costo Envío (USD)]]+STOCK[[#This Row],[Comisión 10%]]</f>
        <v>14.82</v>
      </c>
      <c r="U1483" s="76">
        <f>STOCK[[#This Row],[Costo total]]*1.5</f>
        <v>22.23</v>
      </c>
      <c r="V1483" s="94">
        <v>25</v>
      </c>
      <c r="W1483" s="94">
        <f>STOCK[[#This Row],[Precio Final]]-STOCK[[#This Row],[Costo total]]</f>
        <v>10.18</v>
      </c>
      <c r="X1483" s="94">
        <f>STOCK[[#This Row],[Ganancia Unitaria]]*STOCK[[#This Row],[Salidas]]</f>
        <v>20.36</v>
      </c>
      <c r="Y1483" s="94"/>
      <c r="Z1483" s="94"/>
      <c r="AA1483" s="94">
        <f>STOCK[[#This Row],[Costo total]]*STOCK[[#This Row],[Entradas]]</f>
        <v>29.64</v>
      </c>
      <c r="AB1483" s="94">
        <f>STOCK[[#This Row],[Stock Actual]]*STOCK[[#This Row],[Costo total]]</f>
        <v>0</v>
      </c>
      <c r="AC1483" s="94"/>
    </row>
    <row r="1484" s="76" customFormat="1" ht="50" customHeight="1" spans="1:29">
      <c r="A1484" s="76" t="s">
        <v>2972</v>
      </c>
      <c r="B1484" s="95"/>
      <c r="C1484" s="94" t="s">
        <v>30</v>
      </c>
      <c r="D1484" s="94" t="s">
        <v>2626</v>
      </c>
      <c r="E1484" s="94" t="s">
        <v>2970</v>
      </c>
      <c r="F1484" s="94" t="s">
        <v>44</v>
      </c>
      <c r="G1484" s="94"/>
      <c r="H1484" s="94">
        <f>STOCK[[#This Row],[Precio Final]]</f>
        <v>25</v>
      </c>
      <c r="I1484" s="98">
        <f>STOCK[[#This Row],[Precio Venta Ideal (x1.5)]]</f>
        <v>22.23</v>
      </c>
      <c r="J1484" s="96">
        <v>2</v>
      </c>
      <c r="K1484" s="96">
        <f>SUMIFS(VENTAS[Cantidad],VENTAS[Código del producto Vendido],STOCK[[#This Row],[Code]])</f>
        <v>1</v>
      </c>
      <c r="L1484" s="96">
        <f>STOCK[[#This Row],[Entradas]]-STOCK[[#This Row],[Salidas]]</f>
        <v>1</v>
      </c>
      <c r="M1484" s="94">
        <f>STOCK[[#This Row],[Precio Final]]*10%</f>
        <v>2.5</v>
      </c>
      <c r="N1484" s="94">
        <v>0</v>
      </c>
      <c r="O1484" s="94">
        <v>0</v>
      </c>
      <c r="P1484" s="94">
        <v>10.67</v>
      </c>
      <c r="Q1484" s="96">
        <v>0</v>
      </c>
      <c r="R1484" s="94">
        <v>0</v>
      </c>
      <c r="S1484" s="94">
        <v>1.65</v>
      </c>
      <c r="T1484" s="94">
        <f>STOCK[[#This Row],[Costo Unitario (USD)]]+STOCK[[#This Row],[Costo Envío (USD)]]+STOCK[[#This Row],[Comisión 10%]]</f>
        <v>14.82</v>
      </c>
      <c r="U1484" s="76">
        <f>STOCK[[#This Row],[Costo total]]*1.5</f>
        <v>22.23</v>
      </c>
      <c r="V1484" s="94">
        <v>25</v>
      </c>
      <c r="W1484" s="94">
        <f>STOCK[[#This Row],[Precio Final]]-STOCK[[#This Row],[Costo total]]</f>
        <v>10.18</v>
      </c>
      <c r="X1484" s="94">
        <f>STOCK[[#This Row],[Ganancia Unitaria]]*STOCK[[#This Row],[Salidas]]</f>
        <v>10.18</v>
      </c>
      <c r="Y1484" s="94"/>
      <c r="Z1484" s="94"/>
      <c r="AA1484" s="94">
        <f>STOCK[[#This Row],[Costo total]]*STOCK[[#This Row],[Entradas]]</f>
        <v>29.64</v>
      </c>
      <c r="AB1484" s="94">
        <f>STOCK[[#This Row],[Stock Actual]]*STOCK[[#This Row],[Costo total]]</f>
        <v>14.82</v>
      </c>
      <c r="AC1484" s="94"/>
    </row>
    <row r="1485" s="76" customFormat="1" ht="50" customHeight="1" spans="1:29">
      <c r="A1485" s="76" t="s">
        <v>2973</v>
      </c>
      <c r="B1485" s="95"/>
      <c r="C1485" s="94" t="s">
        <v>30</v>
      </c>
      <c r="D1485" s="94" t="s">
        <v>2109</v>
      </c>
      <c r="E1485" s="94" t="s">
        <v>2974</v>
      </c>
      <c r="F1485" s="94" t="s">
        <v>2814</v>
      </c>
      <c r="G1485" s="94"/>
      <c r="H1485" s="94">
        <f>STOCK[[#This Row],[Precio Final]]</f>
        <v>12</v>
      </c>
      <c r="I1485" s="98">
        <f>STOCK[[#This Row],[Precio Venta Ideal (x1.5)]]</f>
        <v>8.76</v>
      </c>
      <c r="J1485" s="96">
        <v>6</v>
      </c>
      <c r="K1485" s="96">
        <f>SUMIFS(VENTAS[Cantidad],VENTAS[Código del producto Vendido],STOCK[[#This Row],[Code]])</f>
        <v>1</v>
      </c>
      <c r="L1485" s="96">
        <f>STOCK[[#This Row],[Entradas]]-STOCK[[#This Row],[Salidas]]</f>
        <v>5</v>
      </c>
      <c r="M1485" s="94">
        <f>STOCK[[#This Row],[Precio Final]]*10%</f>
        <v>1.2</v>
      </c>
      <c r="N1485" s="94">
        <v>0</v>
      </c>
      <c r="O1485" s="94">
        <v>0</v>
      </c>
      <c r="P1485" s="94">
        <v>2.99</v>
      </c>
      <c r="Q1485" s="96">
        <v>0</v>
      </c>
      <c r="R1485" s="94">
        <v>0</v>
      </c>
      <c r="S1485" s="94">
        <v>1.65</v>
      </c>
      <c r="T1485" s="94">
        <f>STOCK[[#This Row],[Costo Unitario (USD)]]+STOCK[[#This Row],[Costo Envío (USD)]]+STOCK[[#This Row],[Comisión 10%]]</f>
        <v>5.84</v>
      </c>
      <c r="U1485" s="76">
        <f>STOCK[[#This Row],[Costo total]]*1.5</f>
        <v>8.76</v>
      </c>
      <c r="V1485" s="94">
        <v>12</v>
      </c>
      <c r="W1485" s="94">
        <f>STOCK[[#This Row],[Precio Final]]-STOCK[[#This Row],[Costo total]]</f>
        <v>6.16</v>
      </c>
      <c r="X1485" s="94">
        <f>STOCK[[#This Row],[Ganancia Unitaria]]*STOCK[[#This Row],[Salidas]]</f>
        <v>6.16</v>
      </c>
      <c r="Y1485" s="94"/>
      <c r="Z1485" s="94"/>
      <c r="AA1485" s="94">
        <f>STOCK[[#This Row],[Costo total]]*STOCK[[#This Row],[Entradas]]</f>
        <v>35.04</v>
      </c>
      <c r="AB1485" s="94">
        <f>STOCK[[#This Row],[Stock Actual]]*STOCK[[#This Row],[Costo total]]</f>
        <v>29.2</v>
      </c>
      <c r="AC1485" s="94"/>
    </row>
    <row r="1486" s="76" customFormat="1" ht="50" customHeight="1" spans="1:29">
      <c r="A1486" s="76" t="s">
        <v>2975</v>
      </c>
      <c r="B1486" s="95"/>
      <c r="C1486" s="94" t="s">
        <v>30</v>
      </c>
      <c r="D1486" s="94" t="s">
        <v>2109</v>
      </c>
      <c r="E1486" s="94" t="s">
        <v>2976</v>
      </c>
      <c r="F1486" s="94" t="s">
        <v>2814</v>
      </c>
      <c r="G1486" s="94"/>
      <c r="H1486" s="94">
        <f>STOCK[[#This Row],[Precio Final]]</f>
        <v>12</v>
      </c>
      <c r="I1486" s="98">
        <f>STOCK[[#This Row],[Precio Venta Ideal (x1.5)]]</f>
        <v>9.045</v>
      </c>
      <c r="J1486" s="96">
        <v>4</v>
      </c>
      <c r="K1486" s="96">
        <f>SUMIFS(VENTAS[Cantidad],VENTAS[Código del producto Vendido],STOCK[[#This Row],[Code]])</f>
        <v>0</v>
      </c>
      <c r="L1486" s="96">
        <f>STOCK[[#This Row],[Entradas]]-STOCK[[#This Row],[Salidas]]</f>
        <v>4</v>
      </c>
      <c r="M1486" s="94">
        <f>STOCK[[#This Row],[Precio Final]]*10%</f>
        <v>1.2</v>
      </c>
      <c r="N1486" s="94">
        <v>0</v>
      </c>
      <c r="O1486" s="94">
        <v>0</v>
      </c>
      <c r="P1486" s="94">
        <v>3.18</v>
      </c>
      <c r="Q1486" s="96">
        <v>0</v>
      </c>
      <c r="R1486" s="94">
        <v>0</v>
      </c>
      <c r="S1486" s="94">
        <v>1.65</v>
      </c>
      <c r="T1486" s="94">
        <f>STOCK[[#This Row],[Costo Unitario (USD)]]+STOCK[[#This Row],[Costo Envío (USD)]]+STOCK[[#This Row],[Comisión 10%]]</f>
        <v>6.03</v>
      </c>
      <c r="U1486" s="76">
        <f>STOCK[[#This Row],[Costo total]]*1.5</f>
        <v>9.045</v>
      </c>
      <c r="V1486" s="94">
        <v>12</v>
      </c>
      <c r="W1486" s="94">
        <f>STOCK[[#This Row],[Precio Final]]-STOCK[[#This Row],[Costo total]]</f>
        <v>5.97</v>
      </c>
      <c r="X1486" s="94">
        <f>STOCK[[#This Row],[Ganancia Unitaria]]*STOCK[[#This Row],[Salidas]]</f>
        <v>0</v>
      </c>
      <c r="Y1486" s="94"/>
      <c r="Z1486" s="94"/>
      <c r="AA1486" s="94">
        <f>STOCK[[#This Row],[Costo total]]*STOCK[[#This Row],[Entradas]]</f>
        <v>24.12</v>
      </c>
      <c r="AB1486" s="94">
        <f>STOCK[[#This Row],[Stock Actual]]*STOCK[[#This Row],[Costo total]]</f>
        <v>24.12</v>
      </c>
      <c r="AC1486" s="94"/>
    </row>
    <row r="1487" s="76" customFormat="1" ht="50" customHeight="1" spans="1:29">
      <c r="A1487" s="76" t="s">
        <v>2977</v>
      </c>
      <c r="B1487" s="95"/>
      <c r="C1487" s="94" t="s">
        <v>30</v>
      </c>
      <c r="D1487" s="94" t="s">
        <v>1806</v>
      </c>
      <c r="E1487" s="94" t="s">
        <v>2978</v>
      </c>
      <c r="F1487" s="94" t="s">
        <v>524</v>
      </c>
      <c r="G1487" s="94"/>
      <c r="H1487" s="94">
        <f>STOCK[[#This Row],[Precio Final]]</f>
        <v>35</v>
      </c>
      <c r="I1487" s="98">
        <f>STOCK[[#This Row],[Precio Venta Ideal (x1.5)]]</f>
        <v>14.25</v>
      </c>
      <c r="J1487" s="96">
        <v>2</v>
      </c>
      <c r="K1487" s="96">
        <f>SUMIFS(VENTAS[Cantidad],VENTAS[Código del producto Vendido],STOCK[[#This Row],[Code]])</f>
        <v>0</v>
      </c>
      <c r="L1487" s="96">
        <f>STOCK[[#This Row],[Entradas]]-STOCK[[#This Row],[Salidas]]</f>
        <v>2</v>
      </c>
      <c r="M1487" s="94">
        <f>STOCK[[#This Row],[Precio Final]]*10%</f>
        <v>3.5</v>
      </c>
      <c r="N1487" s="94">
        <v>0</v>
      </c>
      <c r="O1487" s="94">
        <v>0</v>
      </c>
      <c r="P1487" s="94">
        <v>4.35</v>
      </c>
      <c r="Q1487" s="96">
        <v>0</v>
      </c>
      <c r="R1487" s="94">
        <v>0</v>
      </c>
      <c r="S1487" s="94">
        <v>1.65</v>
      </c>
      <c r="T1487" s="94">
        <f>STOCK[[#This Row],[Costo Unitario (USD)]]+STOCK[[#This Row],[Costo Envío (USD)]]+STOCK[[#This Row],[Comisión 10%]]</f>
        <v>9.5</v>
      </c>
      <c r="U1487" s="76">
        <f>STOCK[[#This Row],[Costo total]]*1.5</f>
        <v>14.25</v>
      </c>
      <c r="V1487" s="94">
        <v>35</v>
      </c>
      <c r="W1487" s="94">
        <f>STOCK[[#This Row],[Precio Final]]-STOCK[[#This Row],[Costo total]]</f>
        <v>25.5</v>
      </c>
      <c r="X1487" s="94">
        <f>STOCK[[#This Row],[Ganancia Unitaria]]*STOCK[[#This Row],[Salidas]]</f>
        <v>0</v>
      </c>
      <c r="Y1487" s="94"/>
      <c r="Z1487" s="94"/>
      <c r="AA1487" s="94">
        <f>STOCK[[#This Row],[Costo total]]*STOCK[[#This Row],[Entradas]]</f>
        <v>19</v>
      </c>
      <c r="AB1487" s="94">
        <f>STOCK[[#This Row],[Stock Actual]]*STOCK[[#This Row],[Costo total]]</f>
        <v>19</v>
      </c>
      <c r="AC1487" s="94"/>
    </row>
    <row r="1488" s="76" customFormat="1" ht="50" customHeight="1" spans="1:29">
      <c r="A1488" s="76" t="s">
        <v>2979</v>
      </c>
      <c r="B1488" s="95"/>
      <c r="C1488" s="94" t="s">
        <v>30</v>
      </c>
      <c r="D1488" s="94" t="s">
        <v>2626</v>
      </c>
      <c r="E1488" s="94" t="s">
        <v>2980</v>
      </c>
      <c r="F1488" s="94" t="s">
        <v>44</v>
      </c>
      <c r="G1488" s="94"/>
      <c r="H1488" s="94">
        <f>STOCK[[#This Row],[Precio Final]]</f>
        <v>35</v>
      </c>
      <c r="I1488" s="98">
        <f>STOCK[[#This Row],[Precio Venta Ideal (x1.5)]]</f>
        <v>23.775</v>
      </c>
      <c r="J1488" s="96">
        <v>2</v>
      </c>
      <c r="K1488" s="96">
        <f>SUMIFS(VENTAS[Cantidad],VENTAS[Código del producto Vendido],STOCK[[#This Row],[Code]])</f>
        <v>0</v>
      </c>
      <c r="L1488" s="96">
        <f>STOCK[[#This Row],[Entradas]]-STOCK[[#This Row],[Salidas]]</f>
        <v>2</v>
      </c>
      <c r="M1488" s="94">
        <f>STOCK[[#This Row],[Precio Final]]*10%</f>
        <v>3.5</v>
      </c>
      <c r="N1488" s="94">
        <v>0</v>
      </c>
      <c r="O1488" s="94">
        <v>0</v>
      </c>
      <c r="P1488" s="94">
        <v>10.7</v>
      </c>
      <c r="Q1488" s="96">
        <v>0</v>
      </c>
      <c r="R1488" s="94">
        <v>0</v>
      </c>
      <c r="S1488" s="94">
        <v>1.65</v>
      </c>
      <c r="T1488" s="94">
        <f>STOCK[[#This Row],[Costo Unitario (USD)]]+STOCK[[#This Row],[Costo Envío (USD)]]+STOCK[[#This Row],[Comisión 10%]]</f>
        <v>15.85</v>
      </c>
      <c r="U1488" s="76">
        <f>STOCK[[#This Row],[Costo total]]*1.5</f>
        <v>23.775</v>
      </c>
      <c r="V1488" s="94">
        <v>35</v>
      </c>
      <c r="W1488" s="94">
        <f>STOCK[[#This Row],[Precio Final]]-STOCK[[#This Row],[Costo total]]</f>
        <v>19.15</v>
      </c>
      <c r="X1488" s="94">
        <f>STOCK[[#This Row],[Ganancia Unitaria]]*STOCK[[#This Row],[Salidas]]</f>
        <v>0</v>
      </c>
      <c r="Y1488" s="94"/>
      <c r="Z1488" s="94"/>
      <c r="AA1488" s="94">
        <f>STOCK[[#This Row],[Costo total]]*STOCK[[#This Row],[Entradas]]</f>
        <v>31.7</v>
      </c>
      <c r="AB1488" s="94">
        <f>STOCK[[#This Row],[Stock Actual]]*STOCK[[#This Row],[Costo total]]</f>
        <v>31.7</v>
      </c>
      <c r="AC1488" s="94"/>
    </row>
    <row r="1489" s="76" customFormat="1" ht="50" customHeight="1" spans="1:29">
      <c r="A1489" s="76" t="s">
        <v>2981</v>
      </c>
      <c r="B1489" s="95"/>
      <c r="C1489" s="94" t="s">
        <v>30</v>
      </c>
      <c r="D1489" s="94" t="s">
        <v>2626</v>
      </c>
      <c r="E1489" s="94" t="s">
        <v>2982</v>
      </c>
      <c r="F1489" s="94" t="s">
        <v>60</v>
      </c>
      <c r="G1489" s="94"/>
      <c r="H1489" s="94">
        <f>STOCK[[#This Row],[Precio Final]]</f>
        <v>30</v>
      </c>
      <c r="I1489" s="98">
        <f>STOCK[[#This Row],[Precio Venta Ideal (x1.5)]]</f>
        <v>21.03</v>
      </c>
      <c r="J1489" s="96">
        <v>1</v>
      </c>
      <c r="K1489" s="96">
        <f>SUMIFS(VENTAS[Cantidad],VENTAS[Código del producto Vendido],STOCK[[#This Row],[Code]])</f>
        <v>0</v>
      </c>
      <c r="L1489" s="96">
        <f>STOCK[[#This Row],[Entradas]]-STOCK[[#This Row],[Salidas]]</f>
        <v>1</v>
      </c>
      <c r="M1489" s="94">
        <f>STOCK[[#This Row],[Precio Final]]*10%</f>
        <v>3</v>
      </c>
      <c r="N1489" s="94">
        <v>0</v>
      </c>
      <c r="O1489" s="94">
        <v>0</v>
      </c>
      <c r="P1489" s="94">
        <v>9.37</v>
      </c>
      <c r="Q1489" s="96">
        <v>0</v>
      </c>
      <c r="R1489" s="94">
        <v>0</v>
      </c>
      <c r="S1489" s="94">
        <v>1.65</v>
      </c>
      <c r="T1489" s="94">
        <f>STOCK[[#This Row],[Costo Unitario (USD)]]+STOCK[[#This Row],[Costo Envío (USD)]]+STOCK[[#This Row],[Comisión 10%]]</f>
        <v>14.02</v>
      </c>
      <c r="U1489" s="76">
        <f>STOCK[[#This Row],[Costo total]]*1.5</f>
        <v>21.03</v>
      </c>
      <c r="V1489" s="94">
        <v>30</v>
      </c>
      <c r="W1489" s="94">
        <f>STOCK[[#This Row],[Precio Final]]-STOCK[[#This Row],[Costo total]]</f>
        <v>15.98</v>
      </c>
      <c r="X1489" s="94">
        <f>STOCK[[#This Row],[Ganancia Unitaria]]*STOCK[[#This Row],[Salidas]]</f>
        <v>0</v>
      </c>
      <c r="Y1489" s="94"/>
      <c r="Z1489" s="94"/>
      <c r="AA1489" s="94">
        <f>STOCK[[#This Row],[Costo total]]*STOCK[[#This Row],[Entradas]]</f>
        <v>14.02</v>
      </c>
      <c r="AB1489" s="94">
        <f>STOCK[[#This Row],[Stock Actual]]*STOCK[[#This Row],[Costo total]]</f>
        <v>14.02</v>
      </c>
      <c r="AC1489" s="94"/>
    </row>
    <row r="1490" s="76" customFormat="1" ht="50" customHeight="1" spans="1:29">
      <c r="A1490" s="76" t="s">
        <v>2983</v>
      </c>
      <c r="B1490" s="95"/>
      <c r="C1490" s="94" t="s">
        <v>30</v>
      </c>
      <c r="D1490" s="94" t="s">
        <v>2626</v>
      </c>
      <c r="E1490" s="94" t="s">
        <v>2982</v>
      </c>
      <c r="F1490" s="94" t="s">
        <v>44</v>
      </c>
      <c r="G1490" s="94"/>
      <c r="H1490" s="94">
        <f>STOCK[[#This Row],[Precio Final]]</f>
        <v>30</v>
      </c>
      <c r="I1490" s="98">
        <f>STOCK[[#This Row],[Precio Venta Ideal (x1.5)]]</f>
        <v>21.03</v>
      </c>
      <c r="J1490" s="96">
        <v>1</v>
      </c>
      <c r="K1490" s="96">
        <f>SUMIFS(VENTAS[Cantidad],VENTAS[Código del producto Vendido],STOCK[[#This Row],[Code]])</f>
        <v>0</v>
      </c>
      <c r="L1490" s="96">
        <f>STOCK[[#This Row],[Entradas]]-STOCK[[#This Row],[Salidas]]</f>
        <v>1</v>
      </c>
      <c r="M1490" s="94">
        <f>STOCK[[#This Row],[Precio Final]]*10%</f>
        <v>3</v>
      </c>
      <c r="N1490" s="94">
        <v>0</v>
      </c>
      <c r="O1490" s="94">
        <v>0</v>
      </c>
      <c r="P1490" s="94">
        <v>9.37</v>
      </c>
      <c r="Q1490" s="96">
        <v>0</v>
      </c>
      <c r="R1490" s="94">
        <v>0</v>
      </c>
      <c r="S1490" s="94">
        <v>1.65</v>
      </c>
      <c r="T1490" s="94">
        <f>STOCK[[#This Row],[Costo Unitario (USD)]]+STOCK[[#This Row],[Costo Envío (USD)]]+STOCK[[#This Row],[Comisión 10%]]</f>
        <v>14.02</v>
      </c>
      <c r="U1490" s="76">
        <f>STOCK[[#This Row],[Costo total]]*1.5</f>
        <v>21.03</v>
      </c>
      <c r="V1490" s="94">
        <v>30</v>
      </c>
      <c r="W1490" s="94">
        <f>STOCK[[#This Row],[Precio Final]]-STOCK[[#This Row],[Costo total]]</f>
        <v>15.98</v>
      </c>
      <c r="X1490" s="94">
        <f>STOCK[[#This Row],[Ganancia Unitaria]]*STOCK[[#This Row],[Salidas]]</f>
        <v>0</v>
      </c>
      <c r="Y1490" s="94"/>
      <c r="Z1490" s="94"/>
      <c r="AA1490" s="94">
        <f>STOCK[[#This Row],[Costo total]]*STOCK[[#This Row],[Entradas]]</f>
        <v>14.02</v>
      </c>
      <c r="AB1490" s="94">
        <f>STOCK[[#This Row],[Stock Actual]]*STOCK[[#This Row],[Costo total]]</f>
        <v>14.02</v>
      </c>
      <c r="AC1490" s="94"/>
    </row>
    <row r="1491" s="76" customFormat="1" ht="50" customHeight="1" spans="1:29">
      <c r="A1491" s="76" t="s">
        <v>2984</v>
      </c>
      <c r="B1491" s="95"/>
      <c r="C1491" s="94" t="s">
        <v>30</v>
      </c>
      <c r="D1491" s="94" t="s">
        <v>1806</v>
      </c>
      <c r="E1491" s="94" t="s">
        <v>2985</v>
      </c>
      <c r="F1491" s="94" t="s">
        <v>524</v>
      </c>
      <c r="G1491" s="94"/>
      <c r="H1491" s="94">
        <f>STOCK[[#This Row],[Precio Final]]</f>
        <v>10</v>
      </c>
      <c r="I1491" s="98">
        <f>STOCK[[#This Row],[Precio Venta Ideal (x1.5)]]</f>
        <v>6.915</v>
      </c>
      <c r="J1491" s="96">
        <v>5</v>
      </c>
      <c r="K1491" s="96">
        <f>SUMIFS(VENTAS[Cantidad],VENTAS[Código del producto Vendido],STOCK[[#This Row],[Code]])</f>
        <v>0</v>
      </c>
      <c r="L1491" s="96">
        <f>STOCK[[#This Row],[Entradas]]-STOCK[[#This Row],[Salidas]]</f>
        <v>5</v>
      </c>
      <c r="M1491" s="94">
        <f>STOCK[[#This Row],[Precio Final]]*10%</f>
        <v>1</v>
      </c>
      <c r="N1491" s="94">
        <v>0</v>
      </c>
      <c r="O1491" s="94">
        <v>0</v>
      </c>
      <c r="P1491" s="94">
        <v>1.96</v>
      </c>
      <c r="Q1491" s="96">
        <v>0</v>
      </c>
      <c r="R1491" s="94">
        <v>0</v>
      </c>
      <c r="S1491" s="94">
        <v>1.65</v>
      </c>
      <c r="T1491" s="94">
        <f>STOCK[[#This Row],[Costo Unitario (USD)]]+STOCK[[#This Row],[Costo Envío (USD)]]+STOCK[[#This Row],[Comisión 10%]]</f>
        <v>4.61</v>
      </c>
      <c r="U1491" s="76">
        <f>STOCK[[#This Row],[Costo total]]*1.5</f>
        <v>6.915</v>
      </c>
      <c r="V1491" s="94">
        <v>10</v>
      </c>
      <c r="W1491" s="94">
        <f>STOCK[[#This Row],[Precio Final]]-STOCK[[#This Row],[Costo total]]</f>
        <v>5.39</v>
      </c>
      <c r="X1491" s="94">
        <f>STOCK[[#This Row],[Ganancia Unitaria]]*STOCK[[#This Row],[Salidas]]</f>
        <v>0</v>
      </c>
      <c r="Y1491" s="94"/>
      <c r="Z1491" s="94"/>
      <c r="AA1491" s="94">
        <f>STOCK[[#This Row],[Costo total]]*STOCK[[#This Row],[Entradas]]</f>
        <v>23.05</v>
      </c>
      <c r="AB1491" s="94">
        <f>STOCK[[#This Row],[Stock Actual]]*STOCK[[#This Row],[Costo total]]</f>
        <v>23.05</v>
      </c>
      <c r="AC1491" s="94"/>
    </row>
    <row r="1492" s="76" customFormat="1" ht="50" customHeight="1" spans="1:29">
      <c r="A1492" s="76" t="s">
        <v>2986</v>
      </c>
      <c r="B1492" s="95"/>
      <c r="C1492" s="94" t="s">
        <v>30</v>
      </c>
      <c r="D1492" s="94" t="s">
        <v>2125</v>
      </c>
      <c r="E1492" s="94" t="s">
        <v>2987</v>
      </c>
      <c r="F1492" s="94" t="s">
        <v>60</v>
      </c>
      <c r="G1492" s="94"/>
      <c r="H1492" s="94">
        <f>STOCK[[#This Row],[Precio Final]]</f>
        <v>20</v>
      </c>
      <c r="I1492" s="98">
        <f>STOCK[[#This Row],[Precio Venta Ideal (x1.5)]]</f>
        <v>18.93</v>
      </c>
      <c r="J1492" s="96">
        <v>2</v>
      </c>
      <c r="K1492" s="96">
        <f>SUMIFS(VENTAS[Cantidad],VENTAS[Código del producto Vendido],STOCK[[#This Row],[Code]])</f>
        <v>1</v>
      </c>
      <c r="L1492" s="96">
        <f>STOCK[[#This Row],[Entradas]]-STOCK[[#This Row],[Salidas]]</f>
        <v>1</v>
      </c>
      <c r="M1492" s="94">
        <f>STOCK[[#This Row],[Precio Final]]*10%</f>
        <v>2</v>
      </c>
      <c r="N1492" s="94">
        <v>0</v>
      </c>
      <c r="O1492" s="94">
        <v>0</v>
      </c>
      <c r="P1492" s="94">
        <v>8.97</v>
      </c>
      <c r="Q1492" s="96">
        <v>0</v>
      </c>
      <c r="R1492" s="94">
        <v>0</v>
      </c>
      <c r="S1492" s="94">
        <v>1.65</v>
      </c>
      <c r="T1492" s="94">
        <f>STOCK[[#This Row],[Costo Unitario (USD)]]+STOCK[[#This Row],[Costo Envío (USD)]]+STOCK[[#This Row],[Comisión 10%]]</f>
        <v>12.62</v>
      </c>
      <c r="U1492" s="76">
        <f>STOCK[[#This Row],[Costo total]]*1.5</f>
        <v>18.93</v>
      </c>
      <c r="V1492" s="94">
        <v>20</v>
      </c>
      <c r="W1492" s="94">
        <f>STOCK[[#This Row],[Precio Final]]-STOCK[[#This Row],[Costo total]]</f>
        <v>7.38</v>
      </c>
      <c r="X1492" s="94">
        <f>STOCK[[#This Row],[Ganancia Unitaria]]*STOCK[[#This Row],[Salidas]]</f>
        <v>7.38</v>
      </c>
      <c r="Y1492" s="94"/>
      <c r="Z1492" s="94"/>
      <c r="AA1492" s="94">
        <f>STOCK[[#This Row],[Costo total]]*STOCK[[#This Row],[Entradas]]</f>
        <v>25.24</v>
      </c>
      <c r="AB1492" s="94">
        <f>STOCK[[#This Row],[Stock Actual]]*STOCK[[#This Row],[Costo total]]</f>
        <v>12.62</v>
      </c>
      <c r="AC1492" s="94"/>
    </row>
    <row r="1493" s="76" customFormat="1" ht="50" customHeight="1" spans="1:29">
      <c r="A1493" s="76" t="s">
        <v>2988</v>
      </c>
      <c r="B1493" s="95"/>
      <c r="C1493" s="94" t="s">
        <v>30</v>
      </c>
      <c r="D1493" s="94" t="s">
        <v>2125</v>
      </c>
      <c r="E1493" s="94" t="s">
        <v>2987</v>
      </c>
      <c r="F1493" s="94" t="s">
        <v>47</v>
      </c>
      <c r="G1493" s="94"/>
      <c r="H1493" s="94">
        <f>STOCK[[#This Row],[Precio Final]]</f>
        <v>20</v>
      </c>
      <c r="I1493" s="98">
        <f>STOCK[[#This Row],[Precio Venta Ideal (x1.5)]]</f>
        <v>18.93</v>
      </c>
      <c r="J1493" s="96">
        <v>2</v>
      </c>
      <c r="K1493" s="96">
        <f>SUMIFS(VENTAS[Cantidad],VENTAS[Código del producto Vendido],STOCK[[#This Row],[Code]])</f>
        <v>0</v>
      </c>
      <c r="L1493" s="96">
        <f>STOCK[[#This Row],[Entradas]]-STOCK[[#This Row],[Salidas]]</f>
        <v>2</v>
      </c>
      <c r="M1493" s="94">
        <f>STOCK[[#This Row],[Precio Final]]*10%</f>
        <v>2</v>
      </c>
      <c r="N1493" s="94">
        <v>0</v>
      </c>
      <c r="O1493" s="94">
        <v>0</v>
      </c>
      <c r="P1493" s="94">
        <v>8.97</v>
      </c>
      <c r="Q1493" s="96">
        <v>0</v>
      </c>
      <c r="R1493" s="94">
        <v>0</v>
      </c>
      <c r="S1493" s="94">
        <v>1.65</v>
      </c>
      <c r="T1493" s="94">
        <f>STOCK[[#This Row],[Costo Unitario (USD)]]+STOCK[[#This Row],[Costo Envío (USD)]]+STOCK[[#This Row],[Comisión 10%]]</f>
        <v>12.62</v>
      </c>
      <c r="U1493" s="76">
        <f>STOCK[[#This Row],[Costo total]]*1.5</f>
        <v>18.93</v>
      </c>
      <c r="V1493" s="94">
        <v>20</v>
      </c>
      <c r="W1493" s="94">
        <f>STOCK[[#This Row],[Precio Final]]-STOCK[[#This Row],[Costo total]]</f>
        <v>7.38</v>
      </c>
      <c r="X1493" s="94">
        <f>STOCK[[#This Row],[Ganancia Unitaria]]*STOCK[[#This Row],[Salidas]]</f>
        <v>0</v>
      </c>
      <c r="Y1493" s="94"/>
      <c r="Z1493" s="94"/>
      <c r="AA1493" s="94">
        <f>STOCK[[#This Row],[Costo total]]*STOCK[[#This Row],[Entradas]]</f>
        <v>25.24</v>
      </c>
      <c r="AB1493" s="94">
        <f>STOCK[[#This Row],[Stock Actual]]*STOCK[[#This Row],[Costo total]]</f>
        <v>25.24</v>
      </c>
      <c r="AC1493" s="94"/>
    </row>
    <row r="1494" s="76" customFormat="1" ht="50" customHeight="1" spans="1:29">
      <c r="A1494" s="76" t="s">
        <v>2989</v>
      </c>
      <c r="B1494" s="95"/>
      <c r="C1494" s="94" t="s">
        <v>30</v>
      </c>
      <c r="D1494" s="94" t="s">
        <v>2125</v>
      </c>
      <c r="E1494" s="94" t="s">
        <v>2987</v>
      </c>
      <c r="F1494" s="94" t="s">
        <v>44</v>
      </c>
      <c r="G1494" s="94"/>
      <c r="H1494" s="94">
        <f>STOCK[[#This Row],[Precio Final]]</f>
        <v>20</v>
      </c>
      <c r="I1494" s="98">
        <f>STOCK[[#This Row],[Precio Venta Ideal (x1.5)]]</f>
        <v>18.93</v>
      </c>
      <c r="J1494" s="96">
        <v>2</v>
      </c>
      <c r="K1494" s="96">
        <f>SUMIFS(VENTAS[Cantidad],VENTAS[Código del producto Vendido],STOCK[[#This Row],[Code]])</f>
        <v>0</v>
      </c>
      <c r="L1494" s="96">
        <f>STOCK[[#This Row],[Entradas]]-STOCK[[#This Row],[Salidas]]</f>
        <v>2</v>
      </c>
      <c r="M1494" s="94">
        <f>STOCK[[#This Row],[Precio Final]]*10%</f>
        <v>2</v>
      </c>
      <c r="N1494" s="94">
        <v>0</v>
      </c>
      <c r="O1494" s="94">
        <v>0</v>
      </c>
      <c r="P1494" s="94">
        <v>8.97</v>
      </c>
      <c r="Q1494" s="96">
        <v>0</v>
      </c>
      <c r="R1494" s="94">
        <v>0</v>
      </c>
      <c r="S1494" s="94">
        <v>1.65</v>
      </c>
      <c r="T1494" s="94">
        <f>STOCK[[#This Row],[Costo Unitario (USD)]]+STOCK[[#This Row],[Costo Envío (USD)]]+STOCK[[#This Row],[Comisión 10%]]</f>
        <v>12.62</v>
      </c>
      <c r="U1494" s="76">
        <f>STOCK[[#This Row],[Costo total]]*1.5</f>
        <v>18.93</v>
      </c>
      <c r="V1494" s="94">
        <v>20</v>
      </c>
      <c r="W1494" s="94">
        <f>STOCK[[#This Row],[Precio Final]]-STOCK[[#This Row],[Costo total]]</f>
        <v>7.38</v>
      </c>
      <c r="X1494" s="94">
        <f>STOCK[[#This Row],[Ganancia Unitaria]]*STOCK[[#This Row],[Salidas]]</f>
        <v>0</v>
      </c>
      <c r="Y1494" s="94"/>
      <c r="Z1494" s="94"/>
      <c r="AA1494" s="94">
        <f>STOCK[[#This Row],[Costo total]]*STOCK[[#This Row],[Entradas]]</f>
        <v>25.24</v>
      </c>
      <c r="AB1494" s="94">
        <f>STOCK[[#This Row],[Stock Actual]]*STOCK[[#This Row],[Costo total]]</f>
        <v>25.24</v>
      </c>
      <c r="AC1494" s="94"/>
    </row>
    <row r="1495" s="76" customFormat="1" ht="50" customHeight="1" spans="1:29">
      <c r="A1495" s="76" t="s">
        <v>2990</v>
      </c>
      <c r="B1495" s="95"/>
      <c r="C1495" s="94" t="s">
        <v>30</v>
      </c>
      <c r="D1495" s="94" t="s">
        <v>1188</v>
      </c>
      <c r="E1495" s="94" t="s">
        <v>2991</v>
      </c>
      <c r="F1495" s="94" t="s">
        <v>60</v>
      </c>
      <c r="G1495" s="94"/>
      <c r="H1495" s="94">
        <f>STOCK[[#This Row],[Precio Final]]</f>
        <v>15</v>
      </c>
      <c r="I1495" s="98">
        <f>STOCK[[#This Row],[Precio Venta Ideal (x1.5)]]</f>
        <v>11.13</v>
      </c>
      <c r="J1495" s="96">
        <v>2</v>
      </c>
      <c r="K1495" s="96">
        <f>SUMIFS(VENTAS[Cantidad],VENTAS[Código del producto Vendido],STOCK[[#This Row],[Code]])</f>
        <v>1</v>
      </c>
      <c r="L1495" s="96">
        <f>STOCK[[#This Row],[Entradas]]-STOCK[[#This Row],[Salidas]]</f>
        <v>1</v>
      </c>
      <c r="M1495" s="94">
        <f>STOCK[[#This Row],[Precio Final]]*10%</f>
        <v>1.5</v>
      </c>
      <c r="N1495" s="94">
        <v>0</v>
      </c>
      <c r="O1495" s="94">
        <v>0</v>
      </c>
      <c r="P1495" s="94">
        <v>4.27</v>
      </c>
      <c r="Q1495" s="96">
        <v>0</v>
      </c>
      <c r="R1495" s="94">
        <v>0</v>
      </c>
      <c r="S1495" s="94">
        <v>1.65</v>
      </c>
      <c r="T1495" s="94">
        <f>STOCK[[#This Row],[Costo Unitario (USD)]]+STOCK[[#This Row],[Costo Envío (USD)]]+STOCK[[#This Row],[Comisión 10%]]</f>
        <v>7.42</v>
      </c>
      <c r="U1495" s="76">
        <f>STOCK[[#This Row],[Costo total]]*1.5</f>
        <v>11.13</v>
      </c>
      <c r="V1495" s="94">
        <v>15</v>
      </c>
      <c r="W1495" s="94">
        <f>STOCK[[#This Row],[Precio Final]]-STOCK[[#This Row],[Costo total]]</f>
        <v>7.58</v>
      </c>
      <c r="X1495" s="94">
        <f>STOCK[[#This Row],[Ganancia Unitaria]]*STOCK[[#This Row],[Salidas]]</f>
        <v>7.58</v>
      </c>
      <c r="Y1495" s="94"/>
      <c r="Z1495" s="94"/>
      <c r="AA1495" s="94">
        <f>STOCK[[#This Row],[Costo total]]*STOCK[[#This Row],[Entradas]]</f>
        <v>14.84</v>
      </c>
      <c r="AB1495" s="94">
        <f>STOCK[[#This Row],[Stock Actual]]*STOCK[[#This Row],[Costo total]]</f>
        <v>7.42</v>
      </c>
      <c r="AC1495" s="94"/>
    </row>
    <row r="1496" s="76" customFormat="1" ht="50" customHeight="1" spans="1:29">
      <c r="A1496" s="76" t="s">
        <v>2992</v>
      </c>
      <c r="B1496" s="95"/>
      <c r="C1496" s="94" t="s">
        <v>30</v>
      </c>
      <c r="D1496" s="94" t="s">
        <v>1188</v>
      </c>
      <c r="E1496" s="94" t="s">
        <v>2991</v>
      </c>
      <c r="F1496" s="94" t="s">
        <v>47</v>
      </c>
      <c r="G1496" s="94"/>
      <c r="H1496" s="94">
        <f>STOCK[[#This Row],[Precio Final]]</f>
        <v>15</v>
      </c>
      <c r="I1496" s="98">
        <f>STOCK[[#This Row],[Precio Venta Ideal (x1.5)]]</f>
        <v>11.13</v>
      </c>
      <c r="J1496" s="96">
        <v>2</v>
      </c>
      <c r="K1496" s="96">
        <f>SUMIFS(VENTAS[Cantidad],VENTAS[Código del producto Vendido],STOCK[[#This Row],[Code]])</f>
        <v>2</v>
      </c>
      <c r="L1496" s="96">
        <f>STOCK[[#This Row],[Entradas]]-STOCK[[#This Row],[Salidas]]</f>
        <v>0</v>
      </c>
      <c r="M1496" s="94">
        <f>STOCK[[#This Row],[Precio Final]]*10%</f>
        <v>1.5</v>
      </c>
      <c r="N1496" s="94">
        <v>0</v>
      </c>
      <c r="O1496" s="94">
        <v>0</v>
      </c>
      <c r="P1496" s="94">
        <v>4.27</v>
      </c>
      <c r="Q1496" s="96">
        <v>0</v>
      </c>
      <c r="R1496" s="94">
        <v>0</v>
      </c>
      <c r="S1496" s="94">
        <v>1.65</v>
      </c>
      <c r="T1496" s="94">
        <f>STOCK[[#This Row],[Costo Unitario (USD)]]+STOCK[[#This Row],[Costo Envío (USD)]]+STOCK[[#This Row],[Comisión 10%]]</f>
        <v>7.42</v>
      </c>
      <c r="U1496" s="76">
        <f>STOCK[[#This Row],[Costo total]]*1.5</f>
        <v>11.13</v>
      </c>
      <c r="V1496" s="94">
        <v>15</v>
      </c>
      <c r="W1496" s="94">
        <f>STOCK[[#This Row],[Precio Final]]-STOCK[[#This Row],[Costo total]]</f>
        <v>7.58</v>
      </c>
      <c r="X1496" s="94">
        <f>STOCK[[#This Row],[Ganancia Unitaria]]*STOCK[[#This Row],[Salidas]]</f>
        <v>15.16</v>
      </c>
      <c r="Y1496" s="94"/>
      <c r="Z1496" s="94"/>
      <c r="AA1496" s="94">
        <f>STOCK[[#This Row],[Costo total]]*STOCK[[#This Row],[Entradas]]</f>
        <v>14.84</v>
      </c>
      <c r="AB1496" s="94">
        <f>STOCK[[#This Row],[Stock Actual]]*STOCK[[#This Row],[Costo total]]</f>
        <v>0</v>
      </c>
      <c r="AC1496" s="94"/>
    </row>
    <row r="1497" s="76" customFormat="1" ht="50" customHeight="1" spans="1:29">
      <c r="A1497" s="76" t="s">
        <v>2993</v>
      </c>
      <c r="B1497" s="95"/>
      <c r="C1497" s="94" t="s">
        <v>30</v>
      </c>
      <c r="D1497" s="94" t="s">
        <v>1188</v>
      </c>
      <c r="E1497" s="94" t="s">
        <v>2991</v>
      </c>
      <c r="F1497" s="94" t="s">
        <v>44</v>
      </c>
      <c r="G1497" s="94"/>
      <c r="H1497" s="94">
        <f>STOCK[[#This Row],[Precio Final]]</f>
        <v>15</v>
      </c>
      <c r="I1497" s="98">
        <f>STOCK[[#This Row],[Precio Venta Ideal (x1.5)]]</f>
        <v>11.13</v>
      </c>
      <c r="J1497" s="96">
        <v>2</v>
      </c>
      <c r="K1497" s="96">
        <f>SUMIFS(VENTAS[Cantidad],VENTAS[Código del producto Vendido],STOCK[[#This Row],[Code]])</f>
        <v>2</v>
      </c>
      <c r="L1497" s="96">
        <f>STOCK[[#This Row],[Entradas]]-STOCK[[#This Row],[Salidas]]</f>
        <v>0</v>
      </c>
      <c r="M1497" s="94">
        <f>STOCK[[#This Row],[Precio Final]]*10%</f>
        <v>1.5</v>
      </c>
      <c r="N1497" s="94">
        <v>0</v>
      </c>
      <c r="O1497" s="94">
        <v>0</v>
      </c>
      <c r="P1497" s="94">
        <v>4.27</v>
      </c>
      <c r="Q1497" s="96">
        <v>0</v>
      </c>
      <c r="R1497" s="94">
        <v>0</v>
      </c>
      <c r="S1497" s="94">
        <v>1.65</v>
      </c>
      <c r="T1497" s="94">
        <f>STOCK[[#This Row],[Costo Unitario (USD)]]+STOCK[[#This Row],[Costo Envío (USD)]]+STOCK[[#This Row],[Comisión 10%]]</f>
        <v>7.42</v>
      </c>
      <c r="U1497" s="76">
        <f>STOCK[[#This Row],[Costo total]]*1.5</f>
        <v>11.13</v>
      </c>
      <c r="V1497" s="94">
        <v>15</v>
      </c>
      <c r="W1497" s="94">
        <f>STOCK[[#This Row],[Precio Final]]-STOCK[[#This Row],[Costo total]]</f>
        <v>7.58</v>
      </c>
      <c r="X1497" s="94">
        <f>STOCK[[#This Row],[Ganancia Unitaria]]*STOCK[[#This Row],[Salidas]]</f>
        <v>15.16</v>
      </c>
      <c r="Y1497" s="94"/>
      <c r="Z1497" s="94"/>
      <c r="AA1497" s="94">
        <f>STOCK[[#This Row],[Costo total]]*STOCK[[#This Row],[Entradas]]</f>
        <v>14.84</v>
      </c>
      <c r="AB1497" s="94">
        <f>STOCK[[#This Row],[Stock Actual]]*STOCK[[#This Row],[Costo total]]</f>
        <v>0</v>
      </c>
      <c r="AC1497" s="94"/>
    </row>
    <row r="1498" s="76" customFormat="1" ht="50" customHeight="1" spans="1:29">
      <c r="A1498" s="76" t="s">
        <v>2994</v>
      </c>
      <c r="B1498" s="95"/>
      <c r="C1498" s="94" t="s">
        <v>30</v>
      </c>
      <c r="D1498" s="94" t="s">
        <v>1188</v>
      </c>
      <c r="E1498" s="94" t="s">
        <v>2991</v>
      </c>
      <c r="F1498" s="94" t="s">
        <v>40</v>
      </c>
      <c r="G1498" s="94"/>
      <c r="H1498" s="94">
        <f>STOCK[[#This Row],[Precio Final]]</f>
        <v>15</v>
      </c>
      <c r="I1498" s="98">
        <f>STOCK[[#This Row],[Precio Venta Ideal (x1.5)]]</f>
        <v>11.13</v>
      </c>
      <c r="J1498" s="96">
        <v>2</v>
      </c>
      <c r="K1498" s="96">
        <f>SUMIFS(VENTAS[Cantidad],VENTAS[Código del producto Vendido],STOCK[[#This Row],[Code]])</f>
        <v>1</v>
      </c>
      <c r="L1498" s="96">
        <f>STOCK[[#This Row],[Entradas]]-STOCK[[#This Row],[Salidas]]</f>
        <v>1</v>
      </c>
      <c r="M1498" s="94">
        <f>STOCK[[#This Row],[Precio Final]]*10%</f>
        <v>1.5</v>
      </c>
      <c r="N1498" s="94">
        <v>0</v>
      </c>
      <c r="O1498" s="94">
        <v>0</v>
      </c>
      <c r="P1498" s="94">
        <v>4.27</v>
      </c>
      <c r="Q1498" s="96">
        <v>0</v>
      </c>
      <c r="R1498" s="94">
        <v>0</v>
      </c>
      <c r="S1498" s="94">
        <v>1.65</v>
      </c>
      <c r="T1498" s="94">
        <f>STOCK[[#This Row],[Costo Unitario (USD)]]+STOCK[[#This Row],[Costo Envío (USD)]]+STOCK[[#This Row],[Comisión 10%]]</f>
        <v>7.42</v>
      </c>
      <c r="U1498" s="76">
        <f>STOCK[[#This Row],[Costo total]]*1.5</f>
        <v>11.13</v>
      </c>
      <c r="V1498" s="94">
        <v>15</v>
      </c>
      <c r="W1498" s="94">
        <f>STOCK[[#This Row],[Precio Final]]-STOCK[[#This Row],[Costo total]]</f>
        <v>7.58</v>
      </c>
      <c r="X1498" s="94">
        <f>STOCK[[#This Row],[Ganancia Unitaria]]*STOCK[[#This Row],[Salidas]]</f>
        <v>7.58</v>
      </c>
      <c r="Y1498" s="94"/>
      <c r="Z1498" s="94"/>
      <c r="AA1498" s="94">
        <f>STOCK[[#This Row],[Costo total]]*STOCK[[#This Row],[Entradas]]</f>
        <v>14.84</v>
      </c>
      <c r="AB1498" s="94">
        <f>STOCK[[#This Row],[Stock Actual]]*STOCK[[#This Row],[Costo total]]</f>
        <v>7.42</v>
      </c>
      <c r="AC1498" s="94"/>
    </row>
    <row r="1499" s="76" customFormat="1" ht="50" customHeight="1" spans="1:29">
      <c r="A1499" s="76" t="s">
        <v>2995</v>
      </c>
      <c r="B1499" s="95"/>
      <c r="C1499" s="94" t="s">
        <v>30</v>
      </c>
      <c r="D1499" s="94" t="s">
        <v>2125</v>
      </c>
      <c r="E1499" s="94" t="s">
        <v>2996</v>
      </c>
      <c r="F1499" s="94" t="s">
        <v>47</v>
      </c>
      <c r="G1499" s="94"/>
      <c r="H1499" s="94">
        <f>STOCK[[#This Row],[Precio Final]]</f>
        <v>18</v>
      </c>
      <c r="I1499" s="98">
        <f>STOCK[[#This Row],[Precio Venta Ideal (x1.5)]]</f>
        <v>15.795</v>
      </c>
      <c r="J1499" s="96">
        <v>3</v>
      </c>
      <c r="K1499" s="96">
        <f>SUMIFS(VENTAS[Cantidad],VENTAS[Código del producto Vendido],STOCK[[#This Row],[Code]])</f>
        <v>0</v>
      </c>
      <c r="L1499" s="96">
        <f>STOCK[[#This Row],[Entradas]]-STOCK[[#This Row],[Salidas]]</f>
        <v>3</v>
      </c>
      <c r="M1499" s="94">
        <f>STOCK[[#This Row],[Precio Final]]*10%</f>
        <v>1.8</v>
      </c>
      <c r="N1499" s="94">
        <v>0</v>
      </c>
      <c r="O1499" s="94">
        <v>0</v>
      </c>
      <c r="P1499" s="94">
        <v>7.08</v>
      </c>
      <c r="Q1499" s="96">
        <v>0</v>
      </c>
      <c r="R1499" s="94">
        <v>0</v>
      </c>
      <c r="S1499" s="94">
        <v>1.65</v>
      </c>
      <c r="T1499" s="94">
        <f>STOCK[[#This Row],[Costo Unitario (USD)]]+STOCK[[#This Row],[Costo Envío (USD)]]+STOCK[[#This Row],[Comisión 10%]]</f>
        <v>10.53</v>
      </c>
      <c r="U1499" s="76">
        <f>STOCK[[#This Row],[Costo total]]*1.5</f>
        <v>15.795</v>
      </c>
      <c r="V1499" s="94">
        <v>18</v>
      </c>
      <c r="W1499" s="94">
        <f>STOCK[[#This Row],[Precio Final]]-STOCK[[#This Row],[Costo total]]</f>
        <v>7.47</v>
      </c>
      <c r="X1499" s="94">
        <f>STOCK[[#This Row],[Ganancia Unitaria]]*STOCK[[#This Row],[Salidas]]</f>
        <v>0</v>
      </c>
      <c r="Y1499" s="94"/>
      <c r="Z1499" s="94"/>
      <c r="AA1499" s="94">
        <f>STOCK[[#This Row],[Costo total]]*STOCK[[#This Row],[Entradas]]</f>
        <v>31.59</v>
      </c>
      <c r="AB1499" s="94">
        <f>STOCK[[#This Row],[Stock Actual]]*STOCK[[#This Row],[Costo total]]</f>
        <v>31.59</v>
      </c>
      <c r="AC1499" s="94"/>
    </row>
    <row r="1500" s="76" customFormat="1" ht="50" customHeight="1" spans="1:29">
      <c r="A1500" s="76" t="s">
        <v>2997</v>
      </c>
      <c r="B1500" s="95"/>
      <c r="C1500" s="94" t="s">
        <v>30</v>
      </c>
      <c r="D1500" s="94" t="s">
        <v>2125</v>
      </c>
      <c r="E1500" s="94" t="s">
        <v>2996</v>
      </c>
      <c r="F1500" s="94" t="s">
        <v>44</v>
      </c>
      <c r="G1500" s="94"/>
      <c r="H1500" s="94">
        <f>STOCK[[#This Row],[Precio Final]]</f>
        <v>18</v>
      </c>
      <c r="I1500" s="98">
        <f>STOCK[[#This Row],[Precio Venta Ideal (x1.5)]]</f>
        <v>15.795</v>
      </c>
      <c r="J1500" s="96">
        <v>3</v>
      </c>
      <c r="K1500" s="96">
        <f>SUMIFS(VENTAS[Cantidad],VENTAS[Código del producto Vendido],STOCK[[#This Row],[Code]])</f>
        <v>0</v>
      </c>
      <c r="L1500" s="96">
        <f>STOCK[[#This Row],[Entradas]]-STOCK[[#This Row],[Salidas]]</f>
        <v>3</v>
      </c>
      <c r="M1500" s="94">
        <f>STOCK[[#This Row],[Precio Final]]*10%</f>
        <v>1.8</v>
      </c>
      <c r="N1500" s="94">
        <v>0</v>
      </c>
      <c r="O1500" s="94">
        <v>0</v>
      </c>
      <c r="P1500" s="94">
        <v>7.08</v>
      </c>
      <c r="Q1500" s="96">
        <v>0</v>
      </c>
      <c r="R1500" s="94">
        <v>0</v>
      </c>
      <c r="S1500" s="94">
        <v>1.65</v>
      </c>
      <c r="T1500" s="94">
        <f>STOCK[[#This Row],[Costo Unitario (USD)]]+STOCK[[#This Row],[Costo Envío (USD)]]+STOCK[[#This Row],[Comisión 10%]]</f>
        <v>10.53</v>
      </c>
      <c r="U1500" s="76">
        <f>STOCK[[#This Row],[Costo total]]*1.5</f>
        <v>15.795</v>
      </c>
      <c r="V1500" s="94">
        <v>18</v>
      </c>
      <c r="W1500" s="94">
        <f>STOCK[[#This Row],[Precio Final]]-STOCK[[#This Row],[Costo total]]</f>
        <v>7.47</v>
      </c>
      <c r="X1500" s="94">
        <f>STOCK[[#This Row],[Ganancia Unitaria]]*STOCK[[#This Row],[Salidas]]</f>
        <v>0</v>
      </c>
      <c r="Y1500" s="94"/>
      <c r="Z1500" s="94"/>
      <c r="AA1500" s="94">
        <f>STOCK[[#This Row],[Costo total]]*STOCK[[#This Row],[Entradas]]</f>
        <v>31.59</v>
      </c>
      <c r="AB1500" s="94">
        <f>STOCK[[#This Row],[Stock Actual]]*STOCK[[#This Row],[Costo total]]</f>
        <v>31.59</v>
      </c>
      <c r="AC1500" s="94"/>
    </row>
    <row r="1501" s="76" customFormat="1" ht="50" customHeight="1" spans="1:29">
      <c r="A1501" s="76" t="s">
        <v>2998</v>
      </c>
      <c r="B1501" s="95"/>
      <c r="C1501" s="94" t="s">
        <v>30</v>
      </c>
      <c r="D1501" s="94" t="s">
        <v>2125</v>
      </c>
      <c r="E1501" s="94" t="s">
        <v>2999</v>
      </c>
      <c r="F1501" s="94" t="s">
        <v>995</v>
      </c>
      <c r="G1501" s="94"/>
      <c r="H1501" s="94">
        <f>STOCK[[#This Row],[Precio Final]]</f>
        <v>28</v>
      </c>
      <c r="I1501" s="98">
        <f>STOCK[[#This Row],[Precio Venta Ideal (x1.5)]]</f>
        <v>24.195</v>
      </c>
      <c r="J1501" s="96">
        <v>2</v>
      </c>
      <c r="K1501" s="96">
        <f>SUMIFS(VENTAS[Cantidad],VENTAS[Código del producto Vendido],STOCK[[#This Row],[Code]])</f>
        <v>1</v>
      </c>
      <c r="L1501" s="96">
        <f>STOCK[[#This Row],[Entradas]]-STOCK[[#This Row],[Salidas]]</f>
        <v>1</v>
      </c>
      <c r="M1501" s="94">
        <f>STOCK[[#This Row],[Precio Final]]*10%</f>
        <v>2.8</v>
      </c>
      <c r="N1501" s="94">
        <v>0</v>
      </c>
      <c r="O1501" s="94">
        <v>0</v>
      </c>
      <c r="P1501" s="94">
        <v>11.68</v>
      </c>
      <c r="Q1501" s="96">
        <v>0</v>
      </c>
      <c r="R1501" s="94">
        <v>0</v>
      </c>
      <c r="S1501" s="94">
        <v>1.65</v>
      </c>
      <c r="T1501" s="94">
        <f>STOCK[[#This Row],[Costo Unitario (USD)]]+STOCK[[#This Row],[Costo Envío (USD)]]+STOCK[[#This Row],[Comisión 10%]]</f>
        <v>16.13</v>
      </c>
      <c r="U1501" s="76">
        <f>STOCK[[#This Row],[Costo total]]*1.5</f>
        <v>24.195</v>
      </c>
      <c r="V1501" s="94">
        <v>28</v>
      </c>
      <c r="W1501" s="94">
        <f>STOCK[[#This Row],[Precio Final]]-STOCK[[#This Row],[Costo total]]</f>
        <v>11.87</v>
      </c>
      <c r="X1501" s="94">
        <f>STOCK[[#This Row],[Ganancia Unitaria]]*STOCK[[#This Row],[Salidas]]</f>
        <v>11.87</v>
      </c>
      <c r="Y1501" s="94"/>
      <c r="Z1501" s="94"/>
      <c r="AA1501" s="94">
        <f>STOCK[[#This Row],[Costo total]]*STOCK[[#This Row],[Entradas]]</f>
        <v>32.26</v>
      </c>
      <c r="AB1501" s="94">
        <f>STOCK[[#This Row],[Stock Actual]]*STOCK[[#This Row],[Costo total]]</f>
        <v>16.13</v>
      </c>
      <c r="AC1501" s="94"/>
    </row>
    <row r="1502" s="76" customFormat="1" ht="50" customHeight="1" spans="1:29">
      <c r="A1502" s="76" t="s">
        <v>3000</v>
      </c>
      <c r="B1502" s="95"/>
      <c r="C1502" s="94" t="s">
        <v>30</v>
      </c>
      <c r="D1502" s="94" t="s">
        <v>2626</v>
      </c>
      <c r="E1502" s="94" t="s">
        <v>3001</v>
      </c>
      <c r="F1502" s="94" t="s">
        <v>60</v>
      </c>
      <c r="G1502" s="94"/>
      <c r="H1502" s="94">
        <f>STOCK[[#This Row],[Precio Final]]</f>
        <v>25</v>
      </c>
      <c r="I1502" s="98">
        <f>STOCK[[#This Row],[Precio Venta Ideal (x1.5)]]</f>
        <v>23.445</v>
      </c>
      <c r="J1502" s="96">
        <v>1</v>
      </c>
      <c r="K1502" s="96">
        <f>SUMIFS(VENTAS[Cantidad],VENTAS[Código del producto Vendido],STOCK[[#This Row],[Code]])</f>
        <v>0</v>
      </c>
      <c r="L1502" s="96">
        <f>STOCK[[#This Row],[Entradas]]-STOCK[[#This Row],[Salidas]]</f>
        <v>1</v>
      </c>
      <c r="M1502" s="94">
        <f>STOCK[[#This Row],[Precio Final]]*10%</f>
        <v>2.5</v>
      </c>
      <c r="N1502" s="94">
        <v>0</v>
      </c>
      <c r="O1502" s="94">
        <v>0</v>
      </c>
      <c r="P1502" s="94">
        <v>11.48</v>
      </c>
      <c r="Q1502" s="96">
        <v>0</v>
      </c>
      <c r="R1502" s="94">
        <v>0</v>
      </c>
      <c r="S1502" s="94">
        <v>1.65</v>
      </c>
      <c r="T1502" s="94">
        <f>STOCK[[#This Row],[Costo Unitario (USD)]]+STOCK[[#This Row],[Costo Envío (USD)]]+STOCK[[#This Row],[Comisión 10%]]</f>
        <v>15.63</v>
      </c>
      <c r="U1502" s="76">
        <f>STOCK[[#This Row],[Costo total]]*1.5</f>
        <v>23.445</v>
      </c>
      <c r="V1502" s="94">
        <v>25</v>
      </c>
      <c r="W1502" s="94">
        <f>STOCK[[#This Row],[Precio Final]]-STOCK[[#This Row],[Costo total]]</f>
        <v>9.37</v>
      </c>
      <c r="X1502" s="94">
        <f>STOCK[[#This Row],[Ganancia Unitaria]]*STOCK[[#This Row],[Salidas]]</f>
        <v>0</v>
      </c>
      <c r="Y1502" s="94"/>
      <c r="Z1502" s="94"/>
      <c r="AA1502" s="94">
        <f>STOCK[[#This Row],[Costo total]]*STOCK[[#This Row],[Entradas]]</f>
        <v>15.63</v>
      </c>
      <c r="AB1502" s="94">
        <f>STOCK[[#This Row],[Stock Actual]]*STOCK[[#This Row],[Costo total]]</f>
        <v>15.63</v>
      </c>
      <c r="AC1502" s="94"/>
    </row>
    <row r="1503" s="76" customFormat="1" ht="40" customHeight="1" spans="1:29">
      <c r="A1503" s="76" t="s">
        <v>3002</v>
      </c>
      <c r="B1503" s="95"/>
      <c r="C1503" s="94" t="s">
        <v>30</v>
      </c>
      <c r="D1503" s="94" t="s">
        <v>2626</v>
      </c>
      <c r="E1503" s="94" t="s">
        <v>3001</v>
      </c>
      <c r="F1503" s="94" t="s">
        <v>40</v>
      </c>
      <c r="G1503" s="94"/>
      <c r="H1503" s="94">
        <f>STOCK[[#This Row],[Precio Final]]</f>
        <v>25</v>
      </c>
      <c r="I1503" s="98">
        <f>STOCK[[#This Row],[Precio Venta Ideal (x1.5)]]</f>
        <v>23.445</v>
      </c>
      <c r="J1503" s="96">
        <v>1</v>
      </c>
      <c r="K1503" s="96">
        <f>SUMIFS(VENTAS[Cantidad],VENTAS[Código del producto Vendido],STOCK[[#This Row],[Code]])</f>
        <v>0</v>
      </c>
      <c r="L1503" s="96">
        <f>STOCK[[#This Row],[Entradas]]-STOCK[[#This Row],[Salidas]]</f>
        <v>1</v>
      </c>
      <c r="M1503" s="94">
        <f>STOCK[[#This Row],[Precio Final]]*10%</f>
        <v>2.5</v>
      </c>
      <c r="N1503" s="94">
        <v>0</v>
      </c>
      <c r="O1503" s="94">
        <v>0</v>
      </c>
      <c r="P1503" s="94">
        <v>11.48</v>
      </c>
      <c r="Q1503" s="96">
        <v>0</v>
      </c>
      <c r="R1503" s="94">
        <v>0</v>
      </c>
      <c r="S1503" s="94">
        <v>1.65</v>
      </c>
      <c r="T1503" s="94">
        <f>STOCK[[#This Row],[Costo Unitario (USD)]]+STOCK[[#This Row],[Costo Envío (USD)]]+STOCK[[#This Row],[Comisión 10%]]</f>
        <v>15.63</v>
      </c>
      <c r="U1503" s="76">
        <f>STOCK[[#This Row],[Costo total]]*1.5</f>
        <v>23.445</v>
      </c>
      <c r="V1503" s="94">
        <v>25</v>
      </c>
      <c r="W1503" s="94">
        <f>STOCK[[#This Row],[Precio Final]]-STOCK[[#This Row],[Costo total]]</f>
        <v>9.37</v>
      </c>
      <c r="X1503" s="94">
        <f>STOCK[[#This Row],[Ganancia Unitaria]]*STOCK[[#This Row],[Salidas]]</f>
        <v>0</v>
      </c>
      <c r="Y1503" s="94"/>
      <c r="Z1503" s="94"/>
      <c r="AA1503" s="94">
        <f>STOCK[[#This Row],[Costo total]]*STOCK[[#This Row],[Entradas]]</f>
        <v>15.63</v>
      </c>
      <c r="AB1503" s="94">
        <f>STOCK[[#This Row],[Stock Actual]]*STOCK[[#This Row],[Costo total]]</f>
        <v>15.63</v>
      </c>
      <c r="AC1503" s="94"/>
    </row>
    <row r="1504" s="76" customFormat="1" ht="50" customHeight="1" spans="1:29">
      <c r="A1504" s="76" t="s">
        <v>3003</v>
      </c>
      <c r="B1504" s="95"/>
      <c r="C1504" s="94" t="s">
        <v>30</v>
      </c>
      <c r="D1504" s="94" t="s">
        <v>2626</v>
      </c>
      <c r="E1504" s="94" t="s">
        <v>3004</v>
      </c>
      <c r="F1504" s="94" t="s">
        <v>40</v>
      </c>
      <c r="G1504" s="94"/>
      <c r="H1504" s="94">
        <f>STOCK[[#This Row],[Precio Final]]</f>
        <v>25</v>
      </c>
      <c r="I1504" s="98">
        <f>STOCK[[#This Row],[Precio Venta Ideal (x1.5)]]</f>
        <v>15.66</v>
      </c>
      <c r="J1504" s="96">
        <v>1</v>
      </c>
      <c r="K1504" s="96">
        <f>SUMIFS(VENTAS[Cantidad],VENTAS[Código del producto Vendido],STOCK[[#This Row],[Code]])</f>
        <v>0</v>
      </c>
      <c r="L1504" s="96">
        <f>STOCK[[#This Row],[Entradas]]-STOCK[[#This Row],[Salidas]]</f>
        <v>1</v>
      </c>
      <c r="M1504" s="94">
        <f>STOCK[[#This Row],[Precio Final]]*10%</f>
        <v>2.5</v>
      </c>
      <c r="N1504" s="94">
        <v>0</v>
      </c>
      <c r="O1504" s="94">
        <v>0</v>
      </c>
      <c r="P1504" s="94">
        <v>6.29</v>
      </c>
      <c r="Q1504" s="96">
        <v>0</v>
      </c>
      <c r="R1504" s="94">
        <v>0</v>
      </c>
      <c r="S1504" s="94">
        <v>1.65</v>
      </c>
      <c r="T1504" s="94">
        <f>STOCK[[#This Row],[Costo Unitario (USD)]]+STOCK[[#This Row],[Costo Envío (USD)]]+STOCK[[#This Row],[Comisión 10%]]</f>
        <v>10.44</v>
      </c>
      <c r="U1504" s="76">
        <f>STOCK[[#This Row],[Costo total]]*1.5</f>
        <v>15.66</v>
      </c>
      <c r="V1504" s="94">
        <v>25</v>
      </c>
      <c r="W1504" s="94">
        <f>STOCK[[#This Row],[Precio Final]]-STOCK[[#This Row],[Costo total]]</f>
        <v>14.56</v>
      </c>
      <c r="X1504" s="94">
        <f>STOCK[[#This Row],[Ganancia Unitaria]]*STOCK[[#This Row],[Salidas]]</f>
        <v>0</v>
      </c>
      <c r="Y1504" s="94"/>
      <c r="Z1504" s="94"/>
      <c r="AA1504" s="94">
        <f>STOCK[[#This Row],[Costo total]]*STOCK[[#This Row],[Entradas]]</f>
        <v>10.44</v>
      </c>
      <c r="AB1504" s="94">
        <f>STOCK[[#This Row],[Stock Actual]]*STOCK[[#This Row],[Costo total]]</f>
        <v>10.44</v>
      </c>
      <c r="AC1504" s="94"/>
    </row>
    <row r="1505" s="76" customFormat="1" ht="50" customHeight="1" spans="1:29">
      <c r="A1505" s="76" t="s">
        <v>3005</v>
      </c>
      <c r="B1505" s="95"/>
      <c r="C1505" s="94" t="s">
        <v>30</v>
      </c>
      <c r="D1505" s="94" t="s">
        <v>2131</v>
      </c>
      <c r="E1505" s="94" t="s">
        <v>3006</v>
      </c>
      <c r="F1505" s="94" t="s">
        <v>60</v>
      </c>
      <c r="G1505" s="94"/>
      <c r="H1505" s="94">
        <f>STOCK[[#This Row],[Precio Final]]</f>
        <v>40</v>
      </c>
      <c r="I1505" s="98">
        <f>STOCK[[#This Row],[Precio Venta Ideal (x1.5)]]</f>
        <v>26.205</v>
      </c>
      <c r="J1505" s="96">
        <v>2</v>
      </c>
      <c r="K1505" s="96">
        <f>SUMIFS(VENTAS[Cantidad],VENTAS[Código del producto Vendido],STOCK[[#This Row],[Code]])</f>
        <v>0</v>
      </c>
      <c r="L1505" s="96">
        <f>STOCK[[#This Row],[Entradas]]-STOCK[[#This Row],[Salidas]]</f>
        <v>2</v>
      </c>
      <c r="M1505" s="94">
        <f>STOCK[[#This Row],[Precio Final]]*10%</f>
        <v>4</v>
      </c>
      <c r="N1505" s="94">
        <v>0</v>
      </c>
      <c r="O1505" s="94">
        <v>0</v>
      </c>
      <c r="P1505" s="94">
        <v>11.82</v>
      </c>
      <c r="Q1505" s="96">
        <v>0</v>
      </c>
      <c r="R1505" s="94">
        <v>0</v>
      </c>
      <c r="S1505" s="94">
        <v>1.65</v>
      </c>
      <c r="T1505" s="94">
        <f>STOCK[[#This Row],[Costo Unitario (USD)]]+STOCK[[#This Row],[Costo Envío (USD)]]+STOCK[[#This Row],[Comisión 10%]]</f>
        <v>17.47</v>
      </c>
      <c r="U1505" s="76">
        <f>STOCK[[#This Row],[Costo total]]*1.5</f>
        <v>26.205</v>
      </c>
      <c r="V1505" s="94">
        <v>40</v>
      </c>
      <c r="W1505" s="94">
        <f>STOCK[[#This Row],[Precio Final]]-STOCK[[#This Row],[Costo total]]</f>
        <v>22.53</v>
      </c>
      <c r="X1505" s="94">
        <f>STOCK[[#This Row],[Ganancia Unitaria]]*STOCK[[#This Row],[Salidas]]</f>
        <v>0</v>
      </c>
      <c r="Y1505" s="94"/>
      <c r="Z1505" s="94"/>
      <c r="AA1505" s="94">
        <f>STOCK[[#This Row],[Costo total]]*STOCK[[#This Row],[Entradas]]</f>
        <v>34.94</v>
      </c>
      <c r="AB1505" s="94">
        <f>STOCK[[#This Row],[Stock Actual]]*STOCK[[#This Row],[Costo total]]</f>
        <v>34.94</v>
      </c>
      <c r="AC1505" s="94"/>
    </row>
    <row r="1506" s="76" customFormat="1" ht="50" customHeight="1" spans="1:29">
      <c r="A1506" s="76" t="s">
        <v>3007</v>
      </c>
      <c r="B1506" s="95"/>
      <c r="C1506" s="94" t="s">
        <v>30</v>
      </c>
      <c r="D1506" s="94" t="s">
        <v>2842</v>
      </c>
      <c r="E1506" s="94" t="s">
        <v>3008</v>
      </c>
      <c r="F1506" s="94" t="s">
        <v>60</v>
      </c>
      <c r="G1506" s="94"/>
      <c r="H1506" s="94">
        <f>STOCK[[#This Row],[Precio Final]]</f>
        <v>30</v>
      </c>
      <c r="I1506" s="98">
        <f>STOCK[[#This Row],[Precio Venta Ideal (x1.5)]]</f>
        <v>23.445</v>
      </c>
      <c r="J1506" s="96">
        <v>2</v>
      </c>
      <c r="K1506" s="96">
        <f>SUMIFS(VENTAS[Cantidad],VENTAS[Código del producto Vendido],STOCK[[#This Row],[Code]])</f>
        <v>1</v>
      </c>
      <c r="L1506" s="96">
        <f>STOCK[[#This Row],[Entradas]]-STOCK[[#This Row],[Salidas]]</f>
        <v>1</v>
      </c>
      <c r="M1506" s="94">
        <f>STOCK[[#This Row],[Precio Final]]*10%</f>
        <v>3</v>
      </c>
      <c r="N1506" s="94">
        <v>0</v>
      </c>
      <c r="O1506" s="94">
        <v>0</v>
      </c>
      <c r="P1506" s="94">
        <v>10.98</v>
      </c>
      <c r="Q1506" s="96">
        <v>0</v>
      </c>
      <c r="R1506" s="94">
        <v>0</v>
      </c>
      <c r="S1506" s="94">
        <v>1.65</v>
      </c>
      <c r="T1506" s="94">
        <f>STOCK[[#This Row],[Costo Unitario (USD)]]+STOCK[[#This Row],[Costo Envío (USD)]]+STOCK[[#This Row],[Comisión 10%]]</f>
        <v>15.63</v>
      </c>
      <c r="U1506" s="76">
        <f>STOCK[[#This Row],[Costo total]]*1.5</f>
        <v>23.445</v>
      </c>
      <c r="V1506" s="94">
        <v>30</v>
      </c>
      <c r="W1506" s="94">
        <f>STOCK[[#This Row],[Precio Final]]-STOCK[[#This Row],[Costo total]]</f>
        <v>14.37</v>
      </c>
      <c r="X1506" s="94">
        <f>STOCK[[#This Row],[Ganancia Unitaria]]*STOCK[[#This Row],[Salidas]]</f>
        <v>14.37</v>
      </c>
      <c r="Y1506" s="94"/>
      <c r="Z1506" s="94"/>
      <c r="AA1506" s="94">
        <f>STOCK[[#This Row],[Costo total]]*STOCK[[#This Row],[Entradas]]</f>
        <v>31.26</v>
      </c>
      <c r="AB1506" s="94">
        <f>STOCK[[#This Row],[Stock Actual]]*STOCK[[#This Row],[Costo total]]</f>
        <v>15.63</v>
      </c>
      <c r="AC1506" s="94"/>
    </row>
    <row r="1507" s="76" customFormat="1" ht="50" customHeight="1" spans="1:29">
      <c r="A1507" s="76" t="s">
        <v>3009</v>
      </c>
      <c r="B1507" s="95"/>
      <c r="C1507" s="94" t="s">
        <v>30</v>
      </c>
      <c r="D1507" s="94" t="s">
        <v>2842</v>
      </c>
      <c r="E1507" s="94" t="s">
        <v>3008</v>
      </c>
      <c r="F1507" s="94" t="s">
        <v>47</v>
      </c>
      <c r="G1507" s="94"/>
      <c r="H1507" s="94">
        <f>STOCK[[#This Row],[Precio Final]]</f>
        <v>30</v>
      </c>
      <c r="I1507" s="98">
        <f>STOCK[[#This Row],[Precio Venta Ideal (x1.5)]]</f>
        <v>23.445</v>
      </c>
      <c r="J1507" s="96">
        <v>2</v>
      </c>
      <c r="K1507" s="96">
        <f>SUMIFS(VENTAS[Cantidad],VENTAS[Código del producto Vendido],STOCK[[#This Row],[Code]])</f>
        <v>0</v>
      </c>
      <c r="L1507" s="96">
        <f>STOCK[[#This Row],[Entradas]]-STOCK[[#This Row],[Salidas]]</f>
        <v>2</v>
      </c>
      <c r="M1507" s="94">
        <f>STOCK[[#This Row],[Precio Final]]*10%</f>
        <v>3</v>
      </c>
      <c r="N1507" s="94">
        <v>0</v>
      </c>
      <c r="O1507" s="94">
        <v>0</v>
      </c>
      <c r="P1507" s="94">
        <v>10.98</v>
      </c>
      <c r="Q1507" s="96">
        <v>0</v>
      </c>
      <c r="R1507" s="94">
        <v>0</v>
      </c>
      <c r="S1507" s="94">
        <v>1.65</v>
      </c>
      <c r="T1507" s="94">
        <f>STOCK[[#This Row],[Costo Unitario (USD)]]+STOCK[[#This Row],[Costo Envío (USD)]]+STOCK[[#This Row],[Comisión 10%]]</f>
        <v>15.63</v>
      </c>
      <c r="U1507" s="76">
        <f>STOCK[[#This Row],[Costo total]]*1.5</f>
        <v>23.445</v>
      </c>
      <c r="V1507" s="99">
        <v>30</v>
      </c>
      <c r="W1507" s="94">
        <f>STOCK[[#This Row],[Precio Final]]-STOCK[[#This Row],[Costo total]]</f>
        <v>14.37</v>
      </c>
      <c r="X1507" s="94">
        <f>STOCK[[#This Row],[Ganancia Unitaria]]*STOCK[[#This Row],[Salidas]]</f>
        <v>0</v>
      </c>
      <c r="Y1507" s="94"/>
      <c r="Z1507" s="94"/>
      <c r="AA1507" s="94">
        <f>STOCK[[#This Row],[Costo total]]*STOCK[[#This Row],[Entradas]]</f>
        <v>31.26</v>
      </c>
      <c r="AB1507" s="94">
        <f>STOCK[[#This Row],[Stock Actual]]*STOCK[[#This Row],[Costo total]]</f>
        <v>31.26</v>
      </c>
      <c r="AC1507" s="94"/>
    </row>
    <row r="1508" s="76" customFormat="1" ht="50" customHeight="1" spans="1:29">
      <c r="A1508" s="76" t="s">
        <v>3010</v>
      </c>
      <c r="B1508" s="95"/>
      <c r="C1508" s="94" t="s">
        <v>30</v>
      </c>
      <c r="D1508" s="94" t="s">
        <v>2842</v>
      </c>
      <c r="E1508" s="94" t="s">
        <v>3008</v>
      </c>
      <c r="F1508" s="94" t="s">
        <v>44</v>
      </c>
      <c r="G1508" s="94"/>
      <c r="H1508" s="94">
        <f>STOCK[[#This Row],[Precio Final]]</f>
        <v>30</v>
      </c>
      <c r="I1508" s="98">
        <f>STOCK[[#This Row],[Precio Venta Ideal (x1.5)]]</f>
        <v>23.445</v>
      </c>
      <c r="J1508" s="96">
        <v>2</v>
      </c>
      <c r="K1508" s="96">
        <f>SUMIFS(VENTAS[Cantidad],VENTAS[Código del producto Vendido],STOCK[[#This Row],[Code]])</f>
        <v>1</v>
      </c>
      <c r="L1508" s="96">
        <f>STOCK[[#This Row],[Entradas]]-STOCK[[#This Row],[Salidas]]</f>
        <v>1</v>
      </c>
      <c r="M1508" s="94">
        <f>STOCK[[#This Row],[Precio Final]]*10%</f>
        <v>3</v>
      </c>
      <c r="N1508" s="94">
        <v>0</v>
      </c>
      <c r="O1508" s="94">
        <v>0</v>
      </c>
      <c r="P1508" s="94">
        <v>10.98</v>
      </c>
      <c r="Q1508" s="96">
        <v>0</v>
      </c>
      <c r="R1508" s="94">
        <v>0</v>
      </c>
      <c r="S1508" s="94">
        <v>1.65</v>
      </c>
      <c r="T1508" s="94">
        <f>STOCK[[#This Row],[Costo Unitario (USD)]]+STOCK[[#This Row],[Costo Envío (USD)]]+STOCK[[#This Row],[Comisión 10%]]</f>
        <v>15.63</v>
      </c>
      <c r="U1508" s="76">
        <f>STOCK[[#This Row],[Costo total]]*1.5</f>
        <v>23.445</v>
      </c>
      <c r="V1508" s="94">
        <v>30</v>
      </c>
      <c r="W1508" s="94">
        <f>STOCK[[#This Row],[Precio Final]]-STOCK[[#This Row],[Costo total]]</f>
        <v>14.37</v>
      </c>
      <c r="X1508" s="94">
        <f>STOCK[[#This Row],[Ganancia Unitaria]]*STOCK[[#This Row],[Salidas]]</f>
        <v>14.37</v>
      </c>
      <c r="Y1508" s="94"/>
      <c r="Z1508" s="94"/>
      <c r="AA1508" s="94">
        <f>STOCK[[#This Row],[Costo total]]*STOCK[[#This Row],[Entradas]]</f>
        <v>31.26</v>
      </c>
      <c r="AB1508" s="94">
        <f>STOCK[[#This Row],[Stock Actual]]*STOCK[[#This Row],[Costo total]]</f>
        <v>15.63</v>
      </c>
      <c r="AC1508" s="94"/>
    </row>
    <row r="1509" s="76" customFormat="1" ht="50" customHeight="1" spans="1:29">
      <c r="A1509" s="76" t="s">
        <v>3011</v>
      </c>
      <c r="B1509" s="95"/>
      <c r="C1509" s="94" t="s">
        <v>30</v>
      </c>
      <c r="D1509" s="94" t="s">
        <v>2842</v>
      </c>
      <c r="E1509" s="94" t="s">
        <v>3008</v>
      </c>
      <c r="F1509" s="94" t="s">
        <v>3012</v>
      </c>
      <c r="G1509" s="94"/>
      <c r="H1509" s="94">
        <f>STOCK[[#This Row],[Precio Final]]</f>
        <v>30</v>
      </c>
      <c r="I1509" s="98">
        <f>STOCK[[#This Row],[Precio Venta Ideal (x1.5)]]</f>
        <v>23.445</v>
      </c>
      <c r="J1509" s="96">
        <v>3</v>
      </c>
      <c r="K1509" s="96">
        <f>SUMIFS(VENTAS[Cantidad],VENTAS[Código del producto Vendido],STOCK[[#This Row],[Code]])</f>
        <v>1</v>
      </c>
      <c r="L1509" s="96">
        <f>STOCK[[#This Row],[Entradas]]-STOCK[[#This Row],[Salidas]]</f>
        <v>2</v>
      </c>
      <c r="M1509" s="94">
        <f>STOCK[[#This Row],[Precio Final]]*10%</f>
        <v>3</v>
      </c>
      <c r="N1509" s="94">
        <v>0</v>
      </c>
      <c r="O1509" s="94">
        <v>0</v>
      </c>
      <c r="P1509" s="94">
        <v>10.98</v>
      </c>
      <c r="Q1509" s="96">
        <v>0</v>
      </c>
      <c r="R1509" s="94">
        <v>0</v>
      </c>
      <c r="S1509" s="94">
        <v>1.65</v>
      </c>
      <c r="T1509" s="94">
        <f>STOCK[[#This Row],[Costo Unitario (USD)]]+STOCK[[#This Row],[Costo Envío (USD)]]+STOCK[[#This Row],[Comisión 10%]]</f>
        <v>15.63</v>
      </c>
      <c r="U1509" s="76">
        <f>STOCK[[#This Row],[Costo total]]*1.5</f>
        <v>23.445</v>
      </c>
      <c r="V1509" s="94">
        <v>30</v>
      </c>
      <c r="W1509" s="94">
        <f>STOCK[[#This Row],[Precio Final]]-STOCK[[#This Row],[Costo total]]</f>
        <v>14.37</v>
      </c>
      <c r="X1509" s="94">
        <f>STOCK[[#This Row],[Ganancia Unitaria]]*STOCK[[#This Row],[Salidas]]</f>
        <v>14.37</v>
      </c>
      <c r="Y1509" s="94"/>
      <c r="Z1509" s="94"/>
      <c r="AA1509" s="94">
        <f>STOCK[[#This Row],[Costo total]]*STOCK[[#This Row],[Entradas]]</f>
        <v>46.89</v>
      </c>
      <c r="AB1509" s="94">
        <f>STOCK[[#This Row],[Stock Actual]]*STOCK[[#This Row],[Costo total]]</f>
        <v>31.26</v>
      </c>
      <c r="AC1509" s="94"/>
    </row>
    <row r="1510" s="76" customFormat="1" ht="50" customHeight="1" spans="1:29">
      <c r="A1510" s="76" t="s">
        <v>3013</v>
      </c>
      <c r="B1510" s="95"/>
      <c r="C1510" s="94" t="s">
        <v>30</v>
      </c>
      <c r="D1510" s="94" t="s">
        <v>2876</v>
      </c>
      <c r="E1510" s="94" t="s">
        <v>3014</v>
      </c>
      <c r="F1510" s="94" t="s">
        <v>44</v>
      </c>
      <c r="G1510" s="94"/>
      <c r="H1510" s="94">
        <f>STOCK[[#This Row],[Precio Final]]</f>
        <v>30</v>
      </c>
      <c r="I1510" s="98">
        <f>STOCK[[#This Row],[Precio Venta Ideal (x1.5)]]</f>
        <v>27.015</v>
      </c>
      <c r="J1510" s="96">
        <v>1</v>
      </c>
      <c r="K1510" s="96">
        <f>SUMIFS(VENTAS[Cantidad],VENTAS[Código del producto Vendido],STOCK[[#This Row],[Code]])</f>
        <v>0</v>
      </c>
      <c r="L1510" s="96">
        <f>STOCK[[#This Row],[Entradas]]-STOCK[[#This Row],[Salidas]]</f>
        <v>1</v>
      </c>
      <c r="M1510" s="94">
        <f>STOCK[[#This Row],[Precio Final]]*10%</f>
        <v>3</v>
      </c>
      <c r="N1510" s="94">
        <v>0</v>
      </c>
      <c r="O1510" s="94">
        <v>0</v>
      </c>
      <c r="P1510" s="94">
        <v>13.36</v>
      </c>
      <c r="Q1510" s="96">
        <v>0</v>
      </c>
      <c r="R1510" s="94">
        <v>0</v>
      </c>
      <c r="S1510" s="94">
        <v>1.65</v>
      </c>
      <c r="T1510" s="94">
        <f>STOCK[[#This Row],[Costo Unitario (USD)]]+STOCK[[#This Row],[Costo Envío (USD)]]+STOCK[[#This Row],[Comisión 10%]]</f>
        <v>18.01</v>
      </c>
      <c r="U1510" s="76">
        <f>STOCK[[#This Row],[Costo total]]*1.5</f>
        <v>27.015</v>
      </c>
      <c r="V1510" s="94">
        <v>30</v>
      </c>
      <c r="W1510" s="94">
        <f>STOCK[[#This Row],[Precio Final]]-STOCK[[#This Row],[Costo total]]</f>
        <v>11.99</v>
      </c>
      <c r="X1510" s="94">
        <f>STOCK[[#This Row],[Ganancia Unitaria]]*STOCK[[#This Row],[Salidas]]</f>
        <v>0</v>
      </c>
      <c r="Y1510" s="94"/>
      <c r="Z1510" s="94"/>
      <c r="AA1510" s="94">
        <f>STOCK[[#This Row],[Costo total]]*STOCK[[#This Row],[Entradas]]</f>
        <v>18.01</v>
      </c>
      <c r="AB1510" s="94">
        <f>STOCK[[#This Row],[Stock Actual]]*STOCK[[#This Row],[Costo total]]</f>
        <v>18.01</v>
      </c>
      <c r="AC1510" s="94"/>
    </row>
    <row r="1511" s="76" customFormat="1" ht="50" customHeight="1" spans="1:29">
      <c r="A1511" s="76" t="s">
        <v>3015</v>
      </c>
      <c r="B1511" s="95"/>
      <c r="C1511" s="94" t="s">
        <v>30</v>
      </c>
      <c r="D1511" s="94" t="s">
        <v>1224</v>
      </c>
      <c r="E1511" s="94" t="s">
        <v>3016</v>
      </c>
      <c r="F1511" s="94" t="s">
        <v>516</v>
      </c>
      <c r="G1511" s="94"/>
      <c r="H1511" s="94">
        <f>STOCK[[#This Row],[Precio Final]]</f>
        <v>40</v>
      </c>
      <c r="I1511" s="98">
        <f>STOCK[[#This Row],[Precio Venta Ideal (x1.5)]]</f>
        <v>23.475</v>
      </c>
      <c r="J1511" s="96">
        <v>2</v>
      </c>
      <c r="K1511" s="96">
        <f>SUMIFS(VENTAS[Cantidad],VENTAS[Código del producto Vendido],STOCK[[#This Row],[Code]])</f>
        <v>0</v>
      </c>
      <c r="L1511" s="96">
        <f>STOCK[[#This Row],[Entradas]]-STOCK[[#This Row],[Salidas]]</f>
        <v>2</v>
      </c>
      <c r="M1511" s="94">
        <f>STOCK[[#This Row],[Precio Final]]*10%</f>
        <v>4</v>
      </c>
      <c r="N1511" s="94">
        <v>0</v>
      </c>
      <c r="O1511" s="94">
        <v>0</v>
      </c>
      <c r="P1511" s="94">
        <v>10</v>
      </c>
      <c r="Q1511" s="96">
        <v>0</v>
      </c>
      <c r="R1511" s="94">
        <v>0</v>
      </c>
      <c r="S1511" s="94">
        <v>1.65</v>
      </c>
      <c r="T1511" s="94">
        <f>STOCK[[#This Row],[Costo Unitario (USD)]]+STOCK[[#This Row],[Costo Envío (USD)]]+STOCK[[#This Row],[Comisión 10%]]</f>
        <v>15.65</v>
      </c>
      <c r="U1511" s="76">
        <f>STOCK[[#This Row],[Costo total]]*1.5</f>
        <v>23.475</v>
      </c>
      <c r="V1511" s="94">
        <v>40</v>
      </c>
      <c r="W1511" s="94">
        <f>STOCK[[#This Row],[Precio Final]]-STOCK[[#This Row],[Costo total]]</f>
        <v>24.35</v>
      </c>
      <c r="X1511" s="94">
        <f>STOCK[[#This Row],[Ganancia Unitaria]]*STOCK[[#This Row],[Salidas]]</f>
        <v>0</v>
      </c>
      <c r="Y1511" s="94"/>
      <c r="Z1511" s="94"/>
      <c r="AA1511" s="94">
        <f>STOCK[[#This Row],[Costo total]]*STOCK[[#This Row],[Entradas]]</f>
        <v>31.3</v>
      </c>
      <c r="AB1511" s="94">
        <f>STOCK[[#This Row],[Stock Actual]]*STOCK[[#This Row],[Costo total]]</f>
        <v>31.3</v>
      </c>
      <c r="AC1511" s="94"/>
    </row>
    <row r="1512" s="76" customFormat="1" ht="50" customHeight="1" spans="1:29">
      <c r="A1512" s="76" t="s">
        <v>3017</v>
      </c>
      <c r="B1512" s="95"/>
      <c r="C1512" s="94" t="s">
        <v>30</v>
      </c>
      <c r="D1512" s="94" t="s">
        <v>1224</v>
      </c>
      <c r="E1512" s="94" t="s">
        <v>3016</v>
      </c>
      <c r="F1512" s="94" t="s">
        <v>539</v>
      </c>
      <c r="G1512" s="94"/>
      <c r="H1512" s="94">
        <f>STOCK[[#This Row],[Precio Final]]</f>
        <v>40</v>
      </c>
      <c r="I1512" s="98">
        <f>STOCK[[#This Row],[Precio Venta Ideal (x1.5)]]</f>
        <v>23.475</v>
      </c>
      <c r="J1512" s="96">
        <v>2</v>
      </c>
      <c r="K1512" s="96">
        <f>SUMIFS(VENTAS[Cantidad],VENTAS[Código del producto Vendido],STOCK[[#This Row],[Code]])</f>
        <v>0</v>
      </c>
      <c r="L1512" s="96">
        <f>STOCK[[#This Row],[Entradas]]-STOCK[[#This Row],[Salidas]]</f>
        <v>2</v>
      </c>
      <c r="M1512" s="94">
        <f>STOCK[[#This Row],[Precio Final]]*10%</f>
        <v>4</v>
      </c>
      <c r="N1512" s="94">
        <v>0</v>
      </c>
      <c r="O1512" s="94">
        <v>0</v>
      </c>
      <c r="P1512" s="94">
        <v>10</v>
      </c>
      <c r="Q1512" s="96">
        <v>0</v>
      </c>
      <c r="R1512" s="94">
        <v>0</v>
      </c>
      <c r="S1512" s="94">
        <v>1.65</v>
      </c>
      <c r="T1512" s="94">
        <f>STOCK[[#This Row],[Costo Unitario (USD)]]+STOCK[[#This Row],[Costo Envío (USD)]]+STOCK[[#This Row],[Comisión 10%]]</f>
        <v>15.65</v>
      </c>
      <c r="U1512" s="76">
        <f>STOCK[[#This Row],[Costo total]]*1.5</f>
        <v>23.475</v>
      </c>
      <c r="V1512" s="94">
        <v>40</v>
      </c>
      <c r="W1512" s="94">
        <f>STOCK[[#This Row],[Precio Final]]-STOCK[[#This Row],[Costo total]]</f>
        <v>24.35</v>
      </c>
      <c r="X1512" s="94">
        <f>STOCK[[#This Row],[Ganancia Unitaria]]*STOCK[[#This Row],[Salidas]]</f>
        <v>0</v>
      </c>
      <c r="Y1512" s="94"/>
      <c r="Z1512" s="94"/>
      <c r="AA1512" s="94">
        <f>STOCK[[#This Row],[Costo total]]*STOCK[[#This Row],[Entradas]]</f>
        <v>31.3</v>
      </c>
      <c r="AB1512" s="94">
        <f>STOCK[[#This Row],[Stock Actual]]*STOCK[[#This Row],[Costo total]]</f>
        <v>31.3</v>
      </c>
      <c r="AC1512" s="94"/>
    </row>
    <row r="1513" s="76" customFormat="1" ht="50" customHeight="1" spans="1:29">
      <c r="A1513" s="76" t="s">
        <v>3018</v>
      </c>
      <c r="B1513" s="95"/>
      <c r="C1513" s="94" t="s">
        <v>30</v>
      </c>
      <c r="D1513" s="94" t="s">
        <v>1224</v>
      </c>
      <c r="E1513" s="94" t="s">
        <v>3016</v>
      </c>
      <c r="F1513" s="94" t="s">
        <v>752</v>
      </c>
      <c r="G1513" s="94"/>
      <c r="H1513" s="94">
        <f>STOCK[[#This Row],[Precio Final]]</f>
        <v>40</v>
      </c>
      <c r="I1513" s="98">
        <f>STOCK[[#This Row],[Precio Venta Ideal (x1.5)]]</f>
        <v>23.475</v>
      </c>
      <c r="J1513" s="96">
        <v>2</v>
      </c>
      <c r="K1513" s="96">
        <f>SUMIFS(VENTAS[Cantidad],VENTAS[Código del producto Vendido],STOCK[[#This Row],[Code]])</f>
        <v>0</v>
      </c>
      <c r="L1513" s="96">
        <f>STOCK[[#This Row],[Entradas]]-STOCK[[#This Row],[Salidas]]</f>
        <v>2</v>
      </c>
      <c r="M1513" s="94">
        <f>STOCK[[#This Row],[Precio Final]]*10%</f>
        <v>4</v>
      </c>
      <c r="N1513" s="94">
        <v>0</v>
      </c>
      <c r="O1513" s="94">
        <v>0</v>
      </c>
      <c r="P1513" s="94">
        <v>10</v>
      </c>
      <c r="Q1513" s="96">
        <v>0</v>
      </c>
      <c r="R1513" s="94">
        <v>0</v>
      </c>
      <c r="S1513" s="94">
        <v>1.65</v>
      </c>
      <c r="T1513" s="94">
        <f>STOCK[[#This Row],[Costo Unitario (USD)]]+STOCK[[#This Row],[Costo Envío (USD)]]+STOCK[[#This Row],[Comisión 10%]]</f>
        <v>15.65</v>
      </c>
      <c r="U1513" s="76">
        <f>STOCK[[#This Row],[Costo total]]*1.5</f>
        <v>23.475</v>
      </c>
      <c r="V1513" s="94">
        <v>40</v>
      </c>
      <c r="W1513" s="94">
        <f>STOCK[[#This Row],[Precio Final]]-STOCK[[#This Row],[Costo total]]</f>
        <v>24.35</v>
      </c>
      <c r="X1513" s="94">
        <f>STOCK[[#This Row],[Ganancia Unitaria]]*STOCK[[#This Row],[Salidas]]</f>
        <v>0</v>
      </c>
      <c r="Y1513" s="94"/>
      <c r="Z1513" s="94"/>
      <c r="AA1513" s="94">
        <f>STOCK[[#This Row],[Costo total]]*STOCK[[#This Row],[Entradas]]</f>
        <v>31.3</v>
      </c>
      <c r="AB1513" s="94">
        <f>STOCK[[#This Row],[Stock Actual]]*STOCK[[#This Row],[Costo total]]</f>
        <v>31.3</v>
      </c>
      <c r="AC1513" s="94"/>
    </row>
    <row r="1514" s="76" customFormat="1" ht="50" customHeight="1" spans="1:29">
      <c r="A1514" s="76" t="s">
        <v>3019</v>
      </c>
      <c r="B1514" s="95"/>
      <c r="C1514" s="94" t="s">
        <v>30</v>
      </c>
      <c r="D1514" s="94" t="s">
        <v>2842</v>
      </c>
      <c r="E1514" s="94" t="s">
        <v>3020</v>
      </c>
      <c r="F1514" s="94" t="s">
        <v>38</v>
      </c>
      <c r="G1514" s="94"/>
      <c r="H1514" s="94">
        <f>STOCK[[#This Row],[Precio Final]]</f>
        <v>25</v>
      </c>
      <c r="I1514" s="98">
        <f>STOCK[[#This Row],[Precio Venta Ideal (x1.5)]]</f>
        <v>25.65</v>
      </c>
      <c r="J1514" s="96">
        <v>1</v>
      </c>
      <c r="K1514" s="96">
        <f>SUMIFS(VENTAS[Cantidad],VENTAS[Código del producto Vendido],STOCK[[#This Row],[Code]])</f>
        <v>1</v>
      </c>
      <c r="L1514" s="96">
        <f>STOCK[[#This Row],[Entradas]]-STOCK[[#This Row],[Salidas]]</f>
        <v>0</v>
      </c>
      <c r="M1514" s="94">
        <f>STOCK[[#This Row],[Precio Final]]*10%</f>
        <v>2.5</v>
      </c>
      <c r="N1514" s="94">
        <v>0</v>
      </c>
      <c r="O1514" s="94">
        <v>0</v>
      </c>
      <c r="P1514" s="94">
        <v>13</v>
      </c>
      <c r="Q1514" s="96">
        <v>0</v>
      </c>
      <c r="R1514" s="94">
        <v>0</v>
      </c>
      <c r="S1514" s="94">
        <v>1.6</v>
      </c>
      <c r="T1514" s="94">
        <f>STOCK[[#This Row],[Costo Unitario (USD)]]+STOCK[[#This Row],[Costo Envío (USD)]]+STOCK[[#This Row],[Comisión 10%]]</f>
        <v>17.1</v>
      </c>
      <c r="U1514" s="76">
        <f>STOCK[[#This Row],[Costo total]]*1.5</f>
        <v>25.65</v>
      </c>
      <c r="V1514" s="94">
        <v>25</v>
      </c>
      <c r="W1514" s="94">
        <f>STOCK[[#This Row],[Precio Final]]-STOCK[[#This Row],[Costo total]]</f>
        <v>7.9</v>
      </c>
      <c r="X1514" s="94">
        <f>STOCK[[#This Row],[Ganancia Unitaria]]*STOCK[[#This Row],[Salidas]]</f>
        <v>7.9</v>
      </c>
      <c r="Y1514" s="94"/>
      <c r="Z1514" s="94"/>
      <c r="AA1514" s="94">
        <f>STOCK[[#This Row],[Costo total]]*STOCK[[#This Row],[Entradas]]</f>
        <v>17.1</v>
      </c>
      <c r="AB1514" s="94">
        <f>STOCK[[#This Row],[Stock Actual]]*STOCK[[#This Row],[Costo total]]</f>
        <v>0</v>
      </c>
      <c r="AC1514" s="94"/>
    </row>
    <row r="1515" s="76" customFormat="1" ht="50" customHeight="1" spans="1:29">
      <c r="A1515" s="76" t="s">
        <v>3021</v>
      </c>
      <c r="B1515" s="95"/>
      <c r="C1515" s="94" t="s">
        <v>30</v>
      </c>
      <c r="D1515" s="94" t="s">
        <v>1188</v>
      </c>
      <c r="E1515" s="94" t="s">
        <v>3022</v>
      </c>
      <c r="F1515" s="94" t="s">
        <v>60</v>
      </c>
      <c r="G1515" s="94"/>
      <c r="H1515" s="94">
        <f>STOCK[[#This Row],[Precio Final]]</f>
        <v>18</v>
      </c>
      <c r="I1515" s="98">
        <f>STOCK[[#This Row],[Precio Venta Ideal (x1.5)]]</f>
        <v>16.23</v>
      </c>
      <c r="J1515" s="96">
        <v>2</v>
      </c>
      <c r="K1515" s="96">
        <f>SUMIFS(VENTAS[Cantidad],VENTAS[Código del producto Vendido],STOCK[[#This Row],[Code]])</f>
        <v>0</v>
      </c>
      <c r="L1515" s="96">
        <f>STOCK[[#This Row],[Entradas]]-STOCK[[#This Row],[Salidas]]</f>
        <v>2</v>
      </c>
      <c r="M1515" s="94">
        <f>STOCK[[#This Row],[Precio Final]]*10%</f>
        <v>1.8</v>
      </c>
      <c r="N1515" s="94">
        <v>0</v>
      </c>
      <c r="O1515" s="94">
        <v>0</v>
      </c>
      <c r="P1515" s="94">
        <v>7.42</v>
      </c>
      <c r="Q1515" s="96">
        <v>0</v>
      </c>
      <c r="R1515" s="94">
        <v>0</v>
      </c>
      <c r="S1515" s="94">
        <v>1.6</v>
      </c>
      <c r="T1515" s="94">
        <f>STOCK[[#This Row],[Costo Unitario (USD)]]+STOCK[[#This Row],[Costo Envío (USD)]]+STOCK[[#This Row],[Comisión 10%]]</f>
        <v>10.82</v>
      </c>
      <c r="U1515" s="76">
        <f>STOCK[[#This Row],[Costo total]]*1.5</f>
        <v>16.23</v>
      </c>
      <c r="V1515" s="94">
        <v>18</v>
      </c>
      <c r="W1515" s="94">
        <f>STOCK[[#This Row],[Precio Final]]-STOCK[[#This Row],[Costo total]]</f>
        <v>7.18</v>
      </c>
      <c r="X1515" s="94">
        <f>STOCK[[#This Row],[Ganancia Unitaria]]*STOCK[[#This Row],[Salidas]]</f>
        <v>0</v>
      </c>
      <c r="Y1515" s="94"/>
      <c r="Z1515" s="94"/>
      <c r="AA1515" s="94">
        <f>STOCK[[#This Row],[Costo total]]*STOCK[[#This Row],[Entradas]]</f>
        <v>21.64</v>
      </c>
      <c r="AB1515" s="94">
        <f>STOCK[[#This Row],[Stock Actual]]*STOCK[[#This Row],[Costo total]]</f>
        <v>21.64</v>
      </c>
      <c r="AC1515" s="94"/>
    </row>
    <row r="1516" s="76" customFormat="1" ht="50" customHeight="1" spans="1:29">
      <c r="A1516" s="76" t="s">
        <v>3023</v>
      </c>
      <c r="B1516" s="95"/>
      <c r="C1516" s="94" t="s">
        <v>30</v>
      </c>
      <c r="D1516" s="94" t="s">
        <v>1188</v>
      </c>
      <c r="E1516" s="94" t="s">
        <v>3022</v>
      </c>
      <c r="F1516" s="94" t="s">
        <v>47</v>
      </c>
      <c r="G1516" s="94"/>
      <c r="H1516" s="94">
        <f>STOCK[[#This Row],[Precio Final]]</f>
        <v>18</v>
      </c>
      <c r="I1516" s="98">
        <f>STOCK[[#This Row],[Precio Venta Ideal (x1.5)]]</f>
        <v>16.605</v>
      </c>
      <c r="J1516" s="96">
        <v>2</v>
      </c>
      <c r="K1516" s="96">
        <f>SUMIFS(VENTAS[Cantidad],VENTAS[Código del producto Vendido],STOCK[[#This Row],[Code]])</f>
        <v>0</v>
      </c>
      <c r="L1516" s="96">
        <f>STOCK[[#This Row],[Entradas]]-STOCK[[#This Row],[Salidas]]</f>
        <v>2</v>
      </c>
      <c r="M1516" s="94">
        <f>STOCK[[#This Row],[Precio Final]]*10%</f>
        <v>1.8</v>
      </c>
      <c r="N1516" s="94">
        <v>0</v>
      </c>
      <c r="O1516" s="94">
        <v>0</v>
      </c>
      <c r="P1516" s="94">
        <v>7.67</v>
      </c>
      <c r="Q1516" s="96">
        <v>0</v>
      </c>
      <c r="R1516" s="94">
        <v>0</v>
      </c>
      <c r="S1516" s="94">
        <v>1.6</v>
      </c>
      <c r="T1516" s="94">
        <f>STOCK[[#This Row],[Costo Unitario (USD)]]+STOCK[[#This Row],[Costo Envío (USD)]]+STOCK[[#This Row],[Comisión 10%]]</f>
        <v>11.07</v>
      </c>
      <c r="U1516" s="76">
        <f>STOCK[[#This Row],[Costo total]]*1.5</f>
        <v>16.605</v>
      </c>
      <c r="V1516" s="94">
        <v>18</v>
      </c>
      <c r="W1516" s="94">
        <f>STOCK[[#This Row],[Precio Final]]-STOCK[[#This Row],[Costo total]]</f>
        <v>6.93</v>
      </c>
      <c r="X1516" s="94">
        <f>STOCK[[#This Row],[Ganancia Unitaria]]*STOCK[[#This Row],[Salidas]]</f>
        <v>0</v>
      </c>
      <c r="Y1516" s="94"/>
      <c r="Z1516" s="94"/>
      <c r="AA1516" s="94">
        <f>STOCK[[#This Row],[Costo total]]*STOCK[[#This Row],[Entradas]]</f>
        <v>22.14</v>
      </c>
      <c r="AB1516" s="94">
        <f>STOCK[[#This Row],[Stock Actual]]*STOCK[[#This Row],[Costo total]]</f>
        <v>22.14</v>
      </c>
      <c r="AC1516" s="94"/>
    </row>
    <row r="1517" s="76" customFormat="1" ht="50" customHeight="1" spans="1:29">
      <c r="A1517" s="76" t="s">
        <v>3024</v>
      </c>
      <c r="B1517" s="95"/>
      <c r="C1517" s="94" t="s">
        <v>30</v>
      </c>
      <c r="D1517" s="94" t="s">
        <v>1188</v>
      </c>
      <c r="E1517" s="94" t="s">
        <v>3022</v>
      </c>
      <c r="F1517" s="94" t="s">
        <v>44</v>
      </c>
      <c r="G1517" s="94"/>
      <c r="H1517" s="94">
        <f>STOCK[[#This Row],[Precio Final]]</f>
        <v>18</v>
      </c>
      <c r="I1517" s="98">
        <f>STOCK[[#This Row],[Precio Venta Ideal (x1.5)]]</f>
        <v>17.22</v>
      </c>
      <c r="J1517" s="96">
        <v>2</v>
      </c>
      <c r="K1517" s="96">
        <f>SUMIFS(VENTAS[Cantidad],VENTAS[Código del producto Vendido],STOCK[[#This Row],[Code]])</f>
        <v>0</v>
      </c>
      <c r="L1517" s="96">
        <f>STOCK[[#This Row],[Entradas]]-STOCK[[#This Row],[Salidas]]</f>
        <v>2</v>
      </c>
      <c r="M1517" s="94">
        <f>STOCK[[#This Row],[Precio Final]]*10%</f>
        <v>1.8</v>
      </c>
      <c r="N1517" s="94">
        <v>0</v>
      </c>
      <c r="O1517" s="94">
        <v>0</v>
      </c>
      <c r="P1517" s="94">
        <v>8.08</v>
      </c>
      <c r="Q1517" s="96">
        <v>0</v>
      </c>
      <c r="R1517" s="94">
        <v>0</v>
      </c>
      <c r="S1517" s="94">
        <v>1.6</v>
      </c>
      <c r="T1517" s="94">
        <f>STOCK[[#This Row],[Costo Unitario (USD)]]+STOCK[[#This Row],[Costo Envío (USD)]]+STOCK[[#This Row],[Comisión 10%]]</f>
        <v>11.48</v>
      </c>
      <c r="U1517" s="76">
        <f>STOCK[[#This Row],[Costo total]]*1.5</f>
        <v>17.22</v>
      </c>
      <c r="V1517" s="94">
        <v>18</v>
      </c>
      <c r="W1517" s="94">
        <f>STOCK[[#This Row],[Precio Final]]-STOCK[[#This Row],[Costo total]]</f>
        <v>6.52</v>
      </c>
      <c r="X1517" s="94">
        <f>STOCK[[#This Row],[Ganancia Unitaria]]*STOCK[[#This Row],[Salidas]]</f>
        <v>0</v>
      </c>
      <c r="Y1517" s="94"/>
      <c r="Z1517" s="94"/>
      <c r="AA1517" s="94">
        <f>STOCK[[#This Row],[Costo total]]*STOCK[[#This Row],[Entradas]]</f>
        <v>22.96</v>
      </c>
      <c r="AB1517" s="94">
        <f>STOCK[[#This Row],[Stock Actual]]*STOCK[[#This Row],[Costo total]]</f>
        <v>22.96</v>
      </c>
      <c r="AC1517" s="94"/>
    </row>
    <row r="1518" s="76" customFormat="1" ht="50" customHeight="1" spans="1:29">
      <c r="A1518" s="76" t="s">
        <v>3025</v>
      </c>
      <c r="B1518" s="95"/>
      <c r="C1518" s="94" t="s">
        <v>30</v>
      </c>
      <c r="D1518" s="94" t="s">
        <v>1188</v>
      </c>
      <c r="E1518" s="94" t="s">
        <v>3026</v>
      </c>
      <c r="F1518" s="94" t="s">
        <v>60</v>
      </c>
      <c r="G1518" s="94"/>
      <c r="H1518" s="94">
        <f>STOCK[[#This Row],[Precio Final]]</f>
        <v>18</v>
      </c>
      <c r="I1518" s="98">
        <f>STOCK[[#This Row],[Precio Venta Ideal (x1.5)]]</f>
        <v>16.71</v>
      </c>
      <c r="J1518" s="96">
        <v>1</v>
      </c>
      <c r="K1518" s="96">
        <f>SUMIFS(VENTAS[Cantidad],VENTAS[Código del producto Vendido],STOCK[[#This Row],[Code]])</f>
        <v>0</v>
      </c>
      <c r="L1518" s="96">
        <f>STOCK[[#This Row],[Entradas]]-STOCK[[#This Row],[Salidas]]</f>
        <v>1</v>
      </c>
      <c r="M1518" s="94">
        <f>STOCK[[#This Row],[Precio Final]]*10%</f>
        <v>1.8</v>
      </c>
      <c r="N1518" s="94">
        <v>0</v>
      </c>
      <c r="O1518" s="94">
        <v>0</v>
      </c>
      <c r="P1518" s="94">
        <v>7.74</v>
      </c>
      <c r="Q1518" s="96">
        <v>0</v>
      </c>
      <c r="R1518" s="94">
        <v>0</v>
      </c>
      <c r="S1518" s="94">
        <v>1.6</v>
      </c>
      <c r="T1518" s="94">
        <f>STOCK[[#This Row],[Costo Unitario (USD)]]+STOCK[[#This Row],[Costo Envío (USD)]]+STOCK[[#This Row],[Comisión 10%]]</f>
        <v>11.14</v>
      </c>
      <c r="U1518" s="76">
        <f>STOCK[[#This Row],[Costo total]]*1.5</f>
        <v>16.71</v>
      </c>
      <c r="V1518" s="94">
        <v>18</v>
      </c>
      <c r="W1518" s="94">
        <f>STOCK[[#This Row],[Precio Final]]-STOCK[[#This Row],[Costo total]]</f>
        <v>6.86</v>
      </c>
      <c r="X1518" s="94">
        <f>STOCK[[#This Row],[Ganancia Unitaria]]*STOCK[[#This Row],[Salidas]]</f>
        <v>0</v>
      </c>
      <c r="Y1518" s="94"/>
      <c r="Z1518" s="94"/>
      <c r="AA1518" s="94">
        <f>STOCK[[#This Row],[Costo total]]*STOCK[[#This Row],[Entradas]]</f>
        <v>11.14</v>
      </c>
      <c r="AB1518" s="94">
        <f>STOCK[[#This Row],[Stock Actual]]*STOCK[[#This Row],[Costo total]]</f>
        <v>11.14</v>
      </c>
      <c r="AC1518" s="94"/>
    </row>
    <row r="1519" s="76" customFormat="1" ht="50" customHeight="1" spans="1:29">
      <c r="A1519" s="76" t="s">
        <v>3027</v>
      </c>
      <c r="B1519" s="95"/>
      <c r="C1519" s="94" t="s">
        <v>30</v>
      </c>
      <c r="D1519" s="94" t="s">
        <v>1188</v>
      </c>
      <c r="E1519" s="94" t="s">
        <v>3026</v>
      </c>
      <c r="F1519" s="94" t="s">
        <v>47</v>
      </c>
      <c r="G1519" s="94"/>
      <c r="H1519" s="94">
        <f>STOCK[[#This Row],[Precio Final]]</f>
        <v>18</v>
      </c>
      <c r="I1519" s="98">
        <f>STOCK[[#This Row],[Precio Venta Ideal (x1.5)]]</f>
        <v>16.71</v>
      </c>
      <c r="J1519" s="96">
        <v>1</v>
      </c>
      <c r="K1519" s="96">
        <f>SUMIFS(VENTAS[Cantidad],VENTAS[Código del producto Vendido],STOCK[[#This Row],[Code]])</f>
        <v>0</v>
      </c>
      <c r="L1519" s="96">
        <f>STOCK[[#This Row],[Entradas]]-STOCK[[#This Row],[Salidas]]</f>
        <v>1</v>
      </c>
      <c r="M1519" s="94">
        <f>STOCK[[#This Row],[Precio Final]]*10%</f>
        <v>1.8</v>
      </c>
      <c r="N1519" s="94">
        <v>0</v>
      </c>
      <c r="O1519" s="94">
        <v>0</v>
      </c>
      <c r="P1519" s="94">
        <v>7.74</v>
      </c>
      <c r="Q1519" s="96">
        <v>0</v>
      </c>
      <c r="R1519" s="94">
        <v>0</v>
      </c>
      <c r="S1519" s="94">
        <v>1.6</v>
      </c>
      <c r="T1519" s="94">
        <f>STOCK[[#This Row],[Costo Unitario (USD)]]+STOCK[[#This Row],[Costo Envío (USD)]]+STOCK[[#This Row],[Comisión 10%]]</f>
        <v>11.14</v>
      </c>
      <c r="U1519" s="76">
        <f>STOCK[[#This Row],[Costo total]]*1.5</f>
        <v>16.71</v>
      </c>
      <c r="V1519" s="94">
        <v>18</v>
      </c>
      <c r="W1519" s="94">
        <f>STOCK[[#This Row],[Precio Final]]-STOCK[[#This Row],[Costo total]]</f>
        <v>6.86</v>
      </c>
      <c r="X1519" s="94">
        <f>STOCK[[#This Row],[Ganancia Unitaria]]*STOCK[[#This Row],[Salidas]]</f>
        <v>0</v>
      </c>
      <c r="Y1519" s="94"/>
      <c r="Z1519" s="94"/>
      <c r="AA1519" s="94">
        <f>STOCK[[#This Row],[Costo total]]*STOCK[[#This Row],[Entradas]]</f>
        <v>11.14</v>
      </c>
      <c r="AB1519" s="94">
        <f>STOCK[[#This Row],[Stock Actual]]*STOCK[[#This Row],[Costo total]]</f>
        <v>11.14</v>
      </c>
      <c r="AC1519" s="94"/>
    </row>
    <row r="1520" s="76" customFormat="1" ht="50" customHeight="1" spans="1:29">
      <c r="A1520" s="76" t="s">
        <v>3028</v>
      </c>
      <c r="B1520" s="95"/>
      <c r="C1520" s="94" t="s">
        <v>30</v>
      </c>
      <c r="D1520" s="94" t="s">
        <v>1188</v>
      </c>
      <c r="E1520" s="94" t="s">
        <v>3026</v>
      </c>
      <c r="F1520" s="94" t="s">
        <v>44</v>
      </c>
      <c r="G1520" s="94"/>
      <c r="H1520" s="94">
        <f>STOCK[[#This Row],[Precio Final]]</f>
        <v>18</v>
      </c>
      <c r="I1520" s="98">
        <f>STOCK[[#This Row],[Precio Venta Ideal (x1.5)]]</f>
        <v>16.71</v>
      </c>
      <c r="J1520" s="96">
        <v>1</v>
      </c>
      <c r="K1520" s="96">
        <f>SUMIFS(VENTAS[Cantidad],VENTAS[Código del producto Vendido],STOCK[[#This Row],[Code]])</f>
        <v>0</v>
      </c>
      <c r="L1520" s="96">
        <f>STOCK[[#This Row],[Entradas]]-STOCK[[#This Row],[Salidas]]</f>
        <v>1</v>
      </c>
      <c r="M1520" s="94">
        <f>STOCK[[#This Row],[Precio Final]]*10%</f>
        <v>1.8</v>
      </c>
      <c r="N1520" s="94">
        <v>0</v>
      </c>
      <c r="O1520" s="94">
        <v>0</v>
      </c>
      <c r="P1520" s="94">
        <v>7.74</v>
      </c>
      <c r="Q1520" s="96">
        <v>0</v>
      </c>
      <c r="R1520" s="94">
        <v>0</v>
      </c>
      <c r="S1520" s="94">
        <v>1.6</v>
      </c>
      <c r="T1520" s="94">
        <f>STOCK[[#This Row],[Costo Unitario (USD)]]+STOCK[[#This Row],[Costo Envío (USD)]]+STOCK[[#This Row],[Comisión 10%]]</f>
        <v>11.14</v>
      </c>
      <c r="U1520" s="76">
        <f>STOCK[[#This Row],[Costo total]]*1.5</f>
        <v>16.71</v>
      </c>
      <c r="V1520" s="94">
        <v>18</v>
      </c>
      <c r="W1520" s="94">
        <f>STOCK[[#This Row],[Precio Final]]-STOCK[[#This Row],[Costo total]]</f>
        <v>6.86</v>
      </c>
      <c r="X1520" s="94">
        <f>STOCK[[#This Row],[Ganancia Unitaria]]*STOCK[[#This Row],[Salidas]]</f>
        <v>0</v>
      </c>
      <c r="Y1520" s="94"/>
      <c r="Z1520" s="94"/>
      <c r="AA1520" s="94">
        <f>STOCK[[#This Row],[Costo total]]*STOCK[[#This Row],[Entradas]]</f>
        <v>11.14</v>
      </c>
      <c r="AB1520" s="94">
        <f>STOCK[[#This Row],[Stock Actual]]*STOCK[[#This Row],[Costo total]]</f>
        <v>11.14</v>
      </c>
      <c r="AC1520" s="94"/>
    </row>
    <row r="1521" s="76" customFormat="1" ht="50" customHeight="1" spans="1:29">
      <c r="A1521" s="76" t="s">
        <v>3029</v>
      </c>
      <c r="B1521" s="95"/>
      <c r="C1521" s="94" t="s">
        <v>30</v>
      </c>
      <c r="D1521" s="94" t="s">
        <v>1188</v>
      </c>
      <c r="E1521" s="94" t="s">
        <v>3030</v>
      </c>
      <c r="F1521" s="94" t="s">
        <v>60</v>
      </c>
      <c r="G1521" s="94"/>
      <c r="H1521" s="94">
        <f>STOCK[[#This Row],[Precio Final]]</f>
        <v>18</v>
      </c>
      <c r="I1521" s="98">
        <f>STOCK[[#This Row],[Precio Venta Ideal (x1.5)]]</f>
        <v>17.235</v>
      </c>
      <c r="J1521" s="96">
        <v>2</v>
      </c>
      <c r="K1521" s="96">
        <f>SUMIFS(VENTAS[Cantidad],VENTAS[Código del producto Vendido],STOCK[[#This Row],[Code]])</f>
        <v>0</v>
      </c>
      <c r="L1521" s="96">
        <f>STOCK[[#This Row],[Entradas]]-STOCK[[#This Row],[Salidas]]</f>
        <v>2</v>
      </c>
      <c r="M1521" s="94">
        <f>STOCK[[#This Row],[Precio Final]]*10%</f>
        <v>1.8</v>
      </c>
      <c r="N1521" s="94">
        <v>0</v>
      </c>
      <c r="O1521" s="94">
        <v>0</v>
      </c>
      <c r="P1521" s="94">
        <v>8.09</v>
      </c>
      <c r="Q1521" s="96">
        <v>0</v>
      </c>
      <c r="R1521" s="94">
        <v>0</v>
      </c>
      <c r="S1521" s="94">
        <v>1.6</v>
      </c>
      <c r="T1521" s="94">
        <f>STOCK[[#This Row],[Costo Unitario (USD)]]+STOCK[[#This Row],[Costo Envío (USD)]]+STOCK[[#This Row],[Comisión 10%]]</f>
        <v>11.49</v>
      </c>
      <c r="U1521" s="76">
        <f>STOCK[[#This Row],[Costo total]]*1.5</f>
        <v>17.235</v>
      </c>
      <c r="V1521" s="94">
        <v>18</v>
      </c>
      <c r="W1521" s="94">
        <f>STOCK[[#This Row],[Precio Final]]-STOCK[[#This Row],[Costo total]]</f>
        <v>6.51</v>
      </c>
      <c r="X1521" s="94">
        <f>STOCK[[#This Row],[Ganancia Unitaria]]*STOCK[[#This Row],[Salidas]]</f>
        <v>0</v>
      </c>
      <c r="Y1521" s="94"/>
      <c r="Z1521" s="94"/>
      <c r="AA1521" s="94">
        <f>STOCK[[#This Row],[Costo total]]*STOCK[[#This Row],[Entradas]]</f>
        <v>22.98</v>
      </c>
      <c r="AB1521" s="94">
        <f>STOCK[[#This Row],[Stock Actual]]*STOCK[[#This Row],[Costo total]]</f>
        <v>22.98</v>
      </c>
      <c r="AC1521" s="94"/>
    </row>
    <row r="1522" s="76" customFormat="1" ht="50" customHeight="1" spans="1:29">
      <c r="A1522" s="76" t="s">
        <v>3031</v>
      </c>
      <c r="B1522" s="95"/>
      <c r="C1522" s="94" t="s">
        <v>30</v>
      </c>
      <c r="D1522" s="94" t="s">
        <v>1188</v>
      </c>
      <c r="E1522" s="94" t="s">
        <v>3030</v>
      </c>
      <c r="F1522" s="94" t="s">
        <v>47</v>
      </c>
      <c r="G1522" s="94"/>
      <c r="H1522" s="94">
        <f>STOCK[[#This Row],[Precio Final]]</f>
        <v>18</v>
      </c>
      <c r="I1522" s="98">
        <f>STOCK[[#This Row],[Precio Venta Ideal (x1.5)]]</f>
        <v>17.235</v>
      </c>
      <c r="J1522" s="96">
        <v>2</v>
      </c>
      <c r="K1522" s="96">
        <f>SUMIFS(VENTAS[Cantidad],VENTAS[Código del producto Vendido],STOCK[[#This Row],[Code]])</f>
        <v>0</v>
      </c>
      <c r="L1522" s="96">
        <f>STOCK[[#This Row],[Entradas]]-STOCK[[#This Row],[Salidas]]</f>
        <v>2</v>
      </c>
      <c r="M1522" s="94">
        <f>STOCK[[#This Row],[Precio Final]]*10%</f>
        <v>1.8</v>
      </c>
      <c r="N1522" s="94">
        <v>0</v>
      </c>
      <c r="O1522" s="94">
        <v>0</v>
      </c>
      <c r="P1522" s="94">
        <v>8.09</v>
      </c>
      <c r="Q1522" s="96">
        <v>0</v>
      </c>
      <c r="R1522" s="94">
        <v>0</v>
      </c>
      <c r="S1522" s="94">
        <v>1.6</v>
      </c>
      <c r="T1522" s="94">
        <f>STOCK[[#This Row],[Costo Unitario (USD)]]+STOCK[[#This Row],[Costo Envío (USD)]]+STOCK[[#This Row],[Comisión 10%]]</f>
        <v>11.49</v>
      </c>
      <c r="U1522" s="76">
        <f>STOCK[[#This Row],[Costo total]]*1.5</f>
        <v>17.235</v>
      </c>
      <c r="V1522" s="94">
        <v>18</v>
      </c>
      <c r="W1522" s="94">
        <f>STOCK[[#This Row],[Precio Final]]-STOCK[[#This Row],[Costo total]]</f>
        <v>6.51</v>
      </c>
      <c r="X1522" s="94">
        <f>STOCK[[#This Row],[Ganancia Unitaria]]*STOCK[[#This Row],[Salidas]]</f>
        <v>0</v>
      </c>
      <c r="Y1522" s="94"/>
      <c r="Z1522" s="94"/>
      <c r="AA1522" s="94">
        <f>STOCK[[#This Row],[Costo total]]*STOCK[[#This Row],[Entradas]]</f>
        <v>22.98</v>
      </c>
      <c r="AB1522" s="94">
        <f>STOCK[[#This Row],[Stock Actual]]*STOCK[[#This Row],[Costo total]]</f>
        <v>22.98</v>
      </c>
      <c r="AC1522" s="94"/>
    </row>
    <row r="1523" s="76" customFormat="1" ht="50" customHeight="1" spans="1:29">
      <c r="A1523" s="76" t="s">
        <v>3032</v>
      </c>
      <c r="B1523" s="95"/>
      <c r="C1523" s="94" t="s">
        <v>30</v>
      </c>
      <c r="D1523" s="94" t="s">
        <v>1188</v>
      </c>
      <c r="E1523" s="94" t="s">
        <v>3030</v>
      </c>
      <c r="F1523" s="94" t="s">
        <v>44</v>
      </c>
      <c r="G1523" s="94"/>
      <c r="H1523" s="94">
        <f>STOCK[[#This Row],[Precio Final]]</f>
        <v>18</v>
      </c>
      <c r="I1523" s="98">
        <f>STOCK[[#This Row],[Precio Venta Ideal (x1.5)]]</f>
        <v>17.235</v>
      </c>
      <c r="J1523" s="96">
        <v>2</v>
      </c>
      <c r="K1523" s="96">
        <f>SUMIFS(VENTAS[Cantidad],VENTAS[Código del producto Vendido],STOCK[[#This Row],[Code]])</f>
        <v>0</v>
      </c>
      <c r="L1523" s="96">
        <f>STOCK[[#This Row],[Entradas]]-STOCK[[#This Row],[Salidas]]</f>
        <v>2</v>
      </c>
      <c r="M1523" s="94">
        <f>STOCK[[#This Row],[Precio Final]]*10%</f>
        <v>1.8</v>
      </c>
      <c r="N1523" s="94">
        <v>0</v>
      </c>
      <c r="O1523" s="94">
        <v>0</v>
      </c>
      <c r="P1523" s="94">
        <v>8.09</v>
      </c>
      <c r="Q1523" s="96">
        <v>0</v>
      </c>
      <c r="R1523" s="94">
        <v>0</v>
      </c>
      <c r="S1523" s="94">
        <v>1.6</v>
      </c>
      <c r="T1523" s="94">
        <f>STOCK[[#This Row],[Costo Unitario (USD)]]+STOCK[[#This Row],[Costo Envío (USD)]]+STOCK[[#This Row],[Comisión 10%]]</f>
        <v>11.49</v>
      </c>
      <c r="U1523" s="76">
        <f>STOCK[[#This Row],[Costo total]]*1.5</f>
        <v>17.235</v>
      </c>
      <c r="V1523" s="94">
        <v>18</v>
      </c>
      <c r="W1523" s="94">
        <f>STOCK[[#This Row],[Precio Final]]-STOCK[[#This Row],[Costo total]]</f>
        <v>6.51</v>
      </c>
      <c r="X1523" s="94">
        <f>STOCK[[#This Row],[Ganancia Unitaria]]*STOCK[[#This Row],[Salidas]]</f>
        <v>0</v>
      </c>
      <c r="Y1523" s="94"/>
      <c r="Z1523" s="94"/>
      <c r="AA1523" s="94">
        <f>STOCK[[#This Row],[Costo total]]*STOCK[[#This Row],[Entradas]]</f>
        <v>22.98</v>
      </c>
      <c r="AB1523" s="94">
        <f>STOCK[[#This Row],[Stock Actual]]*STOCK[[#This Row],[Costo total]]</f>
        <v>22.98</v>
      </c>
      <c r="AC1523" s="94"/>
    </row>
    <row r="1524" s="76" customFormat="1" ht="50" customHeight="1" spans="1:29">
      <c r="A1524" s="76" t="s">
        <v>3033</v>
      </c>
      <c r="B1524" s="95"/>
      <c r="C1524" s="94" t="s">
        <v>30</v>
      </c>
      <c r="D1524" s="94" t="s">
        <v>1188</v>
      </c>
      <c r="E1524" s="94" t="s">
        <v>3034</v>
      </c>
      <c r="F1524" s="94" t="s">
        <v>60</v>
      </c>
      <c r="G1524" s="94"/>
      <c r="H1524" s="94">
        <f>STOCK[[#This Row],[Precio Final]]</f>
        <v>18</v>
      </c>
      <c r="I1524" s="98">
        <f>STOCK[[#This Row],[Precio Venta Ideal (x1.5)]]</f>
        <v>17.22</v>
      </c>
      <c r="J1524" s="96">
        <v>2</v>
      </c>
      <c r="K1524" s="96">
        <f>SUMIFS(VENTAS[Cantidad],VENTAS[Código del producto Vendido],STOCK[[#This Row],[Code]])</f>
        <v>0</v>
      </c>
      <c r="L1524" s="96">
        <f>STOCK[[#This Row],[Entradas]]-STOCK[[#This Row],[Salidas]]</f>
        <v>2</v>
      </c>
      <c r="M1524" s="94">
        <f>STOCK[[#This Row],[Precio Final]]*10%</f>
        <v>1.8</v>
      </c>
      <c r="N1524" s="94">
        <v>0</v>
      </c>
      <c r="O1524" s="94">
        <v>0</v>
      </c>
      <c r="P1524" s="94">
        <v>8.08</v>
      </c>
      <c r="Q1524" s="96">
        <v>0</v>
      </c>
      <c r="R1524" s="94">
        <v>0</v>
      </c>
      <c r="S1524" s="94">
        <v>1.6</v>
      </c>
      <c r="T1524" s="94">
        <f>STOCK[[#This Row],[Costo Unitario (USD)]]+STOCK[[#This Row],[Costo Envío (USD)]]+STOCK[[#This Row],[Comisión 10%]]</f>
        <v>11.48</v>
      </c>
      <c r="U1524" s="76">
        <f>STOCK[[#This Row],[Costo total]]*1.5</f>
        <v>17.22</v>
      </c>
      <c r="V1524" s="94">
        <v>18</v>
      </c>
      <c r="W1524" s="94">
        <f>STOCK[[#This Row],[Precio Final]]-STOCK[[#This Row],[Costo total]]</f>
        <v>6.52</v>
      </c>
      <c r="X1524" s="94">
        <f>STOCK[[#This Row],[Ganancia Unitaria]]*STOCK[[#This Row],[Salidas]]</f>
        <v>0</v>
      </c>
      <c r="Y1524" s="94"/>
      <c r="Z1524" s="94"/>
      <c r="AA1524" s="94">
        <f>STOCK[[#This Row],[Costo total]]*STOCK[[#This Row],[Entradas]]</f>
        <v>22.96</v>
      </c>
      <c r="AB1524" s="94">
        <f>STOCK[[#This Row],[Stock Actual]]*STOCK[[#This Row],[Costo total]]</f>
        <v>22.96</v>
      </c>
      <c r="AC1524" s="94"/>
    </row>
    <row r="1525" s="76" customFormat="1" ht="50" customHeight="1" spans="1:29">
      <c r="A1525" s="76" t="s">
        <v>3035</v>
      </c>
      <c r="B1525" s="95"/>
      <c r="C1525" s="94" t="s">
        <v>30</v>
      </c>
      <c r="D1525" s="94" t="s">
        <v>1188</v>
      </c>
      <c r="E1525" s="94" t="s">
        <v>3034</v>
      </c>
      <c r="F1525" s="94" t="s">
        <v>47</v>
      </c>
      <c r="G1525" s="94"/>
      <c r="H1525" s="94">
        <f>STOCK[[#This Row],[Precio Final]]</f>
        <v>18</v>
      </c>
      <c r="I1525" s="98">
        <f>STOCK[[#This Row],[Precio Venta Ideal (x1.5)]]</f>
        <v>17.22</v>
      </c>
      <c r="J1525" s="96">
        <v>2</v>
      </c>
      <c r="K1525" s="96">
        <f>SUMIFS(VENTAS[Cantidad],VENTAS[Código del producto Vendido],STOCK[[#This Row],[Code]])</f>
        <v>0</v>
      </c>
      <c r="L1525" s="96">
        <f>STOCK[[#This Row],[Entradas]]-STOCK[[#This Row],[Salidas]]</f>
        <v>2</v>
      </c>
      <c r="M1525" s="94">
        <f>STOCK[[#This Row],[Precio Final]]*10%</f>
        <v>1.8</v>
      </c>
      <c r="N1525" s="94">
        <v>0</v>
      </c>
      <c r="O1525" s="94">
        <v>0</v>
      </c>
      <c r="P1525" s="94">
        <v>8.08</v>
      </c>
      <c r="Q1525" s="96">
        <v>0</v>
      </c>
      <c r="R1525" s="94">
        <v>0</v>
      </c>
      <c r="S1525" s="94">
        <v>1.6</v>
      </c>
      <c r="T1525" s="94">
        <f>STOCK[[#This Row],[Costo Unitario (USD)]]+STOCK[[#This Row],[Costo Envío (USD)]]+STOCK[[#This Row],[Comisión 10%]]</f>
        <v>11.48</v>
      </c>
      <c r="U1525" s="76">
        <f>STOCK[[#This Row],[Costo total]]*1.5</f>
        <v>17.22</v>
      </c>
      <c r="V1525" s="94">
        <v>18</v>
      </c>
      <c r="W1525" s="94">
        <f>STOCK[[#This Row],[Precio Final]]-STOCK[[#This Row],[Costo total]]</f>
        <v>6.52</v>
      </c>
      <c r="X1525" s="94">
        <f>STOCK[[#This Row],[Ganancia Unitaria]]*STOCK[[#This Row],[Salidas]]</f>
        <v>0</v>
      </c>
      <c r="Y1525" s="94"/>
      <c r="Z1525" s="94"/>
      <c r="AA1525" s="94">
        <f>STOCK[[#This Row],[Costo total]]*STOCK[[#This Row],[Entradas]]</f>
        <v>22.96</v>
      </c>
      <c r="AB1525" s="94">
        <f>STOCK[[#This Row],[Stock Actual]]*STOCK[[#This Row],[Costo total]]</f>
        <v>22.96</v>
      </c>
      <c r="AC1525" s="94"/>
    </row>
    <row r="1526" s="76" customFormat="1" ht="50" customHeight="1" spans="1:29">
      <c r="A1526" s="76" t="s">
        <v>3036</v>
      </c>
      <c r="B1526" s="95"/>
      <c r="C1526" s="94" t="s">
        <v>30</v>
      </c>
      <c r="D1526" s="94" t="s">
        <v>1188</v>
      </c>
      <c r="E1526" s="94" t="s">
        <v>3034</v>
      </c>
      <c r="F1526" s="94" t="s">
        <v>44</v>
      </c>
      <c r="G1526" s="94"/>
      <c r="H1526" s="94">
        <f>STOCK[[#This Row],[Precio Final]]</f>
        <v>18</v>
      </c>
      <c r="I1526" s="98">
        <f>STOCK[[#This Row],[Precio Venta Ideal (x1.5)]]</f>
        <v>17.22</v>
      </c>
      <c r="J1526" s="96">
        <v>2</v>
      </c>
      <c r="K1526" s="96">
        <f>SUMIFS(VENTAS[Cantidad],VENTAS[Código del producto Vendido],STOCK[[#This Row],[Code]])</f>
        <v>0</v>
      </c>
      <c r="L1526" s="96">
        <f>STOCK[[#This Row],[Entradas]]-STOCK[[#This Row],[Salidas]]</f>
        <v>2</v>
      </c>
      <c r="M1526" s="94">
        <f>STOCK[[#This Row],[Precio Final]]*10%</f>
        <v>1.8</v>
      </c>
      <c r="N1526" s="94">
        <v>0</v>
      </c>
      <c r="O1526" s="94">
        <v>0</v>
      </c>
      <c r="P1526" s="94">
        <v>8.08</v>
      </c>
      <c r="Q1526" s="96">
        <v>0</v>
      </c>
      <c r="R1526" s="94">
        <v>0</v>
      </c>
      <c r="S1526" s="94">
        <v>1.6</v>
      </c>
      <c r="T1526" s="94">
        <f>STOCK[[#This Row],[Costo Unitario (USD)]]+STOCK[[#This Row],[Costo Envío (USD)]]+STOCK[[#This Row],[Comisión 10%]]</f>
        <v>11.48</v>
      </c>
      <c r="U1526" s="76">
        <f>STOCK[[#This Row],[Costo total]]*1.5</f>
        <v>17.22</v>
      </c>
      <c r="V1526" s="94">
        <v>18</v>
      </c>
      <c r="W1526" s="94">
        <f>STOCK[[#This Row],[Precio Final]]-STOCK[[#This Row],[Costo total]]</f>
        <v>6.52</v>
      </c>
      <c r="X1526" s="94">
        <f>STOCK[[#This Row],[Ganancia Unitaria]]*STOCK[[#This Row],[Salidas]]</f>
        <v>0</v>
      </c>
      <c r="Y1526" s="94"/>
      <c r="Z1526" s="94"/>
      <c r="AA1526" s="94">
        <f>STOCK[[#This Row],[Costo total]]*STOCK[[#This Row],[Entradas]]</f>
        <v>22.96</v>
      </c>
      <c r="AB1526" s="94">
        <f>STOCK[[#This Row],[Stock Actual]]*STOCK[[#This Row],[Costo total]]</f>
        <v>22.96</v>
      </c>
      <c r="AC1526" s="94"/>
    </row>
    <row r="1527" s="76" customFormat="1" ht="50" customHeight="1" spans="1:29">
      <c r="A1527" s="76" t="s">
        <v>3037</v>
      </c>
      <c r="B1527" s="95"/>
      <c r="C1527" s="94" t="s">
        <v>30</v>
      </c>
      <c r="D1527" s="94" t="s">
        <v>2131</v>
      </c>
      <c r="E1527" s="94" t="s">
        <v>3038</v>
      </c>
      <c r="F1527" s="94" t="s">
        <v>60</v>
      </c>
      <c r="G1527" s="94"/>
      <c r="H1527" s="94">
        <f>STOCK[[#This Row],[Precio Final]]</f>
        <v>30</v>
      </c>
      <c r="I1527" s="98">
        <f>STOCK[[#This Row],[Precio Venta Ideal (x1.5)]]</f>
        <v>21.165</v>
      </c>
      <c r="J1527" s="96">
        <v>1</v>
      </c>
      <c r="K1527" s="96">
        <f>SUMIFS(VENTAS[Cantidad],VENTAS[Código del producto Vendido],STOCK[[#This Row],[Code]])</f>
        <v>0</v>
      </c>
      <c r="L1527" s="96">
        <f>STOCK[[#This Row],[Entradas]]-STOCK[[#This Row],[Salidas]]</f>
        <v>1</v>
      </c>
      <c r="M1527" s="94">
        <f>STOCK[[#This Row],[Precio Final]]*10%</f>
        <v>3</v>
      </c>
      <c r="N1527" s="94">
        <v>0</v>
      </c>
      <c r="O1527" s="94">
        <v>0</v>
      </c>
      <c r="P1527" s="94">
        <v>9.51</v>
      </c>
      <c r="Q1527" s="96">
        <v>0</v>
      </c>
      <c r="R1527" s="94">
        <v>0</v>
      </c>
      <c r="S1527" s="94">
        <v>1.6</v>
      </c>
      <c r="T1527" s="94">
        <f>STOCK[[#This Row],[Costo Unitario (USD)]]+STOCK[[#This Row],[Costo Envío (USD)]]+STOCK[[#This Row],[Comisión 10%]]</f>
        <v>14.11</v>
      </c>
      <c r="U1527" s="76">
        <f>STOCK[[#This Row],[Costo total]]*1.5</f>
        <v>21.165</v>
      </c>
      <c r="V1527" s="94">
        <v>30</v>
      </c>
      <c r="W1527" s="94">
        <f>STOCK[[#This Row],[Precio Final]]-STOCK[[#This Row],[Costo total]]</f>
        <v>15.89</v>
      </c>
      <c r="X1527" s="94">
        <f>STOCK[[#This Row],[Ganancia Unitaria]]*STOCK[[#This Row],[Salidas]]</f>
        <v>0</v>
      </c>
      <c r="Y1527" s="94"/>
      <c r="Z1527" s="94"/>
      <c r="AA1527" s="94">
        <f>STOCK[[#This Row],[Costo total]]*STOCK[[#This Row],[Entradas]]</f>
        <v>14.11</v>
      </c>
      <c r="AB1527" s="94">
        <f>STOCK[[#This Row],[Stock Actual]]*STOCK[[#This Row],[Costo total]]</f>
        <v>14.11</v>
      </c>
      <c r="AC1527" s="94"/>
    </row>
    <row r="1528" s="76" customFormat="1" ht="50" customHeight="1" spans="1:30">
      <c r="A1528" s="76" t="s">
        <v>3039</v>
      </c>
      <c r="B1528" s="91" t="str">
        <f>_xlfn.DISPIMG("ID_D1E073E4129E4171A9BB6D3B66D1B537",1)</f>
        <v>=DISPIMG("ID_D1E073E4129E4171A9BB6D3B66D1B537",1)</v>
      </c>
      <c r="C1528" s="76" t="s">
        <v>30</v>
      </c>
      <c r="D1528" s="76" t="s">
        <v>747</v>
      </c>
      <c r="E1528" s="76" t="s">
        <v>3040</v>
      </c>
      <c r="F1528" s="76" t="s">
        <v>1532</v>
      </c>
      <c r="H1528" s="94">
        <f>STOCK[[#This Row],[Precio Final]]</f>
        <v>28</v>
      </c>
      <c r="I1528" s="98">
        <f>STOCK[[#This Row],[Precio Venta Ideal (x1.5)]]</f>
        <v>19.2</v>
      </c>
      <c r="J1528" s="91">
        <v>2</v>
      </c>
      <c r="K1528" s="96">
        <f>SUMIFS(VENTAS[Cantidad],VENTAS[Código del producto Vendido],STOCK[[#This Row],[Code]])</f>
        <v>0</v>
      </c>
      <c r="L1528" s="96">
        <f>STOCK[[#This Row],[Entradas]]-STOCK[[#This Row],[Salidas]]</f>
        <v>2</v>
      </c>
      <c r="M1528" s="94">
        <f>STOCK[[#This Row],[Precio Final]]*10%</f>
        <v>2.8</v>
      </c>
      <c r="N1528" s="76">
        <v>0</v>
      </c>
      <c r="O1528" s="94">
        <v>0</v>
      </c>
      <c r="P1528" s="76">
        <v>10</v>
      </c>
      <c r="Q1528" s="92">
        <v>0</v>
      </c>
      <c r="R1528" s="76">
        <v>0</v>
      </c>
      <c r="S1528" s="77">
        <v>0</v>
      </c>
      <c r="T1528" s="94">
        <f>STOCK[[#This Row],[Costo Unitario (USD)]]+STOCK[[#This Row],[Costo Envío (USD)]]+STOCK[[#This Row],[Comisión 10%]]</f>
        <v>12.8</v>
      </c>
      <c r="U1528" s="76">
        <f>STOCK[[#This Row],[Costo total]]*1.5</f>
        <v>19.2</v>
      </c>
      <c r="V1528" s="76">
        <v>28</v>
      </c>
      <c r="W1528" s="94">
        <f>STOCK[[#This Row],[Precio Final]]-STOCK[[#This Row],[Costo total]]</f>
        <v>15.2</v>
      </c>
      <c r="X1528" s="94">
        <f>STOCK[[#This Row],[Ganancia Unitaria]]*STOCK[[#This Row],[Salidas]]</f>
        <v>0</v>
      </c>
      <c r="Y1528" s="94"/>
      <c r="Z1528" s="94"/>
      <c r="AA1528" s="94">
        <f>STOCK[[#This Row],[Costo total]]*STOCK[[#This Row],[Entradas]]</f>
        <v>25.6</v>
      </c>
      <c r="AB1528" s="94">
        <f>STOCK[[#This Row],[Stock Actual]]*STOCK[[#This Row],[Costo total]]</f>
        <v>25.6</v>
      </c>
      <c r="AC1528" s="94"/>
      <c r="AD1528" s="100"/>
    </row>
    <row r="1529" s="76" customFormat="1" ht="50" customHeight="1" spans="1:30">
      <c r="A1529" s="76" t="s">
        <v>3041</v>
      </c>
      <c r="B1529" s="91" t="str">
        <f>_xlfn.DISPIMG("ID_AC221203CCA54983BF820E257DAA06D8",1)</f>
        <v>=DISPIMG("ID_AC221203CCA54983BF820E257DAA06D8",1)</v>
      </c>
      <c r="C1529" s="76" t="s">
        <v>30</v>
      </c>
      <c r="D1529" s="76" t="s">
        <v>747</v>
      </c>
      <c r="E1529" s="76" t="s">
        <v>3042</v>
      </c>
      <c r="F1529" s="76" t="s">
        <v>1532</v>
      </c>
      <c r="H1529" s="94">
        <f>STOCK[[#This Row],[Precio Final]]</f>
        <v>22</v>
      </c>
      <c r="I1529" s="98">
        <f>STOCK[[#This Row],[Precio Venta Ideal (x1.5)]]</f>
        <v>18.3</v>
      </c>
      <c r="J1529" s="91">
        <v>1</v>
      </c>
      <c r="K1529" s="96">
        <f>SUMIFS(VENTAS[Cantidad],VENTAS[Código del producto Vendido],STOCK[[#This Row],[Code]])</f>
        <v>0</v>
      </c>
      <c r="L1529" s="96">
        <f>STOCK[[#This Row],[Entradas]]-STOCK[[#This Row],[Salidas]]</f>
        <v>1</v>
      </c>
      <c r="M1529" s="94">
        <f>STOCK[[#This Row],[Precio Final]]*10%</f>
        <v>2.2</v>
      </c>
      <c r="N1529" s="77">
        <v>0</v>
      </c>
      <c r="O1529" s="94">
        <v>0</v>
      </c>
      <c r="P1529" s="76">
        <v>10</v>
      </c>
      <c r="Q1529" s="91">
        <v>0</v>
      </c>
      <c r="R1529" s="77">
        <v>0</v>
      </c>
      <c r="S1529" s="76">
        <v>0</v>
      </c>
      <c r="T1529" s="94">
        <f>STOCK[[#This Row],[Costo Unitario (USD)]]+STOCK[[#This Row],[Costo Envío (USD)]]+STOCK[[#This Row],[Comisión 10%]]</f>
        <v>12.2</v>
      </c>
      <c r="U1529" s="76">
        <f>STOCK[[#This Row],[Costo total]]*1.5</f>
        <v>18.3</v>
      </c>
      <c r="V1529" s="76">
        <v>22</v>
      </c>
      <c r="W1529" s="94">
        <f>STOCK[[#This Row],[Precio Final]]-STOCK[[#This Row],[Costo total]]</f>
        <v>9.8</v>
      </c>
      <c r="X1529" s="94">
        <f>STOCK[[#This Row],[Ganancia Unitaria]]*STOCK[[#This Row],[Salidas]]</f>
        <v>0</v>
      </c>
      <c r="Y1529" s="94"/>
      <c r="Z1529" s="94"/>
      <c r="AA1529" s="94">
        <f>STOCK[[#This Row],[Costo total]]*STOCK[[#This Row],[Entradas]]</f>
        <v>12.2</v>
      </c>
      <c r="AB1529" s="94">
        <f>STOCK[[#This Row],[Stock Actual]]*STOCK[[#This Row],[Costo total]]</f>
        <v>12.2</v>
      </c>
      <c r="AC1529" s="94"/>
      <c r="AD1529" s="100"/>
    </row>
    <row r="1530" s="76" customFormat="1" ht="50" customHeight="1" spans="1:30">
      <c r="A1530" s="76" t="s">
        <v>3043</v>
      </c>
      <c r="B1530" s="91" t="str">
        <f>_xlfn.DISPIMG("ID_993DE42165354B1EA401FCCCF2F045B5",1)</f>
        <v>=DISPIMG("ID_993DE42165354B1EA401FCCCF2F045B5",1)</v>
      </c>
      <c r="C1530" s="76" t="s">
        <v>30</v>
      </c>
      <c r="D1530" s="76" t="s">
        <v>747</v>
      </c>
      <c r="E1530" s="76" t="s">
        <v>3044</v>
      </c>
      <c r="F1530" s="76" t="s">
        <v>1532</v>
      </c>
      <c r="H1530" s="94">
        <f>STOCK[[#This Row],[Precio Final]]</f>
        <v>22</v>
      </c>
      <c r="I1530" s="98">
        <f>STOCK[[#This Row],[Precio Venta Ideal (x1.5)]]</f>
        <v>18.3</v>
      </c>
      <c r="J1530" s="91">
        <v>1</v>
      </c>
      <c r="K1530" s="96">
        <f>SUMIFS(VENTAS[Cantidad],VENTAS[Código del producto Vendido],STOCK[[#This Row],[Code]])</f>
        <v>0</v>
      </c>
      <c r="L1530" s="96">
        <f>STOCK[[#This Row],[Entradas]]-STOCK[[#This Row],[Salidas]]</f>
        <v>1</v>
      </c>
      <c r="M1530" s="94">
        <f>STOCK[[#This Row],[Precio Final]]*10%</f>
        <v>2.2</v>
      </c>
      <c r="N1530" s="77">
        <v>0</v>
      </c>
      <c r="O1530" s="94">
        <v>0</v>
      </c>
      <c r="P1530" s="76">
        <v>10</v>
      </c>
      <c r="Q1530" s="91">
        <v>0</v>
      </c>
      <c r="R1530" s="76">
        <v>0</v>
      </c>
      <c r="S1530" s="77">
        <v>0</v>
      </c>
      <c r="T1530" s="94">
        <f>STOCK[[#This Row],[Costo Unitario (USD)]]+STOCK[[#This Row],[Costo Envío (USD)]]+STOCK[[#This Row],[Comisión 10%]]</f>
        <v>12.2</v>
      </c>
      <c r="U1530" s="76">
        <f>STOCK[[#This Row],[Costo total]]*1.5</f>
        <v>18.3</v>
      </c>
      <c r="V1530" s="76">
        <v>22</v>
      </c>
      <c r="W1530" s="94">
        <f>STOCK[[#This Row],[Precio Final]]-STOCK[[#This Row],[Costo total]]</f>
        <v>9.8</v>
      </c>
      <c r="X1530" s="94">
        <f>STOCK[[#This Row],[Ganancia Unitaria]]*STOCK[[#This Row],[Salidas]]</f>
        <v>0</v>
      </c>
      <c r="Y1530" s="94"/>
      <c r="Z1530" s="94"/>
      <c r="AA1530" s="94">
        <f>STOCK[[#This Row],[Costo total]]*STOCK[[#This Row],[Entradas]]</f>
        <v>12.2</v>
      </c>
      <c r="AB1530" s="94">
        <f>STOCK[[#This Row],[Stock Actual]]*STOCK[[#This Row],[Costo total]]</f>
        <v>12.2</v>
      </c>
      <c r="AC1530" s="94"/>
      <c r="AD1530" s="100"/>
    </row>
    <row r="1531" s="76" customFormat="1" ht="50" customHeight="1" spans="1:30">
      <c r="A1531" s="76" t="s">
        <v>3045</v>
      </c>
      <c r="B1531" s="91" t="str">
        <f>_xlfn.DISPIMG("ID_0FF41747A0794EE98C5DCDF1FA378C04",1)</f>
        <v>=DISPIMG("ID_0FF41747A0794EE98C5DCDF1FA378C04",1)</v>
      </c>
      <c r="C1531" s="76" t="s">
        <v>30</v>
      </c>
      <c r="D1531" s="76" t="s">
        <v>747</v>
      </c>
      <c r="E1531" s="76" t="s">
        <v>3046</v>
      </c>
      <c r="F1531" s="76" t="s">
        <v>1532</v>
      </c>
      <c r="H1531" s="94">
        <f>STOCK[[#This Row],[Precio Final]]</f>
        <v>28</v>
      </c>
      <c r="I1531" s="98">
        <f>STOCK[[#This Row],[Precio Venta Ideal (x1.5)]]</f>
        <v>19.2</v>
      </c>
      <c r="J1531" s="91">
        <v>1</v>
      </c>
      <c r="K1531" s="96">
        <f>SUMIFS(VENTAS[Cantidad],VENTAS[Código del producto Vendido],STOCK[[#This Row],[Code]])</f>
        <v>0</v>
      </c>
      <c r="L1531" s="96">
        <f>STOCK[[#This Row],[Entradas]]-STOCK[[#This Row],[Salidas]]</f>
        <v>1</v>
      </c>
      <c r="M1531" s="94">
        <f>STOCK[[#This Row],[Precio Final]]*10%</f>
        <v>2.8</v>
      </c>
      <c r="N1531" s="76">
        <v>0</v>
      </c>
      <c r="O1531" s="94">
        <v>0</v>
      </c>
      <c r="P1531" s="76">
        <v>10</v>
      </c>
      <c r="Q1531" s="92">
        <v>0</v>
      </c>
      <c r="R1531" s="77">
        <v>0</v>
      </c>
      <c r="S1531" s="77">
        <v>0</v>
      </c>
      <c r="T1531" s="94">
        <f>STOCK[[#This Row],[Costo Unitario (USD)]]+STOCK[[#This Row],[Costo Envío (USD)]]+STOCK[[#This Row],[Comisión 10%]]</f>
        <v>12.8</v>
      </c>
      <c r="U1531" s="76">
        <f>STOCK[[#This Row],[Costo total]]*1.5</f>
        <v>19.2</v>
      </c>
      <c r="V1531" s="76">
        <v>28</v>
      </c>
      <c r="W1531" s="94">
        <f>STOCK[[#This Row],[Precio Final]]-STOCK[[#This Row],[Costo total]]</f>
        <v>15.2</v>
      </c>
      <c r="X1531" s="94">
        <f>STOCK[[#This Row],[Ganancia Unitaria]]*STOCK[[#This Row],[Salidas]]</f>
        <v>0</v>
      </c>
      <c r="Y1531" s="94"/>
      <c r="Z1531" s="94"/>
      <c r="AA1531" s="94">
        <f>STOCK[[#This Row],[Costo total]]*STOCK[[#This Row],[Entradas]]</f>
        <v>12.8</v>
      </c>
      <c r="AB1531" s="94">
        <f>STOCK[[#This Row],[Stock Actual]]*STOCK[[#This Row],[Costo total]]</f>
        <v>12.8</v>
      </c>
      <c r="AC1531" s="94"/>
      <c r="AD1531" s="100"/>
    </row>
    <row r="1532" s="76" customFormat="1" ht="50" customHeight="1" spans="1:30">
      <c r="A1532" s="76" t="s">
        <v>3047</v>
      </c>
      <c r="B1532" s="91" t="str">
        <f>_xlfn.DISPIMG("ID_211C81173A9244828AAC5353B2385B31",1)</f>
        <v>=DISPIMG("ID_211C81173A9244828AAC5353B2385B31",1)</v>
      </c>
      <c r="C1532" s="76" t="s">
        <v>30</v>
      </c>
      <c r="D1532" s="76" t="s">
        <v>747</v>
      </c>
      <c r="E1532" s="76" t="s">
        <v>3046</v>
      </c>
      <c r="F1532" s="76" t="s">
        <v>387</v>
      </c>
      <c r="H1532" s="94">
        <f>STOCK[[#This Row],[Precio Final]]</f>
        <v>28</v>
      </c>
      <c r="I1532" s="98">
        <f>STOCK[[#This Row],[Precio Venta Ideal (x1.5)]]</f>
        <v>19.2</v>
      </c>
      <c r="J1532" s="91">
        <v>1</v>
      </c>
      <c r="K1532" s="96">
        <f>SUMIFS(VENTAS[Cantidad],VENTAS[Código del producto Vendido],STOCK[[#This Row],[Code]])</f>
        <v>0</v>
      </c>
      <c r="L1532" s="96">
        <f>STOCK[[#This Row],[Entradas]]-STOCK[[#This Row],[Salidas]]</f>
        <v>1</v>
      </c>
      <c r="M1532" s="94">
        <f>STOCK[[#This Row],[Precio Final]]*10%</f>
        <v>2.8</v>
      </c>
      <c r="N1532" s="77">
        <v>0</v>
      </c>
      <c r="O1532" s="94">
        <v>0</v>
      </c>
      <c r="P1532" s="76">
        <v>10</v>
      </c>
      <c r="Q1532" s="91">
        <v>0</v>
      </c>
      <c r="R1532" s="76">
        <v>0</v>
      </c>
      <c r="S1532" s="76">
        <v>0</v>
      </c>
      <c r="T1532" s="94">
        <f>STOCK[[#This Row],[Costo Unitario (USD)]]+STOCK[[#This Row],[Costo Envío (USD)]]+STOCK[[#This Row],[Comisión 10%]]</f>
        <v>12.8</v>
      </c>
      <c r="U1532" s="76">
        <f>STOCK[[#This Row],[Costo total]]*1.5</f>
        <v>19.2</v>
      </c>
      <c r="V1532" s="76">
        <v>28</v>
      </c>
      <c r="W1532" s="94">
        <f>STOCK[[#This Row],[Precio Final]]-STOCK[[#This Row],[Costo total]]</f>
        <v>15.2</v>
      </c>
      <c r="X1532" s="94">
        <f>STOCK[[#This Row],[Ganancia Unitaria]]*STOCK[[#This Row],[Salidas]]</f>
        <v>0</v>
      </c>
      <c r="Y1532" s="94"/>
      <c r="Z1532" s="94"/>
      <c r="AA1532" s="94">
        <f>STOCK[[#This Row],[Costo total]]*STOCK[[#This Row],[Entradas]]</f>
        <v>12.8</v>
      </c>
      <c r="AB1532" s="94">
        <f>STOCK[[#This Row],[Stock Actual]]*STOCK[[#This Row],[Costo total]]</f>
        <v>12.8</v>
      </c>
      <c r="AC1532" s="94"/>
      <c r="AD1532" s="100"/>
    </row>
    <row r="1533" s="76" customFormat="1" ht="50" customHeight="1" spans="1:30">
      <c r="A1533" s="76" t="s">
        <v>3048</v>
      </c>
      <c r="B1533" s="91" t="str">
        <f>_xlfn.DISPIMG("ID_CEC879C0EFD145C5A9BB614C361D7625",1)</f>
        <v>=DISPIMG("ID_CEC879C0EFD145C5A9BB614C361D7625",1)</v>
      </c>
      <c r="C1533" s="76" t="s">
        <v>30</v>
      </c>
      <c r="D1533" s="76" t="s">
        <v>747</v>
      </c>
      <c r="E1533" s="76" t="s">
        <v>3049</v>
      </c>
      <c r="F1533" s="76" t="s">
        <v>1532</v>
      </c>
      <c r="H1533" s="94">
        <f>STOCK[[#This Row],[Precio Final]]</f>
        <v>25</v>
      </c>
      <c r="I1533" s="98">
        <f>STOCK[[#This Row],[Precio Venta Ideal (x1.5)]]</f>
        <v>18.75</v>
      </c>
      <c r="J1533" s="91">
        <v>1</v>
      </c>
      <c r="K1533" s="96">
        <f>SUMIFS(VENTAS[Cantidad],VENTAS[Código del producto Vendido],STOCK[[#This Row],[Code]])</f>
        <v>0</v>
      </c>
      <c r="L1533" s="96">
        <f>STOCK[[#This Row],[Entradas]]-STOCK[[#This Row],[Salidas]]</f>
        <v>1</v>
      </c>
      <c r="M1533" s="94">
        <f>STOCK[[#This Row],[Precio Final]]*10%</f>
        <v>2.5</v>
      </c>
      <c r="N1533" s="76">
        <v>0</v>
      </c>
      <c r="O1533" s="94">
        <v>0</v>
      </c>
      <c r="P1533" s="76">
        <v>10</v>
      </c>
      <c r="Q1533" s="91">
        <v>0</v>
      </c>
      <c r="R1533" s="77">
        <v>0</v>
      </c>
      <c r="S1533" s="77">
        <v>0</v>
      </c>
      <c r="T1533" s="94">
        <f>STOCK[[#This Row],[Costo Unitario (USD)]]+STOCK[[#This Row],[Costo Envío (USD)]]+STOCK[[#This Row],[Comisión 10%]]</f>
        <v>12.5</v>
      </c>
      <c r="U1533" s="76">
        <f>STOCK[[#This Row],[Costo total]]*1.5</f>
        <v>18.75</v>
      </c>
      <c r="V1533" s="76">
        <v>25</v>
      </c>
      <c r="W1533" s="94">
        <f>STOCK[[#This Row],[Precio Final]]-STOCK[[#This Row],[Costo total]]</f>
        <v>12.5</v>
      </c>
      <c r="X1533" s="94">
        <f>STOCK[[#This Row],[Ganancia Unitaria]]*STOCK[[#This Row],[Salidas]]</f>
        <v>0</v>
      </c>
      <c r="Y1533" s="94"/>
      <c r="Z1533" s="94"/>
      <c r="AA1533" s="94">
        <f>STOCK[[#This Row],[Costo total]]*STOCK[[#This Row],[Entradas]]</f>
        <v>12.5</v>
      </c>
      <c r="AB1533" s="94">
        <f>STOCK[[#This Row],[Stock Actual]]*STOCK[[#This Row],[Costo total]]</f>
        <v>12.5</v>
      </c>
      <c r="AC1533" s="94"/>
      <c r="AD1533" s="100"/>
    </row>
    <row r="1534" s="76" customFormat="1" ht="50" customHeight="1" spans="1:30">
      <c r="A1534" s="76" t="s">
        <v>3050</v>
      </c>
      <c r="B1534" s="91" t="str">
        <f>_xlfn.DISPIMG("ID_77562D2FB091404BBDC136380EDDC670",1)</f>
        <v>=DISPIMG("ID_77562D2FB091404BBDC136380EDDC670",1)</v>
      </c>
      <c r="C1534" s="76" t="s">
        <v>30</v>
      </c>
      <c r="D1534" s="76" t="s">
        <v>747</v>
      </c>
      <c r="E1534" s="76" t="s">
        <v>3051</v>
      </c>
      <c r="F1534" s="76" t="s">
        <v>3052</v>
      </c>
      <c r="H1534" s="94">
        <f>STOCK[[#This Row],[Precio Final]]</f>
        <v>22</v>
      </c>
      <c r="I1534" s="98">
        <f>STOCK[[#This Row],[Precio Venta Ideal (x1.5)]]</f>
        <v>18.3</v>
      </c>
      <c r="J1534" s="91">
        <v>2</v>
      </c>
      <c r="K1534" s="96">
        <f>SUMIFS(VENTAS[Cantidad],VENTAS[Código del producto Vendido],STOCK[[#This Row],[Code]])</f>
        <v>0</v>
      </c>
      <c r="L1534" s="96">
        <f>STOCK[[#This Row],[Entradas]]-STOCK[[#This Row],[Salidas]]</f>
        <v>2</v>
      </c>
      <c r="M1534" s="94">
        <f>STOCK[[#This Row],[Precio Final]]*10%</f>
        <v>2.2</v>
      </c>
      <c r="N1534" s="77">
        <v>0</v>
      </c>
      <c r="O1534" s="94">
        <v>0</v>
      </c>
      <c r="P1534" s="76">
        <v>10</v>
      </c>
      <c r="Q1534" s="92">
        <v>0</v>
      </c>
      <c r="R1534" s="76">
        <v>0</v>
      </c>
      <c r="S1534" s="77">
        <v>0</v>
      </c>
      <c r="T1534" s="94">
        <f>STOCK[[#This Row],[Costo Unitario (USD)]]+STOCK[[#This Row],[Costo Envío (USD)]]+STOCK[[#This Row],[Comisión 10%]]</f>
        <v>12.2</v>
      </c>
      <c r="U1534" s="76">
        <f>STOCK[[#This Row],[Costo total]]*1.5</f>
        <v>18.3</v>
      </c>
      <c r="V1534" s="76">
        <v>22</v>
      </c>
      <c r="W1534" s="94">
        <f>STOCK[[#This Row],[Precio Final]]-STOCK[[#This Row],[Costo total]]</f>
        <v>9.8</v>
      </c>
      <c r="X1534" s="94">
        <f>STOCK[[#This Row],[Ganancia Unitaria]]*STOCK[[#This Row],[Salidas]]</f>
        <v>0</v>
      </c>
      <c r="Y1534" s="94"/>
      <c r="Z1534" s="94"/>
      <c r="AA1534" s="94">
        <f>STOCK[[#This Row],[Costo total]]*STOCK[[#This Row],[Entradas]]</f>
        <v>24.4</v>
      </c>
      <c r="AB1534" s="94">
        <f>STOCK[[#This Row],[Stock Actual]]*STOCK[[#This Row],[Costo total]]</f>
        <v>24.4</v>
      </c>
      <c r="AC1534" s="94"/>
      <c r="AD1534" s="100"/>
    </row>
    <row r="1535" s="76" customFormat="1" ht="50" customHeight="1" spans="1:30">
      <c r="A1535" s="76" t="s">
        <v>3053</v>
      </c>
      <c r="B1535" s="91" t="str">
        <f>_xlfn.DISPIMG("ID_95BDB41B40814921ADDFD45140CB4D91",1)</f>
        <v>=DISPIMG("ID_95BDB41B40814921ADDFD45140CB4D91",1)</v>
      </c>
      <c r="C1535" s="76" t="s">
        <v>30</v>
      </c>
      <c r="D1535" s="76" t="s">
        <v>747</v>
      </c>
      <c r="E1535" s="76" t="s">
        <v>3051</v>
      </c>
      <c r="F1535" s="76" t="s">
        <v>2106</v>
      </c>
      <c r="H1535" s="94">
        <f>STOCK[[#This Row],[Precio Final]]</f>
        <v>22</v>
      </c>
      <c r="I1535" s="98">
        <f>STOCK[[#This Row],[Precio Venta Ideal (x1.5)]]</f>
        <v>18.3</v>
      </c>
      <c r="J1535" s="91">
        <v>1</v>
      </c>
      <c r="K1535" s="96">
        <f>SUMIFS(VENTAS[Cantidad],VENTAS[Código del producto Vendido],STOCK[[#This Row],[Code]])</f>
        <v>0</v>
      </c>
      <c r="L1535" s="96">
        <f>STOCK[[#This Row],[Entradas]]-STOCK[[#This Row],[Salidas]]</f>
        <v>1</v>
      </c>
      <c r="M1535" s="94">
        <f>STOCK[[#This Row],[Precio Final]]*10%</f>
        <v>2.2</v>
      </c>
      <c r="N1535" s="77">
        <v>0</v>
      </c>
      <c r="O1535" s="94">
        <v>0</v>
      </c>
      <c r="P1535" s="76">
        <v>10</v>
      </c>
      <c r="Q1535" s="91">
        <v>0</v>
      </c>
      <c r="R1535" s="77">
        <v>0</v>
      </c>
      <c r="S1535" s="76">
        <v>0</v>
      </c>
      <c r="T1535" s="94">
        <f>STOCK[[#This Row],[Costo Unitario (USD)]]+STOCK[[#This Row],[Costo Envío (USD)]]+STOCK[[#This Row],[Comisión 10%]]</f>
        <v>12.2</v>
      </c>
      <c r="U1535" s="76">
        <f>STOCK[[#This Row],[Costo total]]*1.5</f>
        <v>18.3</v>
      </c>
      <c r="V1535" s="76">
        <v>22</v>
      </c>
      <c r="W1535" s="94">
        <f>STOCK[[#This Row],[Precio Final]]-STOCK[[#This Row],[Costo total]]</f>
        <v>9.8</v>
      </c>
      <c r="X1535" s="94">
        <f>STOCK[[#This Row],[Ganancia Unitaria]]*STOCK[[#This Row],[Salidas]]</f>
        <v>0</v>
      </c>
      <c r="Y1535" s="94"/>
      <c r="Z1535" s="94"/>
      <c r="AA1535" s="94">
        <f>STOCK[[#This Row],[Costo total]]*STOCK[[#This Row],[Entradas]]</f>
        <v>12.2</v>
      </c>
      <c r="AB1535" s="94">
        <f>STOCK[[#This Row],[Stock Actual]]*STOCK[[#This Row],[Costo total]]</f>
        <v>12.2</v>
      </c>
      <c r="AC1535" s="94"/>
      <c r="AD1535" s="100"/>
    </row>
    <row r="1536" s="76" customFormat="1" ht="50" customHeight="1" spans="1:30">
      <c r="A1536" s="76" t="s">
        <v>3054</v>
      </c>
      <c r="B1536" s="91" t="str">
        <f>_xlfn.DISPIMG("ID_155C3A022F474F2A990DD77E86CB57AD",1)</f>
        <v>=DISPIMG("ID_155C3A022F474F2A990DD77E86CB57AD",1)</v>
      </c>
      <c r="C1536" s="76" t="s">
        <v>30</v>
      </c>
      <c r="D1536" s="76" t="s">
        <v>747</v>
      </c>
      <c r="E1536" s="76" t="s">
        <v>3049</v>
      </c>
      <c r="F1536" s="76" t="s">
        <v>1532</v>
      </c>
      <c r="H1536" s="94">
        <f>STOCK[[#This Row],[Precio Final]]</f>
        <v>25</v>
      </c>
      <c r="I1536" s="98">
        <f>STOCK[[#This Row],[Precio Venta Ideal (x1.5)]]</f>
        <v>18.75</v>
      </c>
      <c r="J1536" s="91">
        <v>1</v>
      </c>
      <c r="K1536" s="96">
        <f>SUMIFS(VENTAS[Cantidad],VENTAS[Código del producto Vendido],STOCK[[#This Row],[Code]])</f>
        <v>0</v>
      </c>
      <c r="L1536" s="96">
        <f>STOCK[[#This Row],[Entradas]]-STOCK[[#This Row],[Salidas]]</f>
        <v>1</v>
      </c>
      <c r="M1536" s="94">
        <f>STOCK[[#This Row],[Precio Final]]*10%</f>
        <v>2.5</v>
      </c>
      <c r="N1536" s="76">
        <v>0</v>
      </c>
      <c r="O1536" s="94">
        <v>0</v>
      </c>
      <c r="P1536" s="76">
        <v>10</v>
      </c>
      <c r="Q1536" s="91">
        <v>0</v>
      </c>
      <c r="R1536" s="76">
        <v>0</v>
      </c>
      <c r="S1536" s="77">
        <v>0</v>
      </c>
      <c r="T1536" s="94">
        <f>STOCK[[#This Row],[Costo Unitario (USD)]]+STOCK[[#This Row],[Costo Envío (USD)]]+STOCK[[#This Row],[Comisión 10%]]</f>
        <v>12.5</v>
      </c>
      <c r="U1536" s="76">
        <f>STOCK[[#This Row],[Costo total]]*1.5</f>
        <v>18.75</v>
      </c>
      <c r="V1536" s="76">
        <v>25</v>
      </c>
      <c r="W1536" s="94">
        <f>STOCK[[#This Row],[Precio Final]]-STOCK[[#This Row],[Costo total]]</f>
        <v>12.5</v>
      </c>
      <c r="X1536" s="94">
        <f>STOCK[[#This Row],[Ganancia Unitaria]]*STOCK[[#This Row],[Salidas]]</f>
        <v>0</v>
      </c>
      <c r="Y1536" s="94"/>
      <c r="Z1536" s="94"/>
      <c r="AA1536" s="94">
        <f>STOCK[[#This Row],[Costo total]]*STOCK[[#This Row],[Entradas]]</f>
        <v>12.5</v>
      </c>
      <c r="AB1536" s="94">
        <f>STOCK[[#This Row],[Stock Actual]]*STOCK[[#This Row],[Costo total]]</f>
        <v>12.5</v>
      </c>
      <c r="AC1536" s="94"/>
      <c r="AD1536" s="100"/>
    </row>
    <row r="1537" s="76" customFormat="1" ht="50" customHeight="1" spans="1:30">
      <c r="A1537" s="76" t="s">
        <v>3055</v>
      </c>
      <c r="B1537" s="91" t="str">
        <f>_xlfn.DISPIMG("ID_7FBA60068A874CDB82993402BC5DEF69",1)</f>
        <v>=DISPIMG("ID_7FBA60068A874CDB82993402BC5DEF69",1)</v>
      </c>
      <c r="C1537" s="76" t="s">
        <v>30</v>
      </c>
      <c r="D1537" s="76" t="s">
        <v>747</v>
      </c>
      <c r="E1537" s="76" t="s">
        <v>3056</v>
      </c>
      <c r="F1537" s="76" t="s">
        <v>1532</v>
      </c>
      <c r="H1537" s="94">
        <f>STOCK[[#This Row],[Precio Final]]</f>
        <v>20</v>
      </c>
      <c r="I1537" s="98">
        <f>STOCK[[#This Row],[Precio Venta Ideal (x1.5)]]</f>
        <v>18</v>
      </c>
      <c r="J1537" s="91">
        <v>2</v>
      </c>
      <c r="K1537" s="96">
        <f>SUMIFS(VENTAS[Cantidad],VENTAS[Código del producto Vendido],STOCK[[#This Row],[Code]])</f>
        <v>0</v>
      </c>
      <c r="L1537" s="96">
        <f>STOCK[[#This Row],[Entradas]]-STOCK[[#This Row],[Salidas]]</f>
        <v>2</v>
      </c>
      <c r="M1537" s="94">
        <f>STOCK[[#This Row],[Precio Final]]*10%</f>
        <v>2</v>
      </c>
      <c r="N1537" s="77">
        <v>0</v>
      </c>
      <c r="O1537" s="94">
        <v>0</v>
      </c>
      <c r="P1537" s="76">
        <v>10</v>
      </c>
      <c r="Q1537" s="92">
        <v>0</v>
      </c>
      <c r="R1537" s="77">
        <v>0</v>
      </c>
      <c r="S1537" s="77">
        <v>0</v>
      </c>
      <c r="T1537" s="94">
        <f>STOCK[[#This Row],[Costo Unitario (USD)]]+STOCK[[#This Row],[Costo Envío (USD)]]+STOCK[[#This Row],[Comisión 10%]]</f>
        <v>12</v>
      </c>
      <c r="U1537" s="76">
        <f>STOCK[[#This Row],[Costo total]]*1.5</f>
        <v>18</v>
      </c>
      <c r="V1537" s="76">
        <v>20</v>
      </c>
      <c r="W1537" s="94">
        <f>STOCK[[#This Row],[Precio Final]]-STOCK[[#This Row],[Costo total]]</f>
        <v>8</v>
      </c>
      <c r="X1537" s="94">
        <f>STOCK[[#This Row],[Ganancia Unitaria]]*STOCK[[#This Row],[Salidas]]</f>
        <v>0</v>
      </c>
      <c r="Y1537" s="94"/>
      <c r="Z1537" s="94"/>
      <c r="AA1537" s="94">
        <f>STOCK[[#This Row],[Costo total]]*STOCK[[#This Row],[Entradas]]</f>
        <v>24</v>
      </c>
      <c r="AB1537" s="94">
        <f>STOCK[[#This Row],[Stock Actual]]*STOCK[[#This Row],[Costo total]]</f>
        <v>24</v>
      </c>
      <c r="AC1537" s="94"/>
      <c r="AD1537" s="100"/>
    </row>
    <row r="1538" s="76" customFormat="1" ht="50" customHeight="1" spans="1:30">
      <c r="A1538" s="76" t="s">
        <v>3057</v>
      </c>
      <c r="B1538" s="91" t="str">
        <f>_xlfn.DISPIMG("ID_E147D2FEB55342439B78D68CD73568BA",1)</f>
        <v>=DISPIMG("ID_E147D2FEB55342439B78D68CD73568BA",1)</v>
      </c>
      <c r="C1538" s="76" t="s">
        <v>30</v>
      </c>
      <c r="D1538" s="76" t="s">
        <v>1386</v>
      </c>
      <c r="E1538" s="76" t="s">
        <v>3058</v>
      </c>
      <c r="H1538" s="94">
        <f>STOCK[[#This Row],[Precio Final]]</f>
        <v>35</v>
      </c>
      <c r="I1538" s="98">
        <f>STOCK[[#This Row],[Precio Venta Ideal (x1.5)]]</f>
        <v>20.25</v>
      </c>
      <c r="J1538" s="91">
        <v>1</v>
      </c>
      <c r="K1538" s="96">
        <f>SUMIFS(VENTAS[Cantidad],VENTAS[Código del producto Vendido],STOCK[[#This Row],[Code]])</f>
        <v>0</v>
      </c>
      <c r="L1538" s="96">
        <f>STOCK[[#This Row],[Entradas]]-STOCK[[#This Row],[Salidas]]</f>
        <v>1</v>
      </c>
      <c r="M1538" s="94">
        <f>STOCK[[#This Row],[Precio Final]]*10%</f>
        <v>3.5</v>
      </c>
      <c r="N1538" s="76">
        <v>0</v>
      </c>
      <c r="O1538" s="94">
        <v>0</v>
      </c>
      <c r="P1538" s="76">
        <v>10</v>
      </c>
      <c r="Q1538" s="91">
        <v>0</v>
      </c>
      <c r="R1538" s="77">
        <v>0</v>
      </c>
      <c r="S1538" s="76">
        <v>0</v>
      </c>
      <c r="T1538" s="94">
        <f>STOCK[[#This Row],[Costo Unitario (USD)]]+STOCK[[#This Row],[Costo Envío (USD)]]+STOCK[[#This Row],[Comisión 10%]]</f>
        <v>13.5</v>
      </c>
      <c r="U1538" s="76">
        <f>STOCK[[#This Row],[Costo total]]*1.5</f>
        <v>20.25</v>
      </c>
      <c r="V1538" s="76">
        <v>35</v>
      </c>
      <c r="W1538" s="94">
        <f>STOCK[[#This Row],[Precio Final]]-STOCK[[#This Row],[Costo total]]</f>
        <v>21.5</v>
      </c>
      <c r="X1538" s="94">
        <f>STOCK[[#This Row],[Ganancia Unitaria]]*STOCK[[#This Row],[Salidas]]</f>
        <v>0</v>
      </c>
      <c r="Y1538" s="94"/>
      <c r="Z1538" s="94"/>
      <c r="AA1538" s="94">
        <f>STOCK[[#This Row],[Costo total]]*STOCK[[#This Row],[Entradas]]</f>
        <v>13.5</v>
      </c>
      <c r="AB1538" s="94">
        <f>STOCK[[#This Row],[Stock Actual]]*STOCK[[#This Row],[Costo total]]</f>
        <v>13.5</v>
      </c>
      <c r="AC1538" s="94"/>
      <c r="AD1538" s="100"/>
    </row>
    <row r="1539" s="76" customFormat="1" ht="50" customHeight="1" spans="1:30">
      <c r="A1539" s="76" t="s">
        <v>3059</v>
      </c>
      <c r="B1539" s="91" t="str">
        <f>_xlfn.DISPIMG("ID_331F02D25F0A44B3BA958E8D17162AD4",1)</f>
        <v>=DISPIMG("ID_331F02D25F0A44B3BA958E8D17162AD4",1)</v>
      </c>
      <c r="C1539" s="76" t="s">
        <v>30</v>
      </c>
      <c r="D1539" s="76" t="s">
        <v>1386</v>
      </c>
      <c r="E1539" s="76" t="s">
        <v>3060</v>
      </c>
      <c r="F1539" s="76" t="s">
        <v>60</v>
      </c>
      <c r="H1539" s="94">
        <f>STOCK[[#This Row],[Precio Final]]</f>
        <v>30</v>
      </c>
      <c r="I1539" s="98">
        <f>STOCK[[#This Row],[Precio Venta Ideal (x1.5)]]</f>
        <v>19.5</v>
      </c>
      <c r="J1539" s="91">
        <v>1</v>
      </c>
      <c r="K1539" s="96">
        <f>SUMIFS(VENTAS[Cantidad],VENTAS[Código del producto Vendido],STOCK[[#This Row],[Code]])</f>
        <v>0</v>
      </c>
      <c r="L1539" s="96">
        <f>STOCK[[#This Row],[Entradas]]-STOCK[[#This Row],[Salidas]]</f>
        <v>1</v>
      </c>
      <c r="M1539" s="94">
        <f>STOCK[[#This Row],[Precio Final]]*10%</f>
        <v>3</v>
      </c>
      <c r="N1539" s="76">
        <v>0</v>
      </c>
      <c r="O1539" s="94">
        <v>0</v>
      </c>
      <c r="P1539" s="76">
        <v>10</v>
      </c>
      <c r="Q1539" s="91">
        <v>0</v>
      </c>
      <c r="R1539" s="76">
        <v>0</v>
      </c>
      <c r="S1539" s="76">
        <v>0</v>
      </c>
      <c r="T1539" s="94">
        <f>STOCK[[#This Row],[Costo Unitario (USD)]]+STOCK[[#This Row],[Costo Envío (USD)]]+STOCK[[#This Row],[Comisión 10%]]</f>
        <v>13</v>
      </c>
      <c r="U1539" s="76">
        <f>STOCK[[#This Row],[Costo total]]*1.5</f>
        <v>19.5</v>
      </c>
      <c r="V1539" s="76">
        <v>30</v>
      </c>
      <c r="W1539" s="94">
        <f>STOCK[[#This Row],[Precio Final]]-STOCK[[#This Row],[Costo total]]</f>
        <v>17</v>
      </c>
      <c r="X1539" s="94">
        <f>STOCK[[#This Row],[Ganancia Unitaria]]*STOCK[[#This Row],[Salidas]]</f>
        <v>0</v>
      </c>
      <c r="Y1539" s="94"/>
      <c r="Z1539" s="94"/>
      <c r="AA1539" s="94">
        <f>STOCK[[#This Row],[Costo total]]*STOCK[[#This Row],[Entradas]]</f>
        <v>13</v>
      </c>
      <c r="AB1539" s="94">
        <f>STOCK[[#This Row],[Stock Actual]]*STOCK[[#This Row],[Costo total]]</f>
        <v>13</v>
      </c>
      <c r="AC1539" s="94"/>
      <c r="AD1539" s="100"/>
    </row>
    <row r="1540" s="76" customFormat="1" ht="50" customHeight="1" spans="1:30">
      <c r="A1540" s="76" t="s">
        <v>3061</v>
      </c>
      <c r="B1540" s="91" t="str">
        <f>_xlfn.DISPIMG("ID_C8E00973D2C44AA99B70C7D6EAFA12E9",1)</f>
        <v>=DISPIMG("ID_C8E00973D2C44AA99B70C7D6EAFA12E9",1)</v>
      </c>
      <c r="C1540" s="76" t="s">
        <v>30</v>
      </c>
      <c r="D1540" s="76" t="s">
        <v>1386</v>
      </c>
      <c r="E1540" s="76" t="s">
        <v>3062</v>
      </c>
      <c r="F1540" s="76" t="s">
        <v>44</v>
      </c>
      <c r="H1540" s="94">
        <f>STOCK[[#This Row],[Precio Final]]</f>
        <v>30</v>
      </c>
      <c r="I1540" s="98">
        <f>STOCK[[#This Row],[Precio Venta Ideal (x1.5)]]</f>
        <v>22.5</v>
      </c>
      <c r="J1540" s="91">
        <v>1</v>
      </c>
      <c r="K1540" s="96">
        <f>SUMIFS(VENTAS[Cantidad],VENTAS[Código del producto Vendido],STOCK[[#This Row],[Code]])</f>
        <v>0</v>
      </c>
      <c r="L1540" s="96">
        <f>STOCK[[#This Row],[Entradas]]-STOCK[[#This Row],[Salidas]]</f>
        <v>1</v>
      </c>
      <c r="M1540" s="94">
        <f>STOCK[[#This Row],[Precio Final]]*10%</f>
        <v>3</v>
      </c>
      <c r="N1540" s="77">
        <v>0</v>
      </c>
      <c r="O1540" s="94">
        <v>0</v>
      </c>
      <c r="P1540" s="76">
        <v>12</v>
      </c>
      <c r="Q1540" s="91">
        <v>0</v>
      </c>
      <c r="R1540" s="76">
        <v>0</v>
      </c>
      <c r="S1540" s="77">
        <v>0</v>
      </c>
      <c r="T1540" s="94">
        <f>STOCK[[#This Row],[Costo Unitario (USD)]]+STOCK[[#This Row],[Costo Envío (USD)]]+STOCK[[#This Row],[Comisión 10%]]</f>
        <v>15</v>
      </c>
      <c r="U1540" s="76">
        <f>STOCK[[#This Row],[Costo total]]*1.5</f>
        <v>22.5</v>
      </c>
      <c r="V1540" s="76">
        <v>30</v>
      </c>
      <c r="W1540" s="94">
        <f>STOCK[[#This Row],[Precio Final]]-STOCK[[#This Row],[Costo total]]</f>
        <v>15</v>
      </c>
      <c r="X1540" s="94">
        <f>STOCK[[#This Row],[Ganancia Unitaria]]*STOCK[[#This Row],[Salidas]]</f>
        <v>0</v>
      </c>
      <c r="Y1540" s="94"/>
      <c r="Z1540" s="94"/>
      <c r="AA1540" s="94">
        <f>STOCK[[#This Row],[Costo total]]*STOCK[[#This Row],[Entradas]]</f>
        <v>15</v>
      </c>
      <c r="AB1540" s="94">
        <f>STOCK[[#This Row],[Stock Actual]]*STOCK[[#This Row],[Costo total]]</f>
        <v>15</v>
      </c>
      <c r="AC1540" s="94"/>
      <c r="AD1540" s="100"/>
    </row>
    <row r="1541" s="76" customFormat="1" ht="50" customHeight="1" spans="1:30">
      <c r="A1541" s="76" t="s">
        <v>3063</v>
      </c>
      <c r="B1541" s="76" t="s">
        <v>1343</v>
      </c>
      <c r="C1541" s="76" t="s">
        <v>30</v>
      </c>
      <c r="D1541" s="76" t="s">
        <v>1386</v>
      </c>
      <c r="E1541" s="76" t="s">
        <v>3064</v>
      </c>
      <c r="F1541" s="76" t="s">
        <v>44</v>
      </c>
      <c r="G1541" s="76" t="s">
        <v>60</v>
      </c>
      <c r="H1541" s="94">
        <f>STOCK[[#This Row],[Precio Final]]</f>
        <v>35</v>
      </c>
      <c r="I1541" s="98">
        <f>STOCK[[#This Row],[Precio Venta Ideal (x1.5)]]</f>
        <v>20.25</v>
      </c>
      <c r="J1541" s="91">
        <v>1</v>
      </c>
      <c r="K1541" s="96">
        <f>SUMIFS(VENTAS[Cantidad],VENTAS[Código del producto Vendido],STOCK[[#This Row],[Code]])</f>
        <v>1</v>
      </c>
      <c r="L1541" s="96">
        <f>STOCK[[#This Row],[Entradas]]-STOCK[[#This Row],[Salidas]]</f>
        <v>0</v>
      </c>
      <c r="M1541" s="94">
        <f>STOCK[[#This Row],[Precio Final]]*10%</f>
        <v>3.5</v>
      </c>
      <c r="N1541" s="76">
        <v>0</v>
      </c>
      <c r="O1541" s="94">
        <v>0</v>
      </c>
      <c r="P1541" s="76">
        <v>10</v>
      </c>
      <c r="Q1541" s="92">
        <v>0</v>
      </c>
      <c r="R1541" s="77">
        <v>0</v>
      </c>
      <c r="S1541" s="77">
        <v>0</v>
      </c>
      <c r="T1541" s="94">
        <f>STOCK[[#This Row],[Costo Unitario (USD)]]+STOCK[[#This Row],[Costo Envío (USD)]]+STOCK[[#This Row],[Comisión 10%]]</f>
        <v>13.5</v>
      </c>
      <c r="U1541" s="76">
        <f>STOCK[[#This Row],[Costo total]]*1.5</f>
        <v>20.25</v>
      </c>
      <c r="V1541" s="76">
        <v>35</v>
      </c>
      <c r="W1541" s="94">
        <f>STOCK[[#This Row],[Precio Final]]-STOCK[[#This Row],[Costo total]]</f>
        <v>21.5</v>
      </c>
      <c r="X1541" s="94">
        <f>STOCK[[#This Row],[Ganancia Unitaria]]*STOCK[[#This Row],[Salidas]]</f>
        <v>21.5</v>
      </c>
      <c r="Y1541" s="94"/>
      <c r="Z1541" s="94"/>
      <c r="AA1541" s="94">
        <f>STOCK[[#This Row],[Costo total]]*STOCK[[#This Row],[Entradas]]</f>
        <v>13.5</v>
      </c>
      <c r="AB1541" s="94">
        <f>STOCK[[#This Row],[Stock Actual]]*STOCK[[#This Row],[Costo total]]</f>
        <v>0</v>
      </c>
      <c r="AC1541" s="94"/>
      <c r="AD1541" s="100"/>
    </row>
    <row r="1542" s="76" customFormat="1" ht="50" customHeight="1" spans="1:30">
      <c r="A1542" s="76" t="s">
        <v>3065</v>
      </c>
      <c r="B1542" s="91" t="str">
        <f>_xlfn.DISPIMG("ID_061452DA8F694CDB87AE347AEBFE0C0A",1)</f>
        <v>=DISPIMG("ID_061452DA8F694CDB87AE347AEBFE0C0A",1)</v>
      </c>
      <c r="C1542" s="76" t="s">
        <v>30</v>
      </c>
      <c r="D1542" s="76" t="s">
        <v>1386</v>
      </c>
      <c r="E1542" s="76" t="s">
        <v>3066</v>
      </c>
      <c r="F1542" s="76" t="s">
        <v>47</v>
      </c>
      <c r="H1542" s="94">
        <f>STOCK[[#This Row],[Precio Final]]</f>
        <v>30</v>
      </c>
      <c r="I1542" s="98">
        <f>STOCK[[#This Row],[Precio Venta Ideal (x1.5)]]</f>
        <v>22.5</v>
      </c>
      <c r="J1542" s="91">
        <v>1</v>
      </c>
      <c r="K1542" s="96">
        <f>SUMIFS(VENTAS[Cantidad],VENTAS[Código del producto Vendido],STOCK[[#This Row],[Code]])</f>
        <v>0</v>
      </c>
      <c r="L1542" s="96">
        <f>STOCK[[#This Row],[Entradas]]-STOCK[[#This Row],[Salidas]]</f>
        <v>1</v>
      </c>
      <c r="M1542" s="94">
        <f>STOCK[[#This Row],[Precio Final]]*10%</f>
        <v>3</v>
      </c>
      <c r="N1542" s="77">
        <v>0</v>
      </c>
      <c r="O1542" s="94">
        <v>0</v>
      </c>
      <c r="P1542" s="76">
        <v>12</v>
      </c>
      <c r="Q1542" s="91">
        <v>0</v>
      </c>
      <c r="R1542" s="76">
        <v>0</v>
      </c>
      <c r="S1542" s="76">
        <v>0</v>
      </c>
      <c r="T1542" s="94">
        <f>STOCK[[#This Row],[Costo Unitario (USD)]]+STOCK[[#This Row],[Costo Envío (USD)]]+STOCK[[#This Row],[Comisión 10%]]</f>
        <v>15</v>
      </c>
      <c r="U1542" s="76">
        <f>STOCK[[#This Row],[Costo total]]*1.5</f>
        <v>22.5</v>
      </c>
      <c r="V1542" s="76">
        <v>30</v>
      </c>
      <c r="W1542" s="94">
        <f>STOCK[[#This Row],[Precio Final]]-STOCK[[#This Row],[Costo total]]</f>
        <v>15</v>
      </c>
      <c r="X1542" s="94">
        <f>STOCK[[#This Row],[Ganancia Unitaria]]*STOCK[[#This Row],[Salidas]]</f>
        <v>0</v>
      </c>
      <c r="Y1542" s="94"/>
      <c r="Z1542" s="94"/>
      <c r="AA1542" s="94">
        <f>STOCK[[#This Row],[Costo total]]*STOCK[[#This Row],[Entradas]]</f>
        <v>15</v>
      </c>
      <c r="AB1542" s="94">
        <f>STOCK[[#This Row],[Stock Actual]]*STOCK[[#This Row],[Costo total]]</f>
        <v>15</v>
      </c>
      <c r="AC1542" s="94"/>
      <c r="AD1542" s="100"/>
    </row>
    <row r="1543" s="76" customFormat="1" ht="50" customHeight="1" spans="1:30">
      <c r="A1543" s="76" t="s">
        <v>3067</v>
      </c>
      <c r="B1543" s="91" t="str">
        <f>_xlfn.DISPIMG("ID_236FDEE0D44C44AE9993C59484124512",1)</f>
        <v>=DISPIMG("ID_236FDEE0D44C44AE9993C59484124512",1)</v>
      </c>
      <c r="C1543" s="76" t="s">
        <v>30</v>
      </c>
      <c r="D1543" s="76" t="s">
        <v>1386</v>
      </c>
      <c r="E1543" s="76" t="s">
        <v>3068</v>
      </c>
      <c r="F1543" s="76" t="s">
        <v>47</v>
      </c>
      <c r="H1543" s="94">
        <f>STOCK[[#This Row],[Precio Final]]</f>
        <v>30</v>
      </c>
      <c r="I1543" s="98">
        <f>STOCK[[#This Row],[Precio Venta Ideal (x1.5)]]</f>
        <v>22.5</v>
      </c>
      <c r="J1543" s="91">
        <v>2</v>
      </c>
      <c r="K1543" s="96">
        <f>SUMIFS(VENTAS[Cantidad],VENTAS[Código del producto Vendido],STOCK[[#This Row],[Code]])</f>
        <v>0</v>
      </c>
      <c r="L1543" s="96">
        <f>STOCK[[#This Row],[Entradas]]-STOCK[[#This Row],[Salidas]]</f>
        <v>2</v>
      </c>
      <c r="M1543" s="94">
        <f>STOCK[[#This Row],[Precio Final]]*10%</f>
        <v>3</v>
      </c>
      <c r="N1543" s="77">
        <v>0</v>
      </c>
      <c r="O1543" s="94">
        <v>0</v>
      </c>
      <c r="P1543" s="76">
        <v>12</v>
      </c>
      <c r="Q1543" s="91">
        <v>0</v>
      </c>
      <c r="R1543" s="77">
        <v>0</v>
      </c>
      <c r="S1543" s="77">
        <v>0</v>
      </c>
      <c r="T1543" s="94">
        <f>STOCK[[#This Row],[Costo Unitario (USD)]]+STOCK[[#This Row],[Costo Envío (USD)]]+STOCK[[#This Row],[Comisión 10%]]</f>
        <v>15</v>
      </c>
      <c r="U1543" s="76">
        <f>STOCK[[#This Row],[Costo total]]*1.5</f>
        <v>22.5</v>
      </c>
      <c r="V1543" s="76">
        <v>30</v>
      </c>
      <c r="W1543" s="94">
        <f>STOCK[[#This Row],[Precio Final]]-STOCK[[#This Row],[Costo total]]</f>
        <v>15</v>
      </c>
      <c r="X1543" s="94">
        <f>STOCK[[#This Row],[Ganancia Unitaria]]*STOCK[[#This Row],[Salidas]]</f>
        <v>0</v>
      </c>
      <c r="Y1543" s="94"/>
      <c r="Z1543" s="94"/>
      <c r="AA1543" s="94">
        <f>STOCK[[#This Row],[Costo total]]*STOCK[[#This Row],[Entradas]]</f>
        <v>30</v>
      </c>
      <c r="AB1543" s="94">
        <f>STOCK[[#This Row],[Stock Actual]]*STOCK[[#This Row],[Costo total]]</f>
        <v>30</v>
      </c>
      <c r="AC1543" s="94"/>
      <c r="AD1543" s="100"/>
    </row>
    <row r="1544" s="76" customFormat="1" ht="50" customHeight="1" spans="1:30">
      <c r="A1544" s="76" t="s">
        <v>3069</v>
      </c>
      <c r="B1544" s="91" t="str">
        <f>_xlfn.DISPIMG("ID_C90935565D5E4AF5AC176886EF0D4DF7",1)</f>
        <v>=DISPIMG("ID_C90935565D5E4AF5AC176886EF0D4DF7",1)</v>
      </c>
      <c r="C1544" s="76" t="s">
        <v>30</v>
      </c>
      <c r="D1544" s="76" t="s">
        <v>733</v>
      </c>
      <c r="E1544" s="76" t="s">
        <v>3070</v>
      </c>
      <c r="F1544" s="76" t="s">
        <v>40</v>
      </c>
      <c r="H1544" s="94">
        <f>STOCK[[#This Row],[Precio Final]]</f>
        <v>28</v>
      </c>
      <c r="I1544" s="98">
        <f>STOCK[[#This Row],[Precio Venta Ideal (x1.5)]]</f>
        <v>26.7</v>
      </c>
      <c r="J1544" s="91">
        <v>1</v>
      </c>
      <c r="K1544" s="96">
        <f>SUMIFS(VENTAS[Cantidad],VENTAS[Código del producto Vendido],STOCK[[#This Row],[Code]])</f>
        <v>0</v>
      </c>
      <c r="L1544" s="96">
        <f>STOCK[[#This Row],[Entradas]]-STOCK[[#This Row],[Salidas]]</f>
        <v>1</v>
      </c>
      <c r="M1544" s="94">
        <f>STOCK[[#This Row],[Precio Final]]*10%</f>
        <v>2.8</v>
      </c>
      <c r="N1544" s="76">
        <v>0</v>
      </c>
      <c r="O1544" s="94">
        <v>0</v>
      </c>
      <c r="P1544" s="76">
        <v>15</v>
      </c>
      <c r="Q1544" s="92">
        <v>0</v>
      </c>
      <c r="R1544" s="76">
        <v>0</v>
      </c>
      <c r="S1544" s="77">
        <v>0</v>
      </c>
      <c r="T1544" s="94">
        <f>STOCK[[#This Row],[Costo Unitario (USD)]]+STOCK[[#This Row],[Costo Envío (USD)]]+STOCK[[#This Row],[Comisión 10%]]</f>
        <v>17.8</v>
      </c>
      <c r="U1544" s="76">
        <f>STOCK[[#This Row],[Costo total]]*1.5</f>
        <v>26.7</v>
      </c>
      <c r="V1544" s="76">
        <v>28</v>
      </c>
      <c r="W1544" s="94">
        <f>STOCK[[#This Row],[Precio Final]]-STOCK[[#This Row],[Costo total]]</f>
        <v>10.2</v>
      </c>
      <c r="X1544" s="94">
        <f>STOCK[[#This Row],[Ganancia Unitaria]]*STOCK[[#This Row],[Salidas]]</f>
        <v>0</v>
      </c>
      <c r="Y1544" s="94"/>
      <c r="Z1544" s="94"/>
      <c r="AA1544" s="94">
        <f>STOCK[[#This Row],[Costo total]]*STOCK[[#This Row],[Entradas]]</f>
        <v>17.8</v>
      </c>
      <c r="AB1544" s="94">
        <f>STOCK[[#This Row],[Stock Actual]]*STOCK[[#This Row],[Costo total]]</f>
        <v>17.8</v>
      </c>
      <c r="AC1544" s="94"/>
      <c r="AD1544" s="100"/>
    </row>
    <row r="1545" s="76" customFormat="1" ht="50" customHeight="1" spans="1:30">
      <c r="A1545" s="76" t="s">
        <v>3071</v>
      </c>
      <c r="B1545" s="76" t="s">
        <v>1343</v>
      </c>
      <c r="C1545" s="76" t="s">
        <v>30</v>
      </c>
      <c r="D1545" s="76" t="s">
        <v>1386</v>
      </c>
      <c r="E1545" s="76" t="s">
        <v>3072</v>
      </c>
      <c r="F1545" s="76" t="s">
        <v>47</v>
      </c>
      <c r="H1545" s="94">
        <f>STOCK[[#This Row],[Precio Final]]</f>
        <v>35</v>
      </c>
      <c r="I1545" s="98">
        <f>STOCK[[#This Row],[Precio Venta Ideal (x1.5)]]</f>
        <v>20.25</v>
      </c>
      <c r="J1545" s="91">
        <v>1</v>
      </c>
      <c r="K1545" s="96">
        <f>SUMIFS(VENTAS[Cantidad],VENTAS[Código del producto Vendido],STOCK[[#This Row],[Code]])</f>
        <v>0</v>
      </c>
      <c r="L1545" s="96">
        <f>STOCK[[#This Row],[Entradas]]-STOCK[[#This Row],[Salidas]]</f>
        <v>1</v>
      </c>
      <c r="M1545" s="94">
        <f>STOCK[[#This Row],[Precio Final]]*10%</f>
        <v>3.5</v>
      </c>
      <c r="N1545" s="77">
        <v>0</v>
      </c>
      <c r="O1545" s="94">
        <v>0</v>
      </c>
      <c r="P1545" s="76">
        <v>10</v>
      </c>
      <c r="Q1545" s="91">
        <v>0</v>
      </c>
      <c r="R1545" s="77">
        <v>0</v>
      </c>
      <c r="S1545" s="76">
        <v>0</v>
      </c>
      <c r="T1545" s="94">
        <f>STOCK[[#This Row],[Costo Unitario (USD)]]+STOCK[[#This Row],[Costo Envío (USD)]]+STOCK[[#This Row],[Comisión 10%]]</f>
        <v>13.5</v>
      </c>
      <c r="U1545" s="76">
        <f>STOCK[[#This Row],[Costo total]]*1.5</f>
        <v>20.25</v>
      </c>
      <c r="V1545" s="76">
        <v>35</v>
      </c>
      <c r="W1545" s="94">
        <f>STOCK[[#This Row],[Precio Final]]-STOCK[[#This Row],[Costo total]]</f>
        <v>21.5</v>
      </c>
      <c r="X1545" s="94">
        <f>STOCK[[#This Row],[Ganancia Unitaria]]*STOCK[[#This Row],[Salidas]]</f>
        <v>0</v>
      </c>
      <c r="Y1545" s="94"/>
      <c r="Z1545" s="94"/>
      <c r="AA1545" s="94">
        <f>STOCK[[#This Row],[Costo total]]*STOCK[[#This Row],[Entradas]]</f>
        <v>13.5</v>
      </c>
      <c r="AB1545" s="94">
        <f>STOCK[[#This Row],[Stock Actual]]*STOCK[[#This Row],[Costo total]]</f>
        <v>13.5</v>
      </c>
      <c r="AC1545" s="94"/>
      <c r="AD1545" s="100"/>
    </row>
    <row r="1546" s="76" customFormat="1" ht="50" customHeight="1" spans="1:30">
      <c r="A1546" s="76" t="s">
        <v>3073</v>
      </c>
      <c r="B1546" s="76" t="s">
        <v>1343</v>
      </c>
      <c r="C1546" s="76" t="s">
        <v>30</v>
      </c>
      <c r="D1546" s="76" t="s">
        <v>1386</v>
      </c>
      <c r="E1546" s="76" t="s">
        <v>3074</v>
      </c>
      <c r="F1546" s="76" t="s">
        <v>90</v>
      </c>
      <c r="H1546" s="94">
        <f>STOCK[[#This Row],[Precio Final]]</f>
        <v>30</v>
      </c>
      <c r="I1546" s="98">
        <f>STOCK[[#This Row],[Precio Venta Ideal (x1.5)]]</f>
        <v>22.5</v>
      </c>
      <c r="J1546" s="91">
        <v>1</v>
      </c>
      <c r="K1546" s="96">
        <f>SUMIFS(VENTAS[Cantidad],VENTAS[Código del producto Vendido],STOCK[[#This Row],[Code]])</f>
        <v>0</v>
      </c>
      <c r="L1546" s="96">
        <f>STOCK[[#This Row],[Entradas]]-STOCK[[#This Row],[Salidas]]</f>
        <v>1</v>
      </c>
      <c r="M1546" s="94">
        <f>STOCK[[#This Row],[Precio Final]]*10%</f>
        <v>3</v>
      </c>
      <c r="N1546" s="76">
        <v>0</v>
      </c>
      <c r="O1546" s="94">
        <v>0</v>
      </c>
      <c r="P1546" s="76">
        <v>12</v>
      </c>
      <c r="Q1546" s="91">
        <v>0</v>
      </c>
      <c r="R1546" s="76">
        <v>0</v>
      </c>
      <c r="S1546" s="77">
        <v>0</v>
      </c>
      <c r="T1546" s="94">
        <f>STOCK[[#This Row],[Costo Unitario (USD)]]+STOCK[[#This Row],[Costo Envío (USD)]]+STOCK[[#This Row],[Comisión 10%]]</f>
        <v>15</v>
      </c>
      <c r="U1546" s="76">
        <f>STOCK[[#This Row],[Costo total]]*1.5</f>
        <v>22.5</v>
      </c>
      <c r="V1546" s="76">
        <v>30</v>
      </c>
      <c r="W1546" s="94">
        <f>STOCK[[#This Row],[Precio Final]]-STOCK[[#This Row],[Costo total]]</f>
        <v>15</v>
      </c>
      <c r="X1546" s="94">
        <f>STOCK[[#This Row],[Ganancia Unitaria]]*STOCK[[#This Row],[Salidas]]</f>
        <v>0</v>
      </c>
      <c r="Y1546" s="94"/>
      <c r="Z1546" s="94"/>
      <c r="AA1546" s="94">
        <f>STOCK[[#This Row],[Costo total]]*STOCK[[#This Row],[Entradas]]</f>
        <v>15</v>
      </c>
      <c r="AB1546" s="94">
        <f>STOCK[[#This Row],[Stock Actual]]*STOCK[[#This Row],[Costo total]]</f>
        <v>15</v>
      </c>
      <c r="AC1546" s="94"/>
      <c r="AD1546" s="100"/>
    </row>
    <row r="1547" s="76" customFormat="1" ht="50" customHeight="1" spans="1:30">
      <c r="A1547" s="76" t="s">
        <v>3075</v>
      </c>
      <c r="B1547" s="91" t="str">
        <f>_xlfn.DISPIMG("ID_08DEA944CCB84E22963C11C45A954510",1)</f>
        <v>=DISPIMG("ID_08DEA944CCB84E22963C11C45A954510",1)</v>
      </c>
      <c r="C1547" s="76" t="s">
        <v>30</v>
      </c>
      <c r="D1547" s="76" t="s">
        <v>733</v>
      </c>
      <c r="E1547" s="76" t="s">
        <v>3076</v>
      </c>
      <c r="H1547" s="94">
        <f>STOCK[[#This Row],[Precio Final]]</f>
        <v>30</v>
      </c>
      <c r="I1547" s="98">
        <f>STOCK[[#This Row],[Precio Venta Ideal (x1.5)]]</f>
        <v>16.5</v>
      </c>
      <c r="J1547" s="91">
        <v>1</v>
      </c>
      <c r="K1547" s="96">
        <f>SUMIFS(VENTAS[Cantidad],VENTAS[Código del producto Vendido],STOCK[[#This Row],[Code]])</f>
        <v>0</v>
      </c>
      <c r="L1547" s="96">
        <f>STOCK[[#This Row],[Entradas]]-STOCK[[#This Row],[Salidas]]</f>
        <v>1</v>
      </c>
      <c r="M1547" s="94">
        <f>STOCK[[#This Row],[Precio Final]]*10%</f>
        <v>3</v>
      </c>
      <c r="N1547" s="77">
        <v>0</v>
      </c>
      <c r="O1547" s="94">
        <v>0</v>
      </c>
      <c r="P1547" s="76">
        <v>8</v>
      </c>
      <c r="Q1547" s="91">
        <v>0</v>
      </c>
      <c r="R1547" s="76">
        <v>0</v>
      </c>
      <c r="S1547" s="76">
        <v>0</v>
      </c>
      <c r="T1547" s="94">
        <f>STOCK[[#This Row],[Costo Unitario (USD)]]+STOCK[[#This Row],[Costo Envío (USD)]]+STOCK[[#This Row],[Comisión 10%]]</f>
        <v>11</v>
      </c>
      <c r="U1547" s="76">
        <f>STOCK[[#This Row],[Costo total]]*1.5</f>
        <v>16.5</v>
      </c>
      <c r="V1547" s="76">
        <v>30</v>
      </c>
      <c r="W1547" s="94">
        <f>STOCK[[#This Row],[Precio Final]]-STOCK[[#This Row],[Costo total]]</f>
        <v>19</v>
      </c>
      <c r="X1547" s="94">
        <f>STOCK[[#This Row],[Ganancia Unitaria]]*STOCK[[#This Row],[Salidas]]</f>
        <v>0</v>
      </c>
      <c r="Y1547" s="94"/>
      <c r="Z1547" s="94"/>
      <c r="AA1547" s="94">
        <f>STOCK[[#This Row],[Costo total]]*STOCK[[#This Row],[Entradas]]</f>
        <v>11</v>
      </c>
      <c r="AB1547" s="94">
        <f>STOCK[[#This Row],[Stock Actual]]*STOCK[[#This Row],[Costo total]]</f>
        <v>11</v>
      </c>
      <c r="AC1547" s="94"/>
      <c r="AD1547" s="100"/>
    </row>
    <row r="1548" s="76" customFormat="1" ht="50" customHeight="1" spans="1:30">
      <c r="A1548" s="76" t="s">
        <v>3077</v>
      </c>
      <c r="B1548" s="91" t="str">
        <f>_xlfn.DISPIMG("ID_A91DFB2CBB434112A64908E008E8E85E",1)</f>
        <v>=DISPIMG("ID_A91DFB2CBB434112A64908E008E8E85E",1)</v>
      </c>
      <c r="C1548" s="76" t="s">
        <v>30</v>
      </c>
      <c r="D1548" s="76" t="s">
        <v>733</v>
      </c>
      <c r="E1548" s="76" t="s">
        <v>3078</v>
      </c>
      <c r="H1548" s="94">
        <f>STOCK[[#This Row],[Precio Final]]</f>
        <v>35</v>
      </c>
      <c r="I1548" s="98">
        <f>STOCK[[#This Row],[Precio Venta Ideal (x1.5)]]</f>
        <v>17.25</v>
      </c>
      <c r="J1548" s="91">
        <v>1</v>
      </c>
      <c r="K1548" s="96">
        <f>SUMIFS(VENTAS[Cantidad],VENTAS[Código del producto Vendido],STOCK[[#This Row],[Code]])</f>
        <v>0</v>
      </c>
      <c r="L1548" s="96">
        <f>STOCK[[#This Row],[Entradas]]-STOCK[[#This Row],[Salidas]]</f>
        <v>1</v>
      </c>
      <c r="M1548" s="94">
        <f>STOCK[[#This Row],[Precio Final]]*10%</f>
        <v>3.5</v>
      </c>
      <c r="N1548" s="76">
        <v>0</v>
      </c>
      <c r="O1548" s="94">
        <v>0</v>
      </c>
      <c r="P1548" s="76">
        <v>8</v>
      </c>
      <c r="Q1548" s="91">
        <v>0</v>
      </c>
      <c r="R1548" s="77">
        <v>0</v>
      </c>
      <c r="S1548" s="77">
        <v>0</v>
      </c>
      <c r="T1548" s="94">
        <f>STOCK[[#This Row],[Costo Unitario (USD)]]+STOCK[[#This Row],[Costo Envío (USD)]]+STOCK[[#This Row],[Comisión 10%]]</f>
        <v>11.5</v>
      </c>
      <c r="U1548" s="76">
        <f>STOCK[[#This Row],[Costo total]]*1.5</f>
        <v>17.25</v>
      </c>
      <c r="V1548" s="76">
        <v>35</v>
      </c>
      <c r="W1548" s="94">
        <f>STOCK[[#This Row],[Precio Final]]-STOCK[[#This Row],[Costo total]]</f>
        <v>23.5</v>
      </c>
      <c r="X1548" s="94">
        <f>STOCK[[#This Row],[Ganancia Unitaria]]*STOCK[[#This Row],[Salidas]]</f>
        <v>0</v>
      </c>
      <c r="Y1548" s="94"/>
      <c r="Z1548" s="94"/>
      <c r="AA1548" s="94">
        <f>STOCK[[#This Row],[Costo total]]*STOCK[[#This Row],[Entradas]]</f>
        <v>11.5</v>
      </c>
      <c r="AB1548" s="94">
        <f>STOCK[[#This Row],[Stock Actual]]*STOCK[[#This Row],[Costo total]]</f>
        <v>11.5</v>
      </c>
      <c r="AC1548" s="94"/>
      <c r="AD1548" s="100"/>
    </row>
    <row r="1549" s="76" customFormat="1" ht="50" customHeight="1" spans="1:30">
      <c r="A1549" s="76" t="s">
        <v>3079</v>
      </c>
      <c r="B1549" s="91" t="str">
        <f>_xlfn.DISPIMG("ID_C05C05881E274DF5803BEC4F6C227727",1)</f>
        <v>=DISPIMG("ID_C05C05881E274DF5803BEC4F6C227727",1)</v>
      </c>
      <c r="C1549" s="76" t="s">
        <v>30</v>
      </c>
      <c r="D1549" s="76" t="s">
        <v>733</v>
      </c>
      <c r="E1549" s="76" t="s">
        <v>3080</v>
      </c>
      <c r="H1549" s="94">
        <f>STOCK[[#This Row],[Precio Final]]</f>
        <v>30</v>
      </c>
      <c r="I1549" s="98">
        <f>STOCK[[#This Row],[Precio Venta Ideal (x1.5)]]</f>
        <v>16.5</v>
      </c>
      <c r="J1549" s="91">
        <v>1</v>
      </c>
      <c r="K1549" s="96">
        <f>SUMIFS(VENTAS[Cantidad],VENTAS[Código del producto Vendido],STOCK[[#This Row],[Code]])</f>
        <v>0</v>
      </c>
      <c r="L1549" s="96">
        <f>STOCK[[#This Row],[Entradas]]-STOCK[[#This Row],[Salidas]]</f>
        <v>1</v>
      </c>
      <c r="M1549" s="94">
        <f>STOCK[[#This Row],[Precio Final]]*10%</f>
        <v>3</v>
      </c>
      <c r="N1549" s="77">
        <v>0</v>
      </c>
      <c r="O1549" s="94">
        <v>0</v>
      </c>
      <c r="P1549" s="76">
        <v>8</v>
      </c>
      <c r="Q1549" s="92">
        <v>0</v>
      </c>
      <c r="R1549" s="76">
        <v>0</v>
      </c>
      <c r="S1549" s="77">
        <v>0</v>
      </c>
      <c r="T1549" s="94">
        <f>STOCK[[#This Row],[Costo Unitario (USD)]]+STOCK[[#This Row],[Costo Envío (USD)]]+STOCK[[#This Row],[Comisión 10%]]</f>
        <v>11</v>
      </c>
      <c r="U1549" s="76">
        <f>STOCK[[#This Row],[Costo total]]*1.5</f>
        <v>16.5</v>
      </c>
      <c r="V1549" s="76">
        <v>30</v>
      </c>
      <c r="W1549" s="94">
        <f>STOCK[[#This Row],[Precio Final]]-STOCK[[#This Row],[Costo total]]</f>
        <v>19</v>
      </c>
      <c r="X1549" s="94">
        <f>STOCK[[#This Row],[Ganancia Unitaria]]*STOCK[[#This Row],[Salidas]]</f>
        <v>0</v>
      </c>
      <c r="Y1549" s="94"/>
      <c r="Z1549" s="94"/>
      <c r="AA1549" s="94">
        <f>STOCK[[#This Row],[Costo total]]*STOCK[[#This Row],[Entradas]]</f>
        <v>11</v>
      </c>
      <c r="AB1549" s="94">
        <f>STOCK[[#This Row],[Stock Actual]]*STOCK[[#This Row],[Costo total]]</f>
        <v>11</v>
      </c>
      <c r="AC1549" s="94"/>
      <c r="AD1549" s="100"/>
    </row>
    <row r="1550" s="76" customFormat="1" ht="50" customHeight="1" spans="1:30">
      <c r="A1550" s="76" t="s">
        <v>3081</v>
      </c>
      <c r="B1550" s="91" t="str">
        <f>_xlfn.DISPIMG("ID_6C1C0962176A4D4BB45C4944FB24CA50",1)</f>
        <v>=DISPIMG("ID_6C1C0962176A4D4BB45C4944FB24CA50",1)</v>
      </c>
      <c r="C1550" s="76" t="s">
        <v>30</v>
      </c>
      <c r="D1550" s="76" t="s">
        <v>733</v>
      </c>
      <c r="E1550" s="76" t="s">
        <v>3082</v>
      </c>
      <c r="F1550" s="76" t="s">
        <v>60</v>
      </c>
      <c r="H1550" s="94">
        <f>STOCK[[#This Row],[Precio Final]]</f>
        <v>20</v>
      </c>
      <c r="I1550" s="98">
        <f>STOCK[[#This Row],[Precio Venta Ideal (x1.5)]]</f>
        <v>15</v>
      </c>
      <c r="J1550" s="91">
        <v>1</v>
      </c>
      <c r="K1550" s="96">
        <f>SUMIFS(VENTAS[Cantidad],VENTAS[Código del producto Vendido],STOCK[[#This Row],[Code]])</f>
        <v>0</v>
      </c>
      <c r="L1550" s="96">
        <f>STOCK[[#This Row],[Entradas]]-STOCK[[#This Row],[Salidas]]</f>
        <v>1</v>
      </c>
      <c r="M1550" s="94">
        <f>STOCK[[#This Row],[Precio Final]]*10%</f>
        <v>2</v>
      </c>
      <c r="N1550" s="76">
        <v>0</v>
      </c>
      <c r="O1550" s="94">
        <v>0</v>
      </c>
      <c r="P1550" s="76">
        <v>8</v>
      </c>
      <c r="Q1550" s="91">
        <v>0</v>
      </c>
      <c r="R1550" s="77">
        <v>0</v>
      </c>
      <c r="S1550" s="76">
        <v>0</v>
      </c>
      <c r="T1550" s="94">
        <f>STOCK[[#This Row],[Costo Unitario (USD)]]+STOCK[[#This Row],[Costo Envío (USD)]]+STOCK[[#This Row],[Comisión 10%]]</f>
        <v>10</v>
      </c>
      <c r="U1550" s="76">
        <f>STOCK[[#This Row],[Costo total]]*1.5</f>
        <v>15</v>
      </c>
      <c r="V1550" s="76">
        <v>20</v>
      </c>
      <c r="W1550" s="94">
        <f>STOCK[[#This Row],[Precio Final]]-STOCK[[#This Row],[Costo total]]</f>
        <v>10</v>
      </c>
      <c r="X1550" s="94">
        <f>STOCK[[#This Row],[Ganancia Unitaria]]*STOCK[[#This Row],[Salidas]]</f>
        <v>0</v>
      </c>
      <c r="Y1550" s="94"/>
      <c r="Z1550" s="94"/>
      <c r="AA1550" s="94">
        <f>STOCK[[#This Row],[Costo total]]*STOCK[[#This Row],[Entradas]]</f>
        <v>10</v>
      </c>
      <c r="AB1550" s="94">
        <f>STOCK[[#This Row],[Stock Actual]]*STOCK[[#This Row],[Costo total]]</f>
        <v>10</v>
      </c>
      <c r="AC1550" s="94"/>
      <c r="AD1550" s="100"/>
    </row>
    <row r="1551" s="76" customFormat="1" ht="50" customHeight="1" spans="1:30">
      <c r="A1551" s="76" t="s">
        <v>3083</v>
      </c>
      <c r="B1551" s="91" t="str">
        <f>_xlfn.DISPIMG("ID_983CBCE8D4A04C1791520403A9BA8D8D",1)</f>
        <v>=DISPIMG("ID_983CBCE8D4A04C1791520403A9BA8D8D",1)</v>
      </c>
      <c r="C1551" s="76" t="s">
        <v>30</v>
      </c>
      <c r="D1551" s="76" t="s">
        <v>733</v>
      </c>
      <c r="E1551" s="76" t="s">
        <v>3084</v>
      </c>
      <c r="F1551" s="76" t="s">
        <v>60</v>
      </c>
      <c r="H1551" s="94">
        <f>STOCK[[#This Row],[Precio Final]]</f>
        <v>20</v>
      </c>
      <c r="I1551" s="98">
        <f>STOCK[[#This Row],[Precio Venta Ideal (x1.5)]]</f>
        <v>15</v>
      </c>
      <c r="J1551" s="91">
        <v>1</v>
      </c>
      <c r="K1551" s="96">
        <f>SUMIFS(VENTAS[Cantidad],VENTAS[Código del producto Vendido],STOCK[[#This Row],[Code]])</f>
        <v>0</v>
      </c>
      <c r="L1551" s="96">
        <f>STOCK[[#This Row],[Entradas]]-STOCK[[#This Row],[Salidas]]</f>
        <v>1</v>
      </c>
      <c r="M1551" s="94">
        <f>STOCK[[#This Row],[Precio Final]]*10%</f>
        <v>2</v>
      </c>
      <c r="N1551" s="76">
        <v>0</v>
      </c>
      <c r="O1551" s="94">
        <v>0</v>
      </c>
      <c r="P1551" s="76">
        <v>8</v>
      </c>
      <c r="Q1551" s="91">
        <v>0</v>
      </c>
      <c r="R1551" s="76">
        <v>0</v>
      </c>
      <c r="S1551" s="76">
        <v>0</v>
      </c>
      <c r="T1551" s="94">
        <f>STOCK[[#This Row],[Costo Unitario (USD)]]+STOCK[[#This Row],[Costo Envío (USD)]]+STOCK[[#This Row],[Comisión 10%]]</f>
        <v>10</v>
      </c>
      <c r="U1551" s="76">
        <f>STOCK[[#This Row],[Costo total]]*1.5</f>
        <v>15</v>
      </c>
      <c r="V1551" s="76">
        <v>20</v>
      </c>
      <c r="W1551" s="94">
        <f>STOCK[[#This Row],[Precio Final]]-STOCK[[#This Row],[Costo total]]</f>
        <v>10</v>
      </c>
      <c r="X1551" s="94">
        <f>STOCK[[#This Row],[Ganancia Unitaria]]*STOCK[[#This Row],[Salidas]]</f>
        <v>0</v>
      </c>
      <c r="Y1551" s="94"/>
      <c r="Z1551" s="94"/>
      <c r="AA1551" s="94">
        <f>STOCK[[#This Row],[Costo total]]*STOCK[[#This Row],[Entradas]]</f>
        <v>10</v>
      </c>
      <c r="AB1551" s="94">
        <f>STOCK[[#This Row],[Stock Actual]]*STOCK[[#This Row],[Costo total]]</f>
        <v>10</v>
      </c>
      <c r="AC1551" s="94"/>
      <c r="AD1551" s="100"/>
    </row>
    <row r="1552" s="76" customFormat="1" ht="50" customHeight="1" spans="1:30">
      <c r="A1552" s="76" t="s">
        <v>3085</v>
      </c>
      <c r="B1552" s="91" t="str">
        <f>_xlfn.DISPIMG("ID_A226EDE5909E4F87B1E614E6A87D6A8A",1)</f>
        <v>=DISPIMG("ID_A226EDE5909E4F87B1E614E6A87D6A8A",1)</v>
      </c>
      <c r="C1552" s="76" t="s">
        <v>30</v>
      </c>
      <c r="D1552" s="76" t="s">
        <v>733</v>
      </c>
      <c r="E1552" s="76" t="s">
        <v>3086</v>
      </c>
      <c r="H1552" s="94">
        <f>STOCK[[#This Row],[Precio Final]]</f>
        <v>25</v>
      </c>
      <c r="I1552" s="98">
        <f>STOCK[[#This Row],[Precio Venta Ideal (x1.5)]]</f>
        <v>15.75</v>
      </c>
      <c r="J1552" s="91">
        <v>1</v>
      </c>
      <c r="K1552" s="96">
        <f>SUMIFS(VENTAS[Cantidad],VENTAS[Código del producto Vendido],STOCK[[#This Row],[Code]])</f>
        <v>0</v>
      </c>
      <c r="L1552" s="96">
        <f>STOCK[[#This Row],[Entradas]]-STOCK[[#This Row],[Salidas]]</f>
        <v>1</v>
      </c>
      <c r="M1552" s="94">
        <f>STOCK[[#This Row],[Precio Final]]*10%</f>
        <v>2.5</v>
      </c>
      <c r="N1552" s="77">
        <v>0</v>
      </c>
      <c r="O1552" s="94">
        <v>0</v>
      </c>
      <c r="P1552" s="76">
        <v>8</v>
      </c>
      <c r="Q1552" s="91">
        <v>0</v>
      </c>
      <c r="R1552" s="77">
        <v>0</v>
      </c>
      <c r="S1552" s="77">
        <v>0</v>
      </c>
      <c r="T1552" s="94">
        <f>STOCK[[#This Row],[Costo Unitario (USD)]]+STOCK[[#This Row],[Costo Envío (USD)]]+STOCK[[#This Row],[Comisión 10%]]</f>
        <v>10.5</v>
      </c>
      <c r="U1552" s="76">
        <f>STOCK[[#This Row],[Costo total]]*1.5</f>
        <v>15.75</v>
      </c>
      <c r="V1552" s="76">
        <v>25</v>
      </c>
      <c r="W1552" s="94">
        <f>STOCK[[#This Row],[Precio Final]]-STOCK[[#This Row],[Costo total]]</f>
        <v>14.5</v>
      </c>
      <c r="X1552" s="94">
        <f>STOCK[[#This Row],[Ganancia Unitaria]]*STOCK[[#This Row],[Salidas]]</f>
        <v>0</v>
      </c>
      <c r="Y1552" s="94"/>
      <c r="Z1552" s="94"/>
      <c r="AA1552" s="94">
        <f>STOCK[[#This Row],[Costo total]]*STOCK[[#This Row],[Entradas]]</f>
        <v>10.5</v>
      </c>
      <c r="AB1552" s="94">
        <f>STOCK[[#This Row],[Stock Actual]]*STOCK[[#This Row],[Costo total]]</f>
        <v>10.5</v>
      </c>
      <c r="AC1552" s="94"/>
      <c r="AD1552" s="100"/>
    </row>
    <row r="1553" s="76" customFormat="1" ht="50" customHeight="1" spans="1:30">
      <c r="A1553" s="76" t="s">
        <v>3087</v>
      </c>
      <c r="B1553" s="91" t="str">
        <f>_xlfn.DISPIMG("ID_EED211429BA64BACA72B7F2FF9873304",1)</f>
        <v>=DISPIMG("ID_EED211429BA64BACA72B7F2FF9873304",1)</v>
      </c>
      <c r="C1553" s="76" t="s">
        <v>30</v>
      </c>
      <c r="D1553" s="76" t="s">
        <v>778</v>
      </c>
      <c r="E1553" s="76" t="s">
        <v>3088</v>
      </c>
      <c r="F1553" s="76" t="s">
        <v>44</v>
      </c>
      <c r="H1553" s="94">
        <f>STOCK[[#This Row],[Precio Final]]</f>
        <v>22</v>
      </c>
      <c r="I1553" s="98">
        <f>STOCK[[#This Row],[Precio Venta Ideal (x1.5)]]</f>
        <v>15.3</v>
      </c>
      <c r="J1553" s="91">
        <v>1</v>
      </c>
      <c r="K1553" s="96">
        <f>SUMIFS(VENTAS[Cantidad],VENTAS[Código del producto Vendido],STOCK[[#This Row],[Code]])</f>
        <v>0</v>
      </c>
      <c r="L1553" s="96">
        <f>STOCK[[#This Row],[Entradas]]-STOCK[[#This Row],[Salidas]]</f>
        <v>1</v>
      </c>
      <c r="M1553" s="94">
        <f>STOCK[[#This Row],[Precio Final]]*10%</f>
        <v>2.2</v>
      </c>
      <c r="N1553" s="76">
        <v>0</v>
      </c>
      <c r="O1553" s="94">
        <v>0</v>
      </c>
      <c r="P1553" s="76">
        <v>8</v>
      </c>
      <c r="Q1553" s="92">
        <v>0</v>
      </c>
      <c r="R1553" s="76">
        <v>0</v>
      </c>
      <c r="S1553" s="77">
        <v>0</v>
      </c>
      <c r="T1553" s="94">
        <f>STOCK[[#This Row],[Costo Unitario (USD)]]+STOCK[[#This Row],[Costo Envío (USD)]]+STOCK[[#This Row],[Comisión 10%]]</f>
        <v>10.2</v>
      </c>
      <c r="U1553" s="76">
        <f>STOCK[[#This Row],[Costo total]]*1.5</f>
        <v>15.3</v>
      </c>
      <c r="V1553" s="76">
        <v>22</v>
      </c>
      <c r="W1553" s="94">
        <f>STOCK[[#This Row],[Precio Final]]-STOCK[[#This Row],[Costo total]]</f>
        <v>11.8</v>
      </c>
      <c r="X1553" s="94">
        <f>STOCK[[#This Row],[Ganancia Unitaria]]*STOCK[[#This Row],[Salidas]]</f>
        <v>0</v>
      </c>
      <c r="Y1553" s="94"/>
      <c r="Z1553" s="94"/>
      <c r="AA1553" s="94">
        <f>STOCK[[#This Row],[Costo total]]*STOCK[[#This Row],[Entradas]]</f>
        <v>10.2</v>
      </c>
      <c r="AB1553" s="94">
        <f>STOCK[[#This Row],[Stock Actual]]*STOCK[[#This Row],[Costo total]]</f>
        <v>10.2</v>
      </c>
      <c r="AC1553" s="94"/>
      <c r="AD1553" s="100"/>
    </row>
    <row r="1554" s="76" customFormat="1" ht="50" customHeight="1" spans="1:30">
      <c r="A1554" s="76" t="s">
        <v>3089</v>
      </c>
      <c r="B1554" s="91" t="str">
        <f>_xlfn.DISPIMG("ID_D60116D6E0C0406A8C0F939D86334CF9",1)</f>
        <v>=DISPIMG("ID_D60116D6E0C0406A8C0F939D86334CF9",1)</v>
      </c>
      <c r="C1554" s="76" t="s">
        <v>30</v>
      </c>
      <c r="D1554" s="76" t="s">
        <v>778</v>
      </c>
      <c r="E1554" s="76" t="s">
        <v>3090</v>
      </c>
      <c r="F1554" s="76" t="s">
        <v>44</v>
      </c>
      <c r="H1554" s="94">
        <f>STOCK[[#This Row],[Precio Final]]</f>
        <v>22</v>
      </c>
      <c r="I1554" s="98">
        <f>STOCK[[#This Row],[Precio Venta Ideal (x1.5)]]</f>
        <v>15.3</v>
      </c>
      <c r="J1554" s="91">
        <v>1</v>
      </c>
      <c r="K1554" s="96">
        <f>SUMIFS(VENTAS[Cantidad],VENTAS[Código del producto Vendido],STOCK[[#This Row],[Code]])</f>
        <v>0</v>
      </c>
      <c r="L1554" s="96">
        <f>STOCK[[#This Row],[Entradas]]-STOCK[[#This Row],[Salidas]]</f>
        <v>1</v>
      </c>
      <c r="M1554" s="94">
        <f>STOCK[[#This Row],[Precio Final]]*10%</f>
        <v>2.2</v>
      </c>
      <c r="N1554" s="77">
        <v>0</v>
      </c>
      <c r="O1554" s="94">
        <v>0</v>
      </c>
      <c r="P1554" s="76">
        <v>8</v>
      </c>
      <c r="Q1554" s="91">
        <v>0</v>
      </c>
      <c r="R1554" s="77">
        <v>0</v>
      </c>
      <c r="S1554" s="76">
        <v>0</v>
      </c>
      <c r="T1554" s="94">
        <f>STOCK[[#This Row],[Costo Unitario (USD)]]+STOCK[[#This Row],[Costo Envío (USD)]]+STOCK[[#This Row],[Comisión 10%]]</f>
        <v>10.2</v>
      </c>
      <c r="U1554" s="76">
        <f>STOCK[[#This Row],[Costo total]]*1.5</f>
        <v>15.3</v>
      </c>
      <c r="V1554" s="76">
        <v>22</v>
      </c>
      <c r="W1554" s="94">
        <f>STOCK[[#This Row],[Precio Final]]-STOCK[[#This Row],[Costo total]]</f>
        <v>11.8</v>
      </c>
      <c r="X1554" s="94">
        <f>STOCK[[#This Row],[Ganancia Unitaria]]*STOCK[[#This Row],[Salidas]]</f>
        <v>0</v>
      </c>
      <c r="Y1554" s="94"/>
      <c r="Z1554" s="94"/>
      <c r="AA1554" s="94">
        <f>STOCK[[#This Row],[Costo total]]*STOCK[[#This Row],[Entradas]]</f>
        <v>10.2</v>
      </c>
      <c r="AB1554" s="94">
        <f>STOCK[[#This Row],[Stock Actual]]*STOCK[[#This Row],[Costo total]]</f>
        <v>10.2</v>
      </c>
      <c r="AC1554" s="94"/>
      <c r="AD1554" s="100"/>
    </row>
    <row r="1555" s="76" customFormat="1" ht="50" customHeight="1" spans="1:30">
      <c r="A1555" s="76" t="s">
        <v>3091</v>
      </c>
      <c r="B1555" s="91" t="str">
        <f>_xlfn.DISPIMG("ID_611E317D4601404D973F1AA71F19BB1B",1)</f>
        <v>=DISPIMG("ID_611E317D4601404D973F1AA71F19BB1B",1)</v>
      </c>
      <c r="C1555" s="76" t="s">
        <v>30</v>
      </c>
      <c r="D1555" s="76" t="s">
        <v>778</v>
      </c>
      <c r="E1555" s="76" t="s">
        <v>3090</v>
      </c>
      <c r="F1555" s="76" t="s">
        <v>40</v>
      </c>
      <c r="H1555" s="94">
        <f>STOCK[[#This Row],[Precio Final]]</f>
        <v>22</v>
      </c>
      <c r="I1555" s="98">
        <f>STOCK[[#This Row],[Precio Venta Ideal (x1.5)]]</f>
        <v>15.3</v>
      </c>
      <c r="J1555" s="91">
        <v>1</v>
      </c>
      <c r="K1555" s="96">
        <f>SUMIFS(VENTAS[Cantidad],VENTAS[Código del producto Vendido],STOCK[[#This Row],[Code]])</f>
        <v>0</v>
      </c>
      <c r="L1555" s="96">
        <f>STOCK[[#This Row],[Entradas]]-STOCK[[#This Row],[Salidas]]</f>
        <v>1</v>
      </c>
      <c r="M1555" s="94">
        <f>STOCK[[#This Row],[Precio Final]]*10%</f>
        <v>2.2</v>
      </c>
      <c r="N1555" s="77">
        <v>0</v>
      </c>
      <c r="O1555" s="94">
        <v>0</v>
      </c>
      <c r="P1555" s="76">
        <v>8</v>
      </c>
      <c r="Q1555" s="91">
        <v>0</v>
      </c>
      <c r="R1555" s="76">
        <v>0</v>
      </c>
      <c r="S1555" s="77">
        <v>0</v>
      </c>
      <c r="T1555" s="94">
        <f>STOCK[[#This Row],[Costo Unitario (USD)]]+STOCK[[#This Row],[Costo Envío (USD)]]+STOCK[[#This Row],[Comisión 10%]]</f>
        <v>10.2</v>
      </c>
      <c r="U1555" s="76">
        <f>STOCK[[#This Row],[Costo total]]*1.5</f>
        <v>15.3</v>
      </c>
      <c r="V1555" s="76">
        <v>22</v>
      </c>
      <c r="W1555" s="94">
        <f>STOCK[[#This Row],[Precio Final]]-STOCK[[#This Row],[Costo total]]</f>
        <v>11.8</v>
      </c>
      <c r="X1555" s="94">
        <f>STOCK[[#This Row],[Ganancia Unitaria]]*STOCK[[#This Row],[Salidas]]</f>
        <v>0</v>
      </c>
      <c r="Y1555" s="94"/>
      <c r="Z1555" s="94"/>
      <c r="AA1555" s="94">
        <f>STOCK[[#This Row],[Costo total]]*STOCK[[#This Row],[Entradas]]</f>
        <v>10.2</v>
      </c>
      <c r="AB1555" s="94">
        <f>STOCK[[#This Row],[Stock Actual]]*STOCK[[#This Row],[Costo total]]</f>
        <v>10.2</v>
      </c>
      <c r="AC1555" s="94"/>
      <c r="AD1555" s="100"/>
    </row>
    <row r="1556" s="76" customFormat="1" ht="50" customHeight="1" spans="1:30">
      <c r="A1556" s="76" t="s">
        <v>3092</v>
      </c>
      <c r="B1556" s="91" t="str">
        <f>_xlfn.DISPIMG("ID_2F46D2B8CA1649B9AE80B0FC68C14A3A",1)</f>
        <v>=DISPIMG("ID_2F46D2B8CA1649B9AE80B0FC68C14A3A",1)</v>
      </c>
      <c r="C1556" s="76" t="s">
        <v>30</v>
      </c>
      <c r="D1556" s="76" t="s">
        <v>778</v>
      </c>
      <c r="E1556" s="76" t="s">
        <v>3093</v>
      </c>
      <c r="F1556" s="76" t="s">
        <v>47</v>
      </c>
      <c r="H1556" s="94">
        <f>STOCK[[#This Row],[Precio Final]]</f>
        <v>22</v>
      </c>
      <c r="I1556" s="98">
        <f>STOCK[[#This Row],[Precio Venta Ideal (x1.5)]]</f>
        <v>15.3</v>
      </c>
      <c r="J1556" s="91">
        <v>1</v>
      </c>
      <c r="K1556" s="96">
        <f>SUMIFS(VENTAS[Cantidad],VENTAS[Código del producto Vendido],STOCK[[#This Row],[Code]])</f>
        <v>0</v>
      </c>
      <c r="L1556" s="96">
        <f>STOCK[[#This Row],[Entradas]]-STOCK[[#This Row],[Salidas]]</f>
        <v>1</v>
      </c>
      <c r="M1556" s="94">
        <f>STOCK[[#This Row],[Precio Final]]*10%</f>
        <v>2.2</v>
      </c>
      <c r="N1556" s="76">
        <v>0</v>
      </c>
      <c r="O1556" s="94">
        <v>0</v>
      </c>
      <c r="P1556" s="76">
        <v>8</v>
      </c>
      <c r="Q1556" s="92">
        <v>0</v>
      </c>
      <c r="R1556" s="77">
        <v>0</v>
      </c>
      <c r="S1556" s="77">
        <v>0</v>
      </c>
      <c r="T1556" s="94">
        <f>STOCK[[#This Row],[Costo Unitario (USD)]]+STOCK[[#This Row],[Costo Envío (USD)]]+STOCK[[#This Row],[Comisión 10%]]</f>
        <v>10.2</v>
      </c>
      <c r="U1556" s="76">
        <f>STOCK[[#This Row],[Costo total]]*1.5</f>
        <v>15.3</v>
      </c>
      <c r="V1556" s="76">
        <v>22</v>
      </c>
      <c r="W1556" s="94">
        <f>STOCK[[#This Row],[Precio Final]]-STOCK[[#This Row],[Costo total]]</f>
        <v>11.8</v>
      </c>
      <c r="X1556" s="94">
        <f>STOCK[[#This Row],[Ganancia Unitaria]]*STOCK[[#This Row],[Salidas]]</f>
        <v>0</v>
      </c>
      <c r="Y1556" s="94"/>
      <c r="Z1556" s="94"/>
      <c r="AA1556" s="94">
        <f>STOCK[[#This Row],[Costo total]]*STOCK[[#This Row],[Entradas]]</f>
        <v>10.2</v>
      </c>
      <c r="AB1556" s="94">
        <f>STOCK[[#This Row],[Stock Actual]]*STOCK[[#This Row],[Costo total]]</f>
        <v>10.2</v>
      </c>
      <c r="AC1556" s="94"/>
      <c r="AD1556" s="100"/>
    </row>
    <row r="1557" s="76" customFormat="1" ht="50" customHeight="1" spans="1:30">
      <c r="A1557" s="76" t="s">
        <v>3094</v>
      </c>
      <c r="B1557" s="91" t="str">
        <f>_xlfn.DISPIMG("ID_FBD24FC94EB94F35BE3094CDBAF42CDD",1)</f>
        <v>=DISPIMG("ID_FBD24FC94EB94F35BE3094CDBAF42CDD",1)</v>
      </c>
      <c r="C1557" s="76" t="s">
        <v>30</v>
      </c>
      <c r="D1557" s="76" t="s">
        <v>778</v>
      </c>
      <c r="E1557" s="76" t="s">
        <v>3095</v>
      </c>
      <c r="F1557" s="76" t="s">
        <v>44</v>
      </c>
      <c r="H1557" s="94">
        <f>STOCK[[#This Row],[Precio Final]]</f>
        <v>22</v>
      </c>
      <c r="I1557" s="98">
        <f>STOCK[[#This Row],[Precio Venta Ideal (x1.5)]]</f>
        <v>15.3</v>
      </c>
      <c r="J1557" s="91">
        <v>1</v>
      </c>
      <c r="K1557" s="96">
        <f>SUMIFS(VENTAS[Cantidad],VENTAS[Código del producto Vendido],STOCK[[#This Row],[Code]])</f>
        <v>0</v>
      </c>
      <c r="L1557" s="96">
        <f>STOCK[[#This Row],[Entradas]]-STOCK[[#This Row],[Salidas]]</f>
        <v>1</v>
      </c>
      <c r="M1557" s="94">
        <f>STOCK[[#This Row],[Precio Final]]*10%</f>
        <v>2.2</v>
      </c>
      <c r="N1557" s="77">
        <v>0</v>
      </c>
      <c r="O1557" s="94">
        <v>0</v>
      </c>
      <c r="P1557" s="76">
        <v>8</v>
      </c>
      <c r="Q1557" s="91">
        <v>0</v>
      </c>
      <c r="R1557" s="76">
        <v>0</v>
      </c>
      <c r="S1557" s="76">
        <v>0</v>
      </c>
      <c r="T1557" s="94">
        <f>STOCK[[#This Row],[Costo Unitario (USD)]]+STOCK[[#This Row],[Costo Envío (USD)]]+STOCK[[#This Row],[Comisión 10%]]</f>
        <v>10.2</v>
      </c>
      <c r="U1557" s="76">
        <f>STOCK[[#This Row],[Costo total]]*1.5</f>
        <v>15.3</v>
      </c>
      <c r="V1557" s="76">
        <v>22</v>
      </c>
      <c r="W1557" s="94">
        <f>STOCK[[#This Row],[Precio Final]]-STOCK[[#This Row],[Costo total]]</f>
        <v>11.8</v>
      </c>
      <c r="X1557" s="94">
        <f>STOCK[[#This Row],[Ganancia Unitaria]]*STOCK[[#This Row],[Salidas]]</f>
        <v>0</v>
      </c>
      <c r="Y1557" s="94"/>
      <c r="Z1557" s="94"/>
      <c r="AA1557" s="94">
        <f>STOCK[[#This Row],[Costo total]]*STOCK[[#This Row],[Entradas]]</f>
        <v>10.2</v>
      </c>
      <c r="AB1557" s="94">
        <f>STOCK[[#This Row],[Stock Actual]]*STOCK[[#This Row],[Costo total]]</f>
        <v>10.2</v>
      </c>
      <c r="AC1557" s="94"/>
      <c r="AD1557" s="100"/>
    </row>
    <row r="1558" s="76" customFormat="1" ht="50" customHeight="1" spans="1:30">
      <c r="A1558" s="76" t="s">
        <v>3096</v>
      </c>
      <c r="B1558" s="91" t="str">
        <f>_xlfn.DISPIMG("ID_07AD7DA15D69462BADBED3B2588A0DA3",1)</f>
        <v>=DISPIMG("ID_07AD7DA15D69462BADBED3B2588A0DA3",1)</v>
      </c>
      <c r="C1558" s="76" t="s">
        <v>30</v>
      </c>
      <c r="D1558" s="76" t="s">
        <v>778</v>
      </c>
      <c r="E1558" s="76" t="s">
        <v>3097</v>
      </c>
      <c r="F1558" s="76" t="s">
        <v>47</v>
      </c>
      <c r="H1558" s="94">
        <f>STOCK[[#This Row],[Precio Final]]</f>
        <v>22</v>
      </c>
      <c r="I1558" s="98">
        <f>STOCK[[#This Row],[Precio Venta Ideal (x1.5)]]</f>
        <v>15.3</v>
      </c>
      <c r="J1558" s="91">
        <v>1</v>
      </c>
      <c r="K1558" s="96">
        <f>SUMIFS(VENTAS[Cantidad],VENTAS[Código del producto Vendido],STOCK[[#This Row],[Code]])</f>
        <v>0</v>
      </c>
      <c r="L1558" s="96">
        <f>STOCK[[#This Row],[Entradas]]-STOCK[[#This Row],[Salidas]]</f>
        <v>1</v>
      </c>
      <c r="M1558" s="94">
        <f>STOCK[[#This Row],[Precio Final]]*10%</f>
        <v>2.2</v>
      </c>
      <c r="N1558" s="76">
        <v>0</v>
      </c>
      <c r="O1558" s="94">
        <v>0</v>
      </c>
      <c r="P1558" s="76">
        <v>8</v>
      </c>
      <c r="Q1558" s="91">
        <v>0</v>
      </c>
      <c r="R1558" s="76">
        <v>0</v>
      </c>
      <c r="S1558" s="76">
        <v>0</v>
      </c>
      <c r="T1558" s="94">
        <f>STOCK[[#This Row],[Costo Unitario (USD)]]+STOCK[[#This Row],[Costo Envío (USD)]]+STOCK[[#This Row],[Comisión 10%]]</f>
        <v>10.2</v>
      </c>
      <c r="U1558" s="76">
        <f>STOCK[[#This Row],[Costo total]]*1.5</f>
        <v>15.3</v>
      </c>
      <c r="V1558" s="76">
        <v>22</v>
      </c>
      <c r="W1558" s="94">
        <f>STOCK[[#This Row],[Precio Final]]-STOCK[[#This Row],[Costo total]]</f>
        <v>11.8</v>
      </c>
      <c r="X1558" s="94">
        <f>STOCK[[#This Row],[Ganancia Unitaria]]*STOCK[[#This Row],[Salidas]]</f>
        <v>0</v>
      </c>
      <c r="Y1558" s="94"/>
      <c r="Z1558" s="94"/>
      <c r="AA1558" s="94">
        <f>STOCK[[#This Row],[Costo total]]*STOCK[[#This Row],[Entradas]]</f>
        <v>10.2</v>
      </c>
      <c r="AB1558" s="94">
        <f>STOCK[[#This Row],[Stock Actual]]*STOCK[[#This Row],[Costo total]]</f>
        <v>10.2</v>
      </c>
      <c r="AC1558" s="94"/>
      <c r="AD1558" s="100"/>
    </row>
    <row r="1559" s="76" customFormat="1" ht="50" customHeight="1" spans="1:30">
      <c r="A1559" s="76" t="s">
        <v>3098</v>
      </c>
      <c r="C1559" s="76" t="s">
        <v>30</v>
      </c>
      <c r="D1559" s="76" t="s">
        <v>778</v>
      </c>
      <c r="E1559" s="76" t="s">
        <v>3099</v>
      </c>
      <c r="F1559" s="76" t="s">
        <v>60</v>
      </c>
      <c r="H1559" s="94">
        <f>STOCK[[#This Row],[Precio Final]]</f>
        <v>15</v>
      </c>
      <c r="I1559" s="98">
        <f>STOCK[[#This Row],[Precio Venta Ideal (x1.5)]]</f>
        <v>14.25</v>
      </c>
      <c r="J1559" s="91">
        <v>1</v>
      </c>
      <c r="K1559" s="96">
        <f>SUMIFS(VENTAS[Cantidad],VENTAS[Código del producto Vendido],STOCK[[#This Row],[Code]])</f>
        <v>1</v>
      </c>
      <c r="L1559" s="96">
        <f>STOCK[[#This Row],[Entradas]]-STOCK[[#This Row],[Salidas]]</f>
        <v>0</v>
      </c>
      <c r="M1559" s="94">
        <f>STOCK[[#This Row],[Precio Final]]*10%</f>
        <v>1.5</v>
      </c>
      <c r="N1559" s="76">
        <v>0</v>
      </c>
      <c r="O1559" s="94">
        <v>0</v>
      </c>
      <c r="P1559" s="76">
        <v>8</v>
      </c>
      <c r="Q1559" s="91">
        <v>0</v>
      </c>
      <c r="R1559" s="77">
        <v>0</v>
      </c>
      <c r="S1559" s="77">
        <v>0</v>
      </c>
      <c r="T1559" s="94">
        <f>STOCK[[#This Row],[Costo Unitario (USD)]]+STOCK[[#This Row],[Costo Envío (USD)]]+STOCK[[#This Row],[Comisión 10%]]</f>
        <v>9.5</v>
      </c>
      <c r="U1559" s="76">
        <f>STOCK[[#This Row],[Costo total]]*1.5</f>
        <v>14.25</v>
      </c>
      <c r="V1559" s="76">
        <v>15</v>
      </c>
      <c r="W1559" s="94">
        <f>STOCK[[#This Row],[Precio Final]]-STOCK[[#This Row],[Costo total]]</f>
        <v>5.5</v>
      </c>
      <c r="X1559" s="94">
        <f>STOCK[[#This Row],[Ganancia Unitaria]]*STOCK[[#This Row],[Salidas]]</f>
        <v>5.5</v>
      </c>
      <c r="Y1559" s="94"/>
      <c r="Z1559" s="94"/>
      <c r="AA1559" s="94">
        <f>STOCK[[#This Row],[Costo total]]*STOCK[[#This Row],[Entradas]]</f>
        <v>9.5</v>
      </c>
      <c r="AB1559" s="94">
        <f>STOCK[[#This Row],[Stock Actual]]*STOCK[[#This Row],[Costo total]]</f>
        <v>0</v>
      </c>
      <c r="AC1559" s="94"/>
      <c r="AD1559" s="100"/>
    </row>
    <row r="1560" s="76" customFormat="1" ht="50" customHeight="1" spans="1:30">
      <c r="A1560" s="76" t="s">
        <v>3100</v>
      </c>
      <c r="C1560" s="76" t="s">
        <v>30</v>
      </c>
      <c r="D1560" s="76" t="s">
        <v>3101</v>
      </c>
      <c r="E1560" s="76" t="s">
        <v>3102</v>
      </c>
      <c r="F1560" s="76" t="s">
        <v>47</v>
      </c>
      <c r="H1560" s="94">
        <f>STOCK[[#This Row],[Precio Final]]</f>
        <v>12</v>
      </c>
      <c r="I1560" s="98">
        <f>STOCK[[#This Row],[Precio Venta Ideal (x1.5)]]</f>
        <v>13.8</v>
      </c>
      <c r="J1560" s="91">
        <v>3</v>
      </c>
      <c r="K1560" s="96">
        <f>SUMIFS(VENTAS[Cantidad],VENTAS[Código del producto Vendido],STOCK[[#This Row],[Code]])</f>
        <v>0</v>
      </c>
      <c r="L1560" s="96">
        <f>STOCK[[#This Row],[Entradas]]-STOCK[[#This Row],[Salidas]]</f>
        <v>3</v>
      </c>
      <c r="M1560" s="94">
        <f>STOCK[[#This Row],[Precio Final]]*10%</f>
        <v>1.2</v>
      </c>
      <c r="N1560" s="77">
        <v>0</v>
      </c>
      <c r="O1560" s="94">
        <v>0</v>
      </c>
      <c r="P1560" s="76">
        <v>8</v>
      </c>
      <c r="Q1560" s="92">
        <v>0</v>
      </c>
      <c r="R1560" s="76">
        <v>0</v>
      </c>
      <c r="S1560" s="77">
        <v>0</v>
      </c>
      <c r="T1560" s="94">
        <f>STOCK[[#This Row],[Costo Unitario (USD)]]+STOCK[[#This Row],[Costo Envío (USD)]]+STOCK[[#This Row],[Comisión 10%]]</f>
        <v>9.2</v>
      </c>
      <c r="U1560" s="76">
        <f>STOCK[[#This Row],[Costo total]]*1.5</f>
        <v>13.8</v>
      </c>
      <c r="V1560" s="76">
        <v>12</v>
      </c>
      <c r="W1560" s="94">
        <f>STOCK[[#This Row],[Precio Final]]-STOCK[[#This Row],[Costo total]]</f>
        <v>2.8</v>
      </c>
      <c r="X1560" s="94">
        <f>STOCK[[#This Row],[Ganancia Unitaria]]*STOCK[[#This Row],[Salidas]]</f>
        <v>0</v>
      </c>
      <c r="Y1560" s="94"/>
      <c r="Z1560" s="94"/>
      <c r="AA1560" s="94">
        <f>STOCK[[#This Row],[Costo total]]*STOCK[[#This Row],[Entradas]]</f>
        <v>27.6</v>
      </c>
      <c r="AB1560" s="94">
        <f>STOCK[[#This Row],[Stock Actual]]*STOCK[[#This Row],[Costo total]]</f>
        <v>27.6</v>
      </c>
      <c r="AC1560" s="94"/>
      <c r="AD1560" s="100"/>
    </row>
    <row r="1561" s="76" customFormat="1" ht="50" customHeight="1" spans="1:30">
      <c r="A1561" s="76" t="s">
        <v>3103</v>
      </c>
      <c r="C1561" s="76" t="s">
        <v>30</v>
      </c>
      <c r="D1561" s="76" t="s">
        <v>778</v>
      </c>
      <c r="E1561" s="76" t="s">
        <v>3104</v>
      </c>
      <c r="F1561" s="76" t="s">
        <v>60</v>
      </c>
      <c r="H1561" s="94">
        <f>STOCK[[#This Row],[Precio Final]]</f>
        <v>12</v>
      </c>
      <c r="I1561" s="98">
        <f>STOCK[[#This Row],[Precio Venta Ideal (x1.5)]]</f>
        <v>13.8</v>
      </c>
      <c r="J1561" s="91">
        <v>1</v>
      </c>
      <c r="K1561" s="96">
        <f>SUMIFS(VENTAS[Cantidad],VENTAS[Código del producto Vendido],STOCK[[#This Row],[Code]])</f>
        <v>0</v>
      </c>
      <c r="L1561" s="96">
        <f>STOCK[[#This Row],[Entradas]]-STOCK[[#This Row],[Salidas]]</f>
        <v>1</v>
      </c>
      <c r="M1561" s="94">
        <f>STOCK[[#This Row],[Precio Final]]*10%</f>
        <v>1.2</v>
      </c>
      <c r="N1561" s="77">
        <v>0</v>
      </c>
      <c r="O1561" s="94">
        <v>0</v>
      </c>
      <c r="P1561" s="76">
        <v>8</v>
      </c>
      <c r="Q1561" s="91">
        <v>0</v>
      </c>
      <c r="R1561" s="77">
        <v>0</v>
      </c>
      <c r="S1561" s="76">
        <v>0</v>
      </c>
      <c r="T1561" s="94">
        <f>STOCK[[#This Row],[Costo Unitario (USD)]]+STOCK[[#This Row],[Costo Envío (USD)]]+STOCK[[#This Row],[Comisión 10%]]</f>
        <v>9.2</v>
      </c>
      <c r="U1561" s="76">
        <f>STOCK[[#This Row],[Costo total]]*1.5</f>
        <v>13.8</v>
      </c>
      <c r="V1561" s="76">
        <v>12</v>
      </c>
      <c r="W1561" s="94">
        <f>STOCK[[#This Row],[Precio Final]]-STOCK[[#This Row],[Costo total]]</f>
        <v>2.8</v>
      </c>
      <c r="X1561" s="94">
        <f>STOCK[[#This Row],[Ganancia Unitaria]]*STOCK[[#This Row],[Salidas]]</f>
        <v>0</v>
      </c>
      <c r="Y1561" s="94"/>
      <c r="Z1561" s="94"/>
      <c r="AA1561" s="94">
        <f>STOCK[[#This Row],[Costo total]]*STOCK[[#This Row],[Entradas]]</f>
        <v>9.2</v>
      </c>
      <c r="AB1561" s="94">
        <f>STOCK[[#This Row],[Stock Actual]]*STOCK[[#This Row],[Costo total]]</f>
        <v>9.2</v>
      </c>
      <c r="AC1561" s="94"/>
      <c r="AD1561" s="100"/>
    </row>
    <row r="1562" s="76" customFormat="1" ht="50" customHeight="1" spans="1:30">
      <c r="A1562" s="76" t="s">
        <v>3105</v>
      </c>
      <c r="C1562" s="76" t="s">
        <v>30</v>
      </c>
      <c r="D1562" s="76" t="s">
        <v>778</v>
      </c>
      <c r="E1562" s="76" t="s">
        <v>3106</v>
      </c>
      <c r="F1562" s="76" t="s">
        <v>40</v>
      </c>
      <c r="H1562" s="94">
        <f>STOCK[[#This Row],[Precio Final]]</f>
        <v>15</v>
      </c>
      <c r="I1562" s="98">
        <f>STOCK[[#This Row],[Precio Venta Ideal (x1.5)]]</f>
        <v>14.25</v>
      </c>
      <c r="J1562" s="91">
        <v>1</v>
      </c>
      <c r="K1562" s="96">
        <f>SUMIFS(VENTAS[Cantidad],VENTAS[Código del producto Vendido],STOCK[[#This Row],[Code]])</f>
        <v>0</v>
      </c>
      <c r="L1562" s="96">
        <f>STOCK[[#This Row],[Entradas]]-STOCK[[#This Row],[Salidas]]</f>
        <v>1</v>
      </c>
      <c r="M1562" s="94">
        <f>STOCK[[#This Row],[Precio Final]]*10%</f>
        <v>1.5</v>
      </c>
      <c r="N1562" s="76">
        <v>0</v>
      </c>
      <c r="O1562" s="94">
        <v>0</v>
      </c>
      <c r="P1562" s="76">
        <v>8</v>
      </c>
      <c r="Q1562" s="91">
        <v>0</v>
      </c>
      <c r="R1562" s="76">
        <v>0</v>
      </c>
      <c r="S1562" s="77">
        <v>0</v>
      </c>
      <c r="T1562" s="94">
        <f>STOCK[[#This Row],[Costo Unitario (USD)]]+STOCK[[#This Row],[Costo Envío (USD)]]+STOCK[[#This Row],[Comisión 10%]]</f>
        <v>9.5</v>
      </c>
      <c r="U1562" s="76">
        <f>STOCK[[#This Row],[Costo total]]*1.5</f>
        <v>14.25</v>
      </c>
      <c r="V1562" s="76">
        <v>15</v>
      </c>
      <c r="W1562" s="94">
        <f>STOCK[[#This Row],[Precio Final]]-STOCK[[#This Row],[Costo total]]</f>
        <v>5.5</v>
      </c>
      <c r="X1562" s="94">
        <f>STOCK[[#This Row],[Ganancia Unitaria]]*STOCK[[#This Row],[Salidas]]</f>
        <v>0</v>
      </c>
      <c r="Y1562" s="94"/>
      <c r="Z1562" s="94"/>
      <c r="AA1562" s="94">
        <f>STOCK[[#This Row],[Costo total]]*STOCK[[#This Row],[Entradas]]</f>
        <v>9.5</v>
      </c>
      <c r="AB1562" s="94">
        <f>STOCK[[#This Row],[Stock Actual]]*STOCK[[#This Row],[Costo total]]</f>
        <v>9.5</v>
      </c>
      <c r="AC1562" s="94"/>
      <c r="AD1562" s="100"/>
    </row>
    <row r="1563" s="76" customFormat="1" ht="50" customHeight="1" spans="1:30">
      <c r="A1563" s="76" t="s">
        <v>3107</v>
      </c>
      <c r="C1563" s="76" t="s">
        <v>30</v>
      </c>
      <c r="D1563" s="76" t="s">
        <v>778</v>
      </c>
      <c r="E1563" s="76" t="s">
        <v>3108</v>
      </c>
      <c r="F1563" s="76" t="s">
        <v>60</v>
      </c>
      <c r="H1563" s="94">
        <f>STOCK[[#This Row],[Precio Final]]</f>
        <v>15</v>
      </c>
      <c r="I1563" s="98">
        <f>STOCK[[#This Row],[Precio Venta Ideal (x1.5)]]</f>
        <v>14.25</v>
      </c>
      <c r="J1563" s="91">
        <v>1</v>
      </c>
      <c r="K1563" s="96">
        <f>SUMIFS(VENTAS[Cantidad],VENTAS[Código del producto Vendido],STOCK[[#This Row],[Code]])</f>
        <v>0</v>
      </c>
      <c r="L1563" s="96">
        <f>STOCK[[#This Row],[Entradas]]-STOCK[[#This Row],[Salidas]]</f>
        <v>1</v>
      </c>
      <c r="M1563" s="94">
        <f>STOCK[[#This Row],[Precio Final]]*10%</f>
        <v>1.5</v>
      </c>
      <c r="N1563" s="77">
        <v>0</v>
      </c>
      <c r="O1563" s="94">
        <v>0</v>
      </c>
      <c r="P1563" s="76">
        <v>8</v>
      </c>
      <c r="Q1563" s="92">
        <v>0</v>
      </c>
      <c r="R1563" s="77">
        <v>0</v>
      </c>
      <c r="S1563" s="77">
        <v>0</v>
      </c>
      <c r="T1563" s="94">
        <f>STOCK[[#This Row],[Costo Unitario (USD)]]+STOCK[[#This Row],[Costo Envío (USD)]]+STOCK[[#This Row],[Comisión 10%]]</f>
        <v>9.5</v>
      </c>
      <c r="U1563" s="76">
        <f>STOCK[[#This Row],[Costo total]]*1.5</f>
        <v>14.25</v>
      </c>
      <c r="V1563" s="76">
        <v>15</v>
      </c>
      <c r="W1563" s="94">
        <f>STOCK[[#This Row],[Precio Final]]-STOCK[[#This Row],[Costo total]]</f>
        <v>5.5</v>
      </c>
      <c r="X1563" s="94">
        <f>STOCK[[#This Row],[Ganancia Unitaria]]*STOCK[[#This Row],[Salidas]]</f>
        <v>0</v>
      </c>
      <c r="Y1563" s="94"/>
      <c r="Z1563" s="94"/>
      <c r="AA1563" s="94">
        <f>STOCK[[#This Row],[Costo total]]*STOCK[[#This Row],[Entradas]]</f>
        <v>9.5</v>
      </c>
      <c r="AB1563" s="94">
        <f>STOCK[[#This Row],[Stock Actual]]*STOCK[[#This Row],[Costo total]]</f>
        <v>9.5</v>
      </c>
      <c r="AC1563" s="94"/>
      <c r="AD1563" s="100"/>
    </row>
    <row r="1564" s="76" customFormat="1" ht="50" customHeight="1" spans="1:30">
      <c r="A1564" s="76" t="s">
        <v>3109</v>
      </c>
      <c r="C1564" s="76" t="s">
        <v>30</v>
      </c>
      <c r="D1564" s="76" t="s">
        <v>778</v>
      </c>
      <c r="E1564" s="76" t="s">
        <v>3110</v>
      </c>
      <c r="F1564" s="76" t="s">
        <v>47</v>
      </c>
      <c r="H1564" s="94">
        <f>STOCK[[#This Row],[Precio Final]]</f>
        <v>15</v>
      </c>
      <c r="I1564" s="98">
        <f>STOCK[[#This Row],[Precio Venta Ideal (x1.5)]]</f>
        <v>14.25</v>
      </c>
      <c r="J1564" s="91">
        <v>1</v>
      </c>
      <c r="K1564" s="96">
        <f>SUMIFS(VENTAS[Cantidad],VENTAS[Código del producto Vendido],STOCK[[#This Row],[Code]])</f>
        <v>0</v>
      </c>
      <c r="L1564" s="96">
        <f>STOCK[[#This Row],[Entradas]]-STOCK[[#This Row],[Salidas]]</f>
        <v>1</v>
      </c>
      <c r="M1564" s="94">
        <f>STOCK[[#This Row],[Precio Final]]*10%</f>
        <v>1.5</v>
      </c>
      <c r="N1564" s="76">
        <v>0</v>
      </c>
      <c r="O1564" s="94">
        <v>0</v>
      </c>
      <c r="P1564" s="76">
        <v>8</v>
      </c>
      <c r="Q1564" s="91">
        <v>0</v>
      </c>
      <c r="R1564" s="76">
        <v>0</v>
      </c>
      <c r="S1564" s="76">
        <v>0</v>
      </c>
      <c r="T1564" s="94">
        <f>STOCK[[#This Row],[Costo Unitario (USD)]]+STOCK[[#This Row],[Costo Envío (USD)]]+STOCK[[#This Row],[Comisión 10%]]</f>
        <v>9.5</v>
      </c>
      <c r="U1564" s="76">
        <f>STOCK[[#This Row],[Costo total]]*1.5</f>
        <v>14.25</v>
      </c>
      <c r="V1564" s="76">
        <v>15</v>
      </c>
      <c r="W1564" s="94">
        <f>STOCK[[#This Row],[Precio Final]]-STOCK[[#This Row],[Costo total]]</f>
        <v>5.5</v>
      </c>
      <c r="X1564" s="94">
        <f>STOCK[[#This Row],[Ganancia Unitaria]]*STOCK[[#This Row],[Salidas]]</f>
        <v>0</v>
      </c>
      <c r="Y1564" s="94"/>
      <c r="Z1564" s="94"/>
      <c r="AA1564" s="94">
        <f>STOCK[[#This Row],[Costo total]]*STOCK[[#This Row],[Entradas]]</f>
        <v>9.5</v>
      </c>
      <c r="AB1564" s="94">
        <f>STOCK[[#This Row],[Stock Actual]]*STOCK[[#This Row],[Costo total]]</f>
        <v>9.5</v>
      </c>
      <c r="AC1564" s="94"/>
      <c r="AD1564" s="100"/>
    </row>
    <row r="1565" s="76" customFormat="1" ht="50" customHeight="1" spans="1:30">
      <c r="A1565" s="76" t="s">
        <v>3111</v>
      </c>
      <c r="C1565" s="76" t="s">
        <v>30</v>
      </c>
      <c r="D1565" s="76" t="s">
        <v>778</v>
      </c>
      <c r="E1565" s="76" t="s">
        <v>3112</v>
      </c>
      <c r="F1565" s="76" t="s">
        <v>44</v>
      </c>
      <c r="H1565" s="94">
        <f>STOCK[[#This Row],[Precio Final]]</f>
        <v>15</v>
      </c>
      <c r="I1565" s="98">
        <f>STOCK[[#This Row],[Precio Venta Ideal (x1.5)]]</f>
        <v>14.25</v>
      </c>
      <c r="J1565" s="91">
        <v>2</v>
      </c>
      <c r="K1565" s="96">
        <f>SUMIFS(VENTAS[Cantidad],VENTAS[Código del producto Vendido],STOCK[[#This Row],[Code]])</f>
        <v>0</v>
      </c>
      <c r="L1565" s="96">
        <f>STOCK[[#This Row],[Entradas]]-STOCK[[#This Row],[Salidas]]</f>
        <v>2</v>
      </c>
      <c r="M1565" s="94">
        <f>STOCK[[#This Row],[Precio Final]]*10%</f>
        <v>1.5</v>
      </c>
      <c r="N1565" s="77">
        <v>0</v>
      </c>
      <c r="O1565" s="94">
        <v>0</v>
      </c>
      <c r="P1565" s="76">
        <v>8</v>
      </c>
      <c r="Q1565" s="91">
        <v>0</v>
      </c>
      <c r="R1565" s="77">
        <v>0</v>
      </c>
      <c r="S1565" s="77">
        <v>0</v>
      </c>
      <c r="T1565" s="94">
        <f>STOCK[[#This Row],[Costo Unitario (USD)]]+STOCK[[#This Row],[Costo Envío (USD)]]+STOCK[[#This Row],[Comisión 10%]]</f>
        <v>9.5</v>
      </c>
      <c r="U1565" s="76">
        <f>STOCK[[#This Row],[Costo total]]*1.5</f>
        <v>14.25</v>
      </c>
      <c r="V1565" s="76">
        <v>15</v>
      </c>
      <c r="W1565" s="94">
        <f>STOCK[[#This Row],[Precio Final]]-STOCK[[#This Row],[Costo total]]</f>
        <v>5.5</v>
      </c>
      <c r="X1565" s="94">
        <f>STOCK[[#This Row],[Ganancia Unitaria]]*STOCK[[#This Row],[Salidas]]</f>
        <v>0</v>
      </c>
      <c r="Y1565" s="94"/>
      <c r="Z1565" s="94"/>
      <c r="AA1565" s="94">
        <f>STOCK[[#This Row],[Costo total]]*STOCK[[#This Row],[Entradas]]</f>
        <v>19</v>
      </c>
      <c r="AB1565" s="94">
        <f>STOCK[[#This Row],[Stock Actual]]*STOCK[[#This Row],[Costo total]]</f>
        <v>19</v>
      </c>
      <c r="AC1565" s="94"/>
      <c r="AD1565" s="100"/>
    </row>
    <row r="1566" s="76" customFormat="1" ht="50" customHeight="1" spans="1:30">
      <c r="A1566" s="76" t="s">
        <v>3113</v>
      </c>
      <c r="C1566" s="76" t="s">
        <v>30</v>
      </c>
      <c r="D1566" s="76" t="s">
        <v>778</v>
      </c>
      <c r="E1566" s="76" t="s">
        <v>3114</v>
      </c>
      <c r="F1566" s="76" t="s">
        <v>47</v>
      </c>
      <c r="H1566" s="94">
        <f>STOCK[[#This Row],[Precio Final]]</f>
        <v>15</v>
      </c>
      <c r="I1566" s="98">
        <f>STOCK[[#This Row],[Precio Venta Ideal (x1.5)]]</f>
        <v>14.25</v>
      </c>
      <c r="J1566" s="91">
        <v>1</v>
      </c>
      <c r="K1566" s="96">
        <f>SUMIFS(VENTAS[Cantidad],VENTAS[Código del producto Vendido],STOCK[[#This Row],[Code]])</f>
        <v>0</v>
      </c>
      <c r="L1566" s="96">
        <f>STOCK[[#This Row],[Entradas]]-STOCK[[#This Row],[Salidas]]</f>
        <v>1</v>
      </c>
      <c r="M1566" s="94">
        <f>STOCK[[#This Row],[Precio Final]]*10%</f>
        <v>1.5</v>
      </c>
      <c r="N1566" s="77">
        <v>0</v>
      </c>
      <c r="O1566" s="94">
        <v>0</v>
      </c>
      <c r="P1566" s="76">
        <v>8</v>
      </c>
      <c r="Q1566" s="92">
        <v>0</v>
      </c>
      <c r="R1566" s="76">
        <v>0</v>
      </c>
      <c r="S1566" s="77">
        <v>0</v>
      </c>
      <c r="T1566" s="94">
        <f>STOCK[[#This Row],[Costo Unitario (USD)]]+STOCK[[#This Row],[Costo Envío (USD)]]+STOCK[[#This Row],[Comisión 10%]]</f>
        <v>9.5</v>
      </c>
      <c r="U1566" s="76">
        <f>STOCK[[#This Row],[Costo total]]*1.5</f>
        <v>14.25</v>
      </c>
      <c r="V1566" s="76">
        <v>15</v>
      </c>
      <c r="W1566" s="94">
        <f>STOCK[[#This Row],[Precio Final]]-STOCK[[#This Row],[Costo total]]</f>
        <v>5.5</v>
      </c>
      <c r="X1566" s="94">
        <f>STOCK[[#This Row],[Ganancia Unitaria]]*STOCK[[#This Row],[Salidas]]</f>
        <v>0</v>
      </c>
      <c r="Y1566" s="94"/>
      <c r="Z1566" s="94"/>
      <c r="AA1566" s="94">
        <f>STOCK[[#This Row],[Costo total]]*STOCK[[#This Row],[Entradas]]</f>
        <v>9.5</v>
      </c>
      <c r="AB1566" s="94">
        <f>STOCK[[#This Row],[Stock Actual]]*STOCK[[#This Row],[Costo total]]</f>
        <v>9.5</v>
      </c>
      <c r="AC1566" s="94"/>
      <c r="AD1566" s="100"/>
    </row>
    <row r="1567" s="76" customFormat="1" ht="50" customHeight="1" spans="1:30">
      <c r="A1567" s="76" t="s">
        <v>3115</v>
      </c>
      <c r="C1567" s="76" t="s">
        <v>30</v>
      </c>
      <c r="D1567" s="76" t="s">
        <v>778</v>
      </c>
      <c r="E1567" s="76" t="s">
        <v>3116</v>
      </c>
      <c r="F1567" s="76" t="s">
        <v>60</v>
      </c>
      <c r="H1567" s="94">
        <f>STOCK[[#This Row],[Precio Final]]</f>
        <v>15</v>
      </c>
      <c r="I1567" s="98">
        <f>STOCK[[#This Row],[Precio Venta Ideal (x1.5)]]</f>
        <v>14.25</v>
      </c>
      <c r="J1567" s="91">
        <v>1</v>
      </c>
      <c r="K1567" s="96">
        <f>SUMIFS(VENTAS[Cantidad],VENTAS[Código del producto Vendido],STOCK[[#This Row],[Code]])</f>
        <v>0</v>
      </c>
      <c r="L1567" s="96">
        <f>STOCK[[#This Row],[Entradas]]-STOCK[[#This Row],[Salidas]]</f>
        <v>1</v>
      </c>
      <c r="M1567" s="94">
        <f>STOCK[[#This Row],[Precio Final]]*10%</f>
        <v>1.5</v>
      </c>
      <c r="N1567" s="76">
        <v>0</v>
      </c>
      <c r="O1567" s="94">
        <v>0</v>
      </c>
      <c r="P1567" s="76">
        <v>8</v>
      </c>
      <c r="Q1567" s="91">
        <v>0</v>
      </c>
      <c r="R1567" s="77">
        <v>0</v>
      </c>
      <c r="S1567" s="76">
        <v>0</v>
      </c>
      <c r="T1567" s="94">
        <f>STOCK[[#This Row],[Costo Unitario (USD)]]+STOCK[[#This Row],[Costo Envío (USD)]]+STOCK[[#This Row],[Comisión 10%]]</f>
        <v>9.5</v>
      </c>
      <c r="U1567" s="76">
        <f>STOCK[[#This Row],[Costo total]]*1.5</f>
        <v>14.25</v>
      </c>
      <c r="V1567" s="76">
        <v>15</v>
      </c>
      <c r="W1567" s="94">
        <f>STOCK[[#This Row],[Precio Final]]-STOCK[[#This Row],[Costo total]]</f>
        <v>5.5</v>
      </c>
      <c r="X1567" s="94">
        <f>STOCK[[#This Row],[Ganancia Unitaria]]*STOCK[[#This Row],[Salidas]]</f>
        <v>0</v>
      </c>
      <c r="Y1567" s="94"/>
      <c r="Z1567" s="94"/>
      <c r="AA1567" s="94">
        <f>STOCK[[#This Row],[Costo total]]*STOCK[[#This Row],[Entradas]]</f>
        <v>9.5</v>
      </c>
      <c r="AB1567" s="94">
        <f>STOCK[[#This Row],[Stock Actual]]*STOCK[[#This Row],[Costo total]]</f>
        <v>9.5</v>
      </c>
      <c r="AC1567" s="94"/>
      <c r="AD1567" s="100"/>
    </row>
    <row r="1568" s="76" customFormat="1" ht="50" customHeight="1" spans="1:30">
      <c r="A1568" s="76" t="s">
        <v>3117</v>
      </c>
      <c r="C1568" s="76" t="s">
        <v>30</v>
      </c>
      <c r="D1568" s="76" t="s">
        <v>778</v>
      </c>
      <c r="E1568" s="76" t="s">
        <v>3116</v>
      </c>
      <c r="F1568" s="76" t="s">
        <v>47</v>
      </c>
      <c r="H1568" s="94">
        <f>STOCK[[#This Row],[Precio Final]]</f>
        <v>15</v>
      </c>
      <c r="I1568" s="98">
        <f>STOCK[[#This Row],[Precio Venta Ideal (x1.5)]]</f>
        <v>14.25</v>
      </c>
      <c r="J1568" s="91">
        <v>1</v>
      </c>
      <c r="K1568" s="96">
        <f>SUMIFS(VENTAS[Cantidad],VENTAS[Código del producto Vendido],STOCK[[#This Row],[Code]])</f>
        <v>0</v>
      </c>
      <c r="L1568" s="96">
        <f>STOCK[[#This Row],[Entradas]]-STOCK[[#This Row],[Salidas]]</f>
        <v>1</v>
      </c>
      <c r="M1568" s="94">
        <f>STOCK[[#This Row],[Precio Final]]*10%</f>
        <v>1.5</v>
      </c>
      <c r="N1568" s="77">
        <v>0</v>
      </c>
      <c r="O1568" s="94">
        <v>0</v>
      </c>
      <c r="P1568" s="76">
        <v>8</v>
      </c>
      <c r="Q1568" s="91">
        <v>0</v>
      </c>
      <c r="R1568" s="76">
        <v>0</v>
      </c>
      <c r="S1568" s="77">
        <v>0</v>
      </c>
      <c r="T1568" s="94">
        <f>STOCK[[#This Row],[Costo Unitario (USD)]]+STOCK[[#This Row],[Costo Envío (USD)]]+STOCK[[#This Row],[Comisión 10%]]</f>
        <v>9.5</v>
      </c>
      <c r="U1568" s="76">
        <f>STOCK[[#This Row],[Costo total]]*1.5</f>
        <v>14.25</v>
      </c>
      <c r="V1568" s="76">
        <v>15</v>
      </c>
      <c r="W1568" s="94">
        <f>STOCK[[#This Row],[Precio Final]]-STOCK[[#This Row],[Costo total]]</f>
        <v>5.5</v>
      </c>
      <c r="X1568" s="94">
        <f>STOCK[[#This Row],[Ganancia Unitaria]]*STOCK[[#This Row],[Salidas]]</f>
        <v>0</v>
      </c>
      <c r="Y1568" s="94"/>
      <c r="Z1568" s="94"/>
      <c r="AA1568" s="94">
        <f>STOCK[[#This Row],[Costo total]]*STOCK[[#This Row],[Entradas]]</f>
        <v>9.5</v>
      </c>
      <c r="AB1568" s="94">
        <f>STOCK[[#This Row],[Stock Actual]]*STOCK[[#This Row],[Costo total]]</f>
        <v>9.5</v>
      </c>
      <c r="AC1568" s="94"/>
      <c r="AD1568" s="100"/>
    </row>
    <row r="1569" s="76" customFormat="1" ht="50" customHeight="1" spans="1:30">
      <c r="A1569" s="76" t="s">
        <v>3118</v>
      </c>
      <c r="B1569" s="76" t="s">
        <v>1343</v>
      </c>
      <c r="C1569" s="76" t="s">
        <v>30</v>
      </c>
      <c r="D1569" s="76" t="s">
        <v>778</v>
      </c>
      <c r="E1569" s="76" t="s">
        <v>3119</v>
      </c>
      <c r="F1569" s="76" t="s">
        <v>44</v>
      </c>
      <c r="H1569" s="94">
        <f>STOCK[[#This Row],[Precio Final]]</f>
        <v>15</v>
      </c>
      <c r="I1569" s="98">
        <f>STOCK[[#This Row],[Precio Venta Ideal (x1.5)]]</f>
        <v>14.25</v>
      </c>
      <c r="J1569" s="91">
        <v>1</v>
      </c>
      <c r="K1569" s="96">
        <f>SUMIFS(VENTAS[Cantidad],VENTAS[Código del producto Vendido],STOCK[[#This Row],[Code]])</f>
        <v>0</v>
      </c>
      <c r="L1569" s="96">
        <f>STOCK[[#This Row],[Entradas]]-STOCK[[#This Row],[Salidas]]</f>
        <v>1</v>
      </c>
      <c r="M1569" s="94">
        <f>STOCK[[#This Row],[Precio Final]]*10%</f>
        <v>1.5</v>
      </c>
      <c r="N1569" s="76">
        <v>0</v>
      </c>
      <c r="O1569" s="94">
        <v>0</v>
      </c>
      <c r="P1569" s="76">
        <v>8</v>
      </c>
      <c r="Q1569" s="92">
        <v>0</v>
      </c>
      <c r="R1569" s="77">
        <v>0</v>
      </c>
      <c r="S1569" s="77">
        <v>0</v>
      </c>
      <c r="T1569" s="94">
        <f>STOCK[[#This Row],[Costo Unitario (USD)]]+STOCK[[#This Row],[Costo Envío (USD)]]+STOCK[[#This Row],[Comisión 10%]]</f>
        <v>9.5</v>
      </c>
      <c r="U1569" s="76">
        <f>STOCK[[#This Row],[Costo total]]*1.5</f>
        <v>14.25</v>
      </c>
      <c r="V1569" s="76">
        <v>15</v>
      </c>
      <c r="W1569" s="94">
        <f>STOCK[[#This Row],[Precio Final]]-STOCK[[#This Row],[Costo total]]</f>
        <v>5.5</v>
      </c>
      <c r="X1569" s="94">
        <f>STOCK[[#This Row],[Ganancia Unitaria]]*STOCK[[#This Row],[Salidas]]</f>
        <v>0</v>
      </c>
      <c r="Y1569" s="94"/>
      <c r="Z1569" s="94"/>
      <c r="AA1569" s="94">
        <f>STOCK[[#This Row],[Costo total]]*STOCK[[#This Row],[Entradas]]</f>
        <v>9.5</v>
      </c>
      <c r="AB1569" s="94">
        <f>STOCK[[#This Row],[Stock Actual]]*STOCK[[#This Row],[Costo total]]</f>
        <v>9.5</v>
      </c>
      <c r="AC1569" s="94"/>
      <c r="AD1569" s="100"/>
    </row>
    <row r="1570" s="76" customFormat="1" ht="50" customHeight="1" spans="1:30">
      <c r="A1570" s="76" t="s">
        <v>3120</v>
      </c>
      <c r="B1570" s="76" t="s">
        <v>1343</v>
      </c>
      <c r="C1570" s="76" t="s">
        <v>30</v>
      </c>
      <c r="D1570" s="76" t="s">
        <v>778</v>
      </c>
      <c r="E1570" s="76" t="s">
        <v>3121</v>
      </c>
      <c r="F1570" s="76" t="s">
        <v>47</v>
      </c>
      <c r="H1570" s="94">
        <f>STOCK[[#This Row],[Precio Final]]</f>
        <v>15</v>
      </c>
      <c r="I1570" s="98">
        <f>STOCK[[#This Row],[Precio Venta Ideal (x1.5)]]</f>
        <v>14.25</v>
      </c>
      <c r="J1570" s="91">
        <v>2</v>
      </c>
      <c r="K1570" s="96">
        <f>SUMIFS(VENTAS[Cantidad],VENTAS[Código del producto Vendido],STOCK[[#This Row],[Code]])</f>
        <v>0</v>
      </c>
      <c r="L1570" s="96">
        <f>STOCK[[#This Row],[Entradas]]-STOCK[[#This Row],[Salidas]]</f>
        <v>2</v>
      </c>
      <c r="M1570" s="94">
        <f>STOCK[[#This Row],[Precio Final]]*10%</f>
        <v>1.5</v>
      </c>
      <c r="N1570" s="77">
        <v>0</v>
      </c>
      <c r="O1570" s="94">
        <v>0</v>
      </c>
      <c r="P1570" s="76">
        <v>8</v>
      </c>
      <c r="Q1570" s="91">
        <v>0</v>
      </c>
      <c r="R1570" s="76">
        <v>0</v>
      </c>
      <c r="S1570" s="76">
        <v>0</v>
      </c>
      <c r="T1570" s="94">
        <f>STOCK[[#This Row],[Costo Unitario (USD)]]+STOCK[[#This Row],[Costo Envío (USD)]]+STOCK[[#This Row],[Comisión 10%]]</f>
        <v>9.5</v>
      </c>
      <c r="U1570" s="76">
        <f>STOCK[[#This Row],[Costo total]]*1.5</f>
        <v>14.25</v>
      </c>
      <c r="V1570" s="76">
        <v>15</v>
      </c>
      <c r="W1570" s="94">
        <f>STOCK[[#This Row],[Precio Final]]-STOCK[[#This Row],[Costo total]]</f>
        <v>5.5</v>
      </c>
      <c r="X1570" s="94">
        <f>STOCK[[#This Row],[Ganancia Unitaria]]*STOCK[[#This Row],[Salidas]]</f>
        <v>0</v>
      </c>
      <c r="Y1570" s="94"/>
      <c r="Z1570" s="94"/>
      <c r="AA1570" s="94">
        <f>STOCK[[#This Row],[Costo total]]*STOCK[[#This Row],[Entradas]]</f>
        <v>19</v>
      </c>
      <c r="AB1570" s="94">
        <f>STOCK[[#This Row],[Stock Actual]]*STOCK[[#This Row],[Costo total]]</f>
        <v>19</v>
      </c>
      <c r="AC1570" s="94"/>
      <c r="AD1570" s="100"/>
    </row>
    <row r="1571" s="76" customFormat="1" ht="50" customHeight="1" spans="1:30">
      <c r="A1571" s="76" t="s">
        <v>3122</v>
      </c>
      <c r="B1571" s="76" t="s">
        <v>1343</v>
      </c>
      <c r="C1571" s="76" t="s">
        <v>30</v>
      </c>
      <c r="D1571" s="76" t="s">
        <v>778</v>
      </c>
      <c r="E1571" s="76" t="s">
        <v>3121</v>
      </c>
      <c r="F1571" s="76" t="s">
        <v>60</v>
      </c>
      <c r="H1571" s="94">
        <f>STOCK[[#This Row],[Precio Final]]</f>
        <v>15</v>
      </c>
      <c r="I1571" s="98">
        <f>STOCK[[#This Row],[Precio Venta Ideal (x1.5)]]</f>
        <v>14.25</v>
      </c>
      <c r="J1571" s="91">
        <v>1</v>
      </c>
      <c r="K1571" s="96">
        <f>SUMIFS(VENTAS[Cantidad],VENTAS[Código del producto Vendido],STOCK[[#This Row],[Code]])</f>
        <v>0</v>
      </c>
      <c r="L1571" s="96">
        <f>STOCK[[#This Row],[Entradas]]-STOCK[[#This Row],[Salidas]]</f>
        <v>1</v>
      </c>
      <c r="M1571" s="94">
        <f>STOCK[[#This Row],[Precio Final]]*10%</f>
        <v>1.5</v>
      </c>
      <c r="N1571" s="77">
        <v>0</v>
      </c>
      <c r="O1571" s="94">
        <v>0</v>
      </c>
      <c r="P1571" s="76">
        <v>8</v>
      </c>
      <c r="Q1571" s="91">
        <v>0</v>
      </c>
      <c r="R1571" s="77">
        <v>0</v>
      </c>
      <c r="S1571" s="77">
        <v>0</v>
      </c>
      <c r="T1571" s="94">
        <f>STOCK[[#This Row],[Costo Unitario (USD)]]+STOCK[[#This Row],[Costo Envío (USD)]]+STOCK[[#This Row],[Comisión 10%]]</f>
        <v>9.5</v>
      </c>
      <c r="U1571" s="76">
        <f>STOCK[[#This Row],[Costo total]]*1.5</f>
        <v>14.25</v>
      </c>
      <c r="V1571" s="76">
        <v>15</v>
      </c>
      <c r="W1571" s="94">
        <f>STOCK[[#This Row],[Precio Final]]-STOCK[[#This Row],[Costo total]]</f>
        <v>5.5</v>
      </c>
      <c r="X1571" s="94">
        <f>STOCK[[#This Row],[Ganancia Unitaria]]*STOCK[[#This Row],[Salidas]]</f>
        <v>0</v>
      </c>
      <c r="Y1571" s="94"/>
      <c r="Z1571" s="94"/>
      <c r="AA1571" s="94">
        <f>STOCK[[#This Row],[Costo total]]*STOCK[[#This Row],[Entradas]]</f>
        <v>9.5</v>
      </c>
      <c r="AB1571" s="94">
        <f>STOCK[[#This Row],[Stock Actual]]*STOCK[[#This Row],[Costo total]]</f>
        <v>9.5</v>
      </c>
      <c r="AC1571" s="94"/>
      <c r="AD1571" s="100"/>
    </row>
    <row r="1572" s="76" customFormat="1" ht="50" customHeight="1" spans="1:30">
      <c r="A1572" s="76" t="s">
        <v>3123</v>
      </c>
      <c r="B1572" s="76" t="s">
        <v>1343</v>
      </c>
      <c r="C1572" s="76" t="s">
        <v>30</v>
      </c>
      <c r="D1572" s="76" t="s">
        <v>778</v>
      </c>
      <c r="E1572" s="76" t="s">
        <v>3124</v>
      </c>
      <c r="F1572" s="76" t="s">
        <v>44</v>
      </c>
      <c r="H1572" s="94">
        <f>STOCK[[#This Row],[Precio Final]]</f>
        <v>15</v>
      </c>
      <c r="I1572" s="98">
        <f>STOCK[[#This Row],[Precio Venta Ideal (x1.5)]]</f>
        <v>14.25</v>
      </c>
      <c r="J1572" s="91">
        <v>1</v>
      </c>
      <c r="K1572" s="96">
        <f>SUMIFS(VENTAS[Cantidad],VENTAS[Código del producto Vendido],STOCK[[#This Row],[Code]])</f>
        <v>0</v>
      </c>
      <c r="L1572" s="96">
        <f>STOCK[[#This Row],[Entradas]]-STOCK[[#This Row],[Salidas]]</f>
        <v>1</v>
      </c>
      <c r="M1572" s="94">
        <f>STOCK[[#This Row],[Precio Final]]*10%</f>
        <v>1.5</v>
      </c>
      <c r="N1572" s="76">
        <v>0</v>
      </c>
      <c r="O1572" s="94">
        <v>0</v>
      </c>
      <c r="P1572" s="76">
        <v>8</v>
      </c>
      <c r="Q1572" s="92">
        <v>0</v>
      </c>
      <c r="R1572" s="76">
        <v>0</v>
      </c>
      <c r="S1572" s="77">
        <v>0</v>
      </c>
      <c r="T1572" s="94">
        <f>STOCK[[#This Row],[Costo Unitario (USD)]]+STOCK[[#This Row],[Costo Envío (USD)]]+STOCK[[#This Row],[Comisión 10%]]</f>
        <v>9.5</v>
      </c>
      <c r="U1572" s="76">
        <f>STOCK[[#This Row],[Costo total]]*1.5</f>
        <v>14.25</v>
      </c>
      <c r="V1572" s="76">
        <v>15</v>
      </c>
      <c r="W1572" s="94">
        <f>STOCK[[#This Row],[Precio Final]]-STOCK[[#This Row],[Costo total]]</f>
        <v>5.5</v>
      </c>
      <c r="X1572" s="94">
        <f>STOCK[[#This Row],[Ganancia Unitaria]]*STOCK[[#This Row],[Salidas]]</f>
        <v>0</v>
      </c>
      <c r="Y1572" s="94"/>
      <c r="Z1572" s="94"/>
      <c r="AA1572" s="94">
        <f>STOCK[[#This Row],[Costo total]]*STOCK[[#This Row],[Entradas]]</f>
        <v>9.5</v>
      </c>
      <c r="AB1572" s="94">
        <f>STOCK[[#This Row],[Stock Actual]]*STOCK[[#This Row],[Costo total]]</f>
        <v>9.5</v>
      </c>
      <c r="AC1572" s="94"/>
      <c r="AD1572" s="100"/>
    </row>
    <row r="1573" s="76" customFormat="1" ht="50" customHeight="1" spans="1:30">
      <c r="A1573" s="76" t="s">
        <v>3125</v>
      </c>
      <c r="B1573" s="76" t="s">
        <v>1343</v>
      </c>
      <c r="C1573" s="76" t="s">
        <v>30</v>
      </c>
      <c r="D1573" s="76" t="s">
        <v>778</v>
      </c>
      <c r="E1573" s="76" t="s">
        <v>3126</v>
      </c>
      <c r="F1573" s="76" t="s">
        <v>47</v>
      </c>
      <c r="H1573" s="94">
        <f>STOCK[[#This Row],[Precio Final]]</f>
        <v>15</v>
      </c>
      <c r="I1573" s="98">
        <f>STOCK[[#This Row],[Precio Venta Ideal (x1.5)]]</f>
        <v>14.25</v>
      </c>
      <c r="J1573" s="91">
        <v>1</v>
      </c>
      <c r="K1573" s="96">
        <f>SUMIFS(VENTAS[Cantidad],VENTAS[Código del producto Vendido],STOCK[[#This Row],[Code]])</f>
        <v>0</v>
      </c>
      <c r="L1573" s="96">
        <f>STOCK[[#This Row],[Entradas]]-STOCK[[#This Row],[Salidas]]</f>
        <v>1</v>
      </c>
      <c r="M1573" s="94">
        <f>STOCK[[#This Row],[Precio Final]]*10%</f>
        <v>1.5</v>
      </c>
      <c r="N1573" s="77">
        <v>0</v>
      </c>
      <c r="O1573" s="94">
        <v>0</v>
      </c>
      <c r="P1573" s="76">
        <v>8</v>
      </c>
      <c r="Q1573" s="91">
        <v>0</v>
      </c>
      <c r="R1573" s="77">
        <v>0</v>
      </c>
      <c r="S1573" s="76">
        <v>0</v>
      </c>
      <c r="T1573" s="94">
        <f>STOCK[[#This Row],[Costo Unitario (USD)]]+STOCK[[#This Row],[Costo Envío (USD)]]+STOCK[[#This Row],[Comisión 10%]]</f>
        <v>9.5</v>
      </c>
      <c r="U1573" s="76">
        <f>STOCK[[#This Row],[Costo total]]*1.5</f>
        <v>14.25</v>
      </c>
      <c r="V1573" s="76">
        <v>15</v>
      </c>
      <c r="W1573" s="94">
        <f>STOCK[[#This Row],[Precio Final]]-STOCK[[#This Row],[Costo total]]</f>
        <v>5.5</v>
      </c>
      <c r="X1573" s="94">
        <f>STOCK[[#This Row],[Ganancia Unitaria]]*STOCK[[#This Row],[Salidas]]</f>
        <v>0</v>
      </c>
      <c r="Y1573" s="94"/>
      <c r="Z1573" s="94"/>
      <c r="AA1573" s="94">
        <f>STOCK[[#This Row],[Costo total]]*STOCK[[#This Row],[Entradas]]</f>
        <v>9.5</v>
      </c>
      <c r="AB1573" s="94">
        <f>STOCK[[#This Row],[Stock Actual]]*STOCK[[#This Row],[Costo total]]</f>
        <v>9.5</v>
      </c>
      <c r="AC1573" s="94"/>
      <c r="AD1573" s="100"/>
    </row>
    <row r="1574" s="76" customFormat="1" ht="50" customHeight="1" spans="1:30">
      <c r="A1574" s="76" t="s">
        <v>3127</v>
      </c>
      <c r="B1574" s="76" t="s">
        <v>1343</v>
      </c>
      <c r="C1574" s="76" t="s">
        <v>30</v>
      </c>
      <c r="D1574" s="76" t="s">
        <v>778</v>
      </c>
      <c r="E1574" s="76" t="s">
        <v>3128</v>
      </c>
      <c r="F1574" s="76" t="s">
        <v>47</v>
      </c>
      <c r="H1574" s="94">
        <f>STOCK[[#This Row],[Precio Final]]</f>
        <v>15</v>
      </c>
      <c r="I1574" s="98">
        <f>STOCK[[#This Row],[Precio Venta Ideal (x1.5)]]</f>
        <v>14.25</v>
      </c>
      <c r="J1574" s="91">
        <v>1</v>
      </c>
      <c r="K1574" s="96">
        <f>SUMIFS(VENTAS[Cantidad],VENTAS[Código del producto Vendido],STOCK[[#This Row],[Code]])</f>
        <v>0</v>
      </c>
      <c r="L1574" s="96">
        <f>STOCK[[#This Row],[Entradas]]-STOCK[[#This Row],[Salidas]]</f>
        <v>1</v>
      </c>
      <c r="M1574" s="94">
        <f>STOCK[[#This Row],[Precio Final]]*10%</f>
        <v>1.5</v>
      </c>
      <c r="N1574" s="77">
        <v>0</v>
      </c>
      <c r="O1574" s="94">
        <v>0</v>
      </c>
      <c r="P1574" s="76">
        <v>8</v>
      </c>
      <c r="Q1574" s="91">
        <v>0</v>
      </c>
      <c r="R1574" s="76">
        <v>0</v>
      </c>
      <c r="S1574" s="77">
        <v>0</v>
      </c>
      <c r="T1574" s="94">
        <f>STOCK[[#This Row],[Costo Unitario (USD)]]+STOCK[[#This Row],[Costo Envío (USD)]]+STOCK[[#This Row],[Comisión 10%]]</f>
        <v>9.5</v>
      </c>
      <c r="U1574" s="76">
        <f>STOCK[[#This Row],[Costo total]]*1.5</f>
        <v>14.25</v>
      </c>
      <c r="V1574" s="76">
        <v>15</v>
      </c>
      <c r="W1574" s="94">
        <f>STOCK[[#This Row],[Precio Final]]-STOCK[[#This Row],[Costo total]]</f>
        <v>5.5</v>
      </c>
      <c r="X1574" s="94">
        <f>STOCK[[#This Row],[Ganancia Unitaria]]*STOCK[[#This Row],[Salidas]]</f>
        <v>0</v>
      </c>
      <c r="Y1574" s="94"/>
      <c r="Z1574" s="94"/>
      <c r="AA1574" s="94">
        <f>STOCK[[#This Row],[Costo total]]*STOCK[[#This Row],[Entradas]]</f>
        <v>9.5</v>
      </c>
      <c r="AB1574" s="94">
        <f>STOCK[[#This Row],[Stock Actual]]*STOCK[[#This Row],[Costo total]]</f>
        <v>9.5</v>
      </c>
      <c r="AC1574" s="94"/>
      <c r="AD1574" s="100"/>
    </row>
    <row r="1575" s="76" customFormat="1" ht="50" customHeight="1" spans="1:30">
      <c r="A1575" s="76" t="s">
        <v>3129</v>
      </c>
      <c r="B1575" s="91" t="str">
        <f>_xlfn.DISPIMG("ID_B2F0DA59D3134DF5852A0AA32494D198",1)</f>
        <v>=DISPIMG("ID_B2F0DA59D3134DF5852A0AA32494D198",1)</v>
      </c>
      <c r="C1575" s="76" t="s">
        <v>30</v>
      </c>
      <c r="D1575" s="76" t="s">
        <v>778</v>
      </c>
      <c r="E1575" s="76" t="s">
        <v>3130</v>
      </c>
      <c r="F1575" s="76" t="s">
        <v>47</v>
      </c>
      <c r="H1575" s="94">
        <f>STOCK[[#This Row],[Precio Final]]</f>
        <v>15</v>
      </c>
      <c r="I1575" s="98">
        <f>STOCK[[#This Row],[Precio Venta Ideal (x1.5)]]</f>
        <v>14.25</v>
      </c>
      <c r="J1575" s="91">
        <v>1</v>
      </c>
      <c r="K1575" s="96">
        <f>SUMIFS(VENTAS[Cantidad],VENTAS[Código del producto Vendido],STOCK[[#This Row],[Code]])</f>
        <v>0</v>
      </c>
      <c r="L1575" s="96">
        <f>STOCK[[#This Row],[Entradas]]-STOCK[[#This Row],[Salidas]]</f>
        <v>1</v>
      </c>
      <c r="M1575" s="94">
        <f>STOCK[[#This Row],[Precio Final]]*10%</f>
        <v>1.5</v>
      </c>
      <c r="N1575" s="76">
        <v>0</v>
      </c>
      <c r="O1575" s="94">
        <v>0</v>
      </c>
      <c r="P1575" s="76">
        <v>8</v>
      </c>
      <c r="Q1575" s="92">
        <v>0</v>
      </c>
      <c r="R1575" s="77">
        <v>0</v>
      </c>
      <c r="S1575" s="77">
        <v>0</v>
      </c>
      <c r="T1575" s="94">
        <f>STOCK[[#This Row],[Costo Unitario (USD)]]+STOCK[[#This Row],[Costo Envío (USD)]]+STOCK[[#This Row],[Comisión 10%]]</f>
        <v>9.5</v>
      </c>
      <c r="U1575" s="76">
        <f>STOCK[[#This Row],[Costo total]]*1.5</f>
        <v>14.25</v>
      </c>
      <c r="V1575" s="76">
        <v>15</v>
      </c>
      <c r="W1575" s="94">
        <f>STOCK[[#This Row],[Precio Final]]-STOCK[[#This Row],[Costo total]]</f>
        <v>5.5</v>
      </c>
      <c r="X1575" s="94">
        <f>STOCK[[#This Row],[Ganancia Unitaria]]*STOCK[[#This Row],[Salidas]]</f>
        <v>0</v>
      </c>
      <c r="Y1575" s="94"/>
      <c r="Z1575" s="94"/>
      <c r="AA1575" s="94">
        <f>STOCK[[#This Row],[Costo total]]*STOCK[[#This Row],[Entradas]]</f>
        <v>9.5</v>
      </c>
      <c r="AB1575" s="94">
        <f>STOCK[[#This Row],[Stock Actual]]*STOCK[[#This Row],[Costo total]]</f>
        <v>9.5</v>
      </c>
      <c r="AC1575" s="94"/>
      <c r="AD1575" s="100"/>
    </row>
    <row r="1576" s="76" customFormat="1" ht="50" customHeight="1" spans="1:30">
      <c r="A1576" s="76" t="s">
        <v>3131</v>
      </c>
      <c r="B1576" s="91" t="str">
        <f>_xlfn.DISPIMG("ID_31956D4F45564DECB64E4FB538B7E2E8",1)</f>
        <v>=DISPIMG("ID_31956D4F45564DECB64E4FB538B7E2E8",1)</v>
      </c>
      <c r="C1576" s="76" t="s">
        <v>30</v>
      </c>
      <c r="D1576" s="76" t="s">
        <v>778</v>
      </c>
      <c r="E1576" s="76" t="s">
        <v>3132</v>
      </c>
      <c r="F1576" s="76" t="s">
        <v>44</v>
      </c>
      <c r="H1576" s="94">
        <f>STOCK[[#This Row],[Precio Final]]</f>
        <v>15</v>
      </c>
      <c r="I1576" s="98">
        <f>STOCK[[#This Row],[Precio Venta Ideal (x1.5)]]</f>
        <v>14.25</v>
      </c>
      <c r="J1576" s="91">
        <v>1</v>
      </c>
      <c r="K1576" s="96">
        <f>SUMIFS(VENTAS[Cantidad],VENTAS[Código del producto Vendido],STOCK[[#This Row],[Code]])</f>
        <v>0</v>
      </c>
      <c r="L1576" s="96">
        <f>STOCK[[#This Row],[Entradas]]-STOCK[[#This Row],[Salidas]]</f>
        <v>1</v>
      </c>
      <c r="M1576" s="94">
        <f>STOCK[[#This Row],[Precio Final]]*10%</f>
        <v>1.5</v>
      </c>
      <c r="N1576" s="77">
        <v>0</v>
      </c>
      <c r="O1576" s="94">
        <v>0</v>
      </c>
      <c r="P1576" s="76">
        <v>8</v>
      </c>
      <c r="Q1576" s="91">
        <v>0</v>
      </c>
      <c r="R1576" s="76">
        <v>0</v>
      </c>
      <c r="S1576" s="76">
        <v>0</v>
      </c>
      <c r="T1576" s="94">
        <f>STOCK[[#This Row],[Costo Unitario (USD)]]+STOCK[[#This Row],[Costo Envío (USD)]]+STOCK[[#This Row],[Comisión 10%]]</f>
        <v>9.5</v>
      </c>
      <c r="U1576" s="76">
        <f>STOCK[[#This Row],[Costo total]]*1.5</f>
        <v>14.25</v>
      </c>
      <c r="V1576" s="76">
        <v>15</v>
      </c>
      <c r="W1576" s="94">
        <f>STOCK[[#This Row],[Precio Final]]-STOCK[[#This Row],[Costo total]]</f>
        <v>5.5</v>
      </c>
      <c r="X1576" s="94">
        <f>STOCK[[#This Row],[Ganancia Unitaria]]*STOCK[[#This Row],[Salidas]]</f>
        <v>0</v>
      </c>
      <c r="Y1576" s="94"/>
      <c r="Z1576" s="94"/>
      <c r="AA1576" s="94">
        <f>STOCK[[#This Row],[Costo total]]*STOCK[[#This Row],[Entradas]]</f>
        <v>9.5</v>
      </c>
      <c r="AB1576" s="94">
        <f>STOCK[[#This Row],[Stock Actual]]*STOCK[[#This Row],[Costo total]]</f>
        <v>9.5</v>
      </c>
      <c r="AC1576" s="94"/>
      <c r="AD1576" s="100"/>
    </row>
    <row r="1577" s="76" customFormat="1" ht="50" customHeight="1" spans="1:30">
      <c r="A1577" s="76" t="s">
        <v>3133</v>
      </c>
      <c r="B1577" s="76" t="s">
        <v>1343</v>
      </c>
      <c r="C1577" s="76" t="s">
        <v>30</v>
      </c>
      <c r="D1577" s="76" t="s">
        <v>778</v>
      </c>
      <c r="E1577" s="76" t="s">
        <v>3134</v>
      </c>
      <c r="F1577" s="76" t="s">
        <v>44</v>
      </c>
      <c r="H1577" s="94">
        <f>STOCK[[#This Row],[Precio Final]]</f>
        <v>15</v>
      </c>
      <c r="I1577" s="98">
        <f>STOCK[[#This Row],[Precio Venta Ideal (x1.5)]]</f>
        <v>14.25</v>
      </c>
      <c r="J1577" s="91">
        <v>1</v>
      </c>
      <c r="K1577" s="96">
        <f>SUMIFS(VENTAS[Cantidad],VENTAS[Código del producto Vendido],STOCK[[#This Row],[Code]])</f>
        <v>0</v>
      </c>
      <c r="L1577" s="96">
        <f>STOCK[[#This Row],[Entradas]]-STOCK[[#This Row],[Salidas]]</f>
        <v>1</v>
      </c>
      <c r="M1577" s="94">
        <f>STOCK[[#This Row],[Precio Final]]*10%</f>
        <v>1.5</v>
      </c>
      <c r="N1577" s="77">
        <v>0</v>
      </c>
      <c r="O1577" s="94">
        <v>0</v>
      </c>
      <c r="P1577" s="76">
        <v>8</v>
      </c>
      <c r="Q1577" s="91">
        <v>0</v>
      </c>
      <c r="R1577" s="77">
        <v>0</v>
      </c>
      <c r="S1577" s="77">
        <v>0</v>
      </c>
      <c r="T1577" s="94">
        <f>STOCK[[#This Row],[Costo Unitario (USD)]]+STOCK[[#This Row],[Costo Envío (USD)]]+STOCK[[#This Row],[Comisión 10%]]</f>
        <v>9.5</v>
      </c>
      <c r="U1577" s="76">
        <f>STOCK[[#This Row],[Costo total]]*1.5</f>
        <v>14.25</v>
      </c>
      <c r="V1577" s="76">
        <v>15</v>
      </c>
      <c r="W1577" s="94">
        <f>STOCK[[#This Row],[Precio Final]]-STOCK[[#This Row],[Costo total]]</f>
        <v>5.5</v>
      </c>
      <c r="X1577" s="94">
        <f>STOCK[[#This Row],[Ganancia Unitaria]]*STOCK[[#This Row],[Salidas]]</f>
        <v>0</v>
      </c>
      <c r="Y1577" s="94"/>
      <c r="Z1577" s="94"/>
      <c r="AA1577" s="94">
        <f>STOCK[[#This Row],[Costo total]]*STOCK[[#This Row],[Entradas]]</f>
        <v>9.5</v>
      </c>
      <c r="AB1577" s="94">
        <f>STOCK[[#This Row],[Stock Actual]]*STOCK[[#This Row],[Costo total]]</f>
        <v>9.5</v>
      </c>
      <c r="AC1577" s="94"/>
      <c r="AD1577" s="100"/>
    </row>
    <row r="1578" s="76" customFormat="1" ht="50" customHeight="1" spans="1:30">
      <c r="A1578" s="76" t="s">
        <v>3135</v>
      </c>
      <c r="B1578" s="91" t="str">
        <f>_xlfn.DISPIMG("ID_DEAF5ABB441341CA9DA766385E1F6670",1)</f>
        <v>=DISPIMG("ID_DEAF5ABB441341CA9DA766385E1F6670",1)</v>
      </c>
      <c r="C1578" s="76" t="s">
        <v>30</v>
      </c>
      <c r="D1578" s="76" t="s">
        <v>778</v>
      </c>
      <c r="E1578" s="76" t="s">
        <v>3136</v>
      </c>
      <c r="F1578" s="76" t="s">
        <v>44</v>
      </c>
      <c r="H1578" s="94">
        <f>STOCK[[#This Row],[Precio Final]]</f>
        <v>15</v>
      </c>
      <c r="I1578" s="98">
        <f>STOCK[[#This Row],[Precio Venta Ideal (x1.5)]]</f>
        <v>14.25</v>
      </c>
      <c r="J1578" s="91">
        <v>1</v>
      </c>
      <c r="K1578" s="96">
        <f>SUMIFS(VENTAS[Cantidad],VENTAS[Código del producto Vendido],STOCK[[#This Row],[Code]])</f>
        <v>0</v>
      </c>
      <c r="L1578" s="96">
        <f>STOCK[[#This Row],[Entradas]]-STOCK[[#This Row],[Salidas]]</f>
        <v>1</v>
      </c>
      <c r="M1578" s="94">
        <f>STOCK[[#This Row],[Precio Final]]*10%</f>
        <v>1.5</v>
      </c>
      <c r="N1578" s="76">
        <v>0</v>
      </c>
      <c r="O1578" s="94">
        <v>0</v>
      </c>
      <c r="P1578" s="76">
        <v>8</v>
      </c>
      <c r="Q1578" s="92">
        <v>0</v>
      </c>
      <c r="R1578" s="76">
        <v>0</v>
      </c>
      <c r="S1578" s="77">
        <v>0</v>
      </c>
      <c r="T1578" s="94">
        <f>STOCK[[#This Row],[Costo Unitario (USD)]]+STOCK[[#This Row],[Costo Envío (USD)]]+STOCK[[#This Row],[Comisión 10%]]</f>
        <v>9.5</v>
      </c>
      <c r="U1578" s="76">
        <f>STOCK[[#This Row],[Costo total]]*1.5</f>
        <v>14.25</v>
      </c>
      <c r="V1578" s="76">
        <v>15</v>
      </c>
      <c r="W1578" s="94">
        <f>STOCK[[#This Row],[Precio Final]]-STOCK[[#This Row],[Costo total]]</f>
        <v>5.5</v>
      </c>
      <c r="X1578" s="94">
        <f>STOCK[[#This Row],[Ganancia Unitaria]]*STOCK[[#This Row],[Salidas]]</f>
        <v>0</v>
      </c>
      <c r="Y1578" s="94"/>
      <c r="Z1578" s="94"/>
      <c r="AA1578" s="94">
        <f>STOCK[[#This Row],[Costo total]]*STOCK[[#This Row],[Entradas]]</f>
        <v>9.5</v>
      </c>
      <c r="AB1578" s="94">
        <f>STOCK[[#This Row],[Stock Actual]]*STOCK[[#This Row],[Costo total]]</f>
        <v>9.5</v>
      </c>
      <c r="AC1578" s="94"/>
      <c r="AD1578" s="100"/>
    </row>
    <row r="1579" s="76" customFormat="1" ht="50" customHeight="1" spans="1:30">
      <c r="A1579" s="76" t="s">
        <v>3137</v>
      </c>
      <c r="B1579" s="91" t="str">
        <f>_xlfn.DISPIMG("ID_A13CCF7F3F7A4E1CAD293BF92EEFFC56",1)</f>
        <v>=DISPIMG("ID_A13CCF7F3F7A4E1CAD293BF92EEFFC56",1)</v>
      </c>
      <c r="C1579" s="76" t="s">
        <v>30</v>
      </c>
      <c r="D1579" s="76" t="s">
        <v>778</v>
      </c>
      <c r="E1579" s="76" t="s">
        <v>3138</v>
      </c>
      <c r="F1579" s="76" t="s">
        <v>38</v>
      </c>
      <c r="H1579" s="94">
        <f>STOCK[[#This Row],[Precio Final]]</f>
        <v>15</v>
      </c>
      <c r="I1579" s="98">
        <f>STOCK[[#This Row],[Precio Venta Ideal (x1.5)]]</f>
        <v>14.25</v>
      </c>
      <c r="J1579" s="91">
        <v>1</v>
      </c>
      <c r="K1579" s="96">
        <f>SUMIFS(VENTAS[Cantidad],VENTAS[Código del producto Vendido],STOCK[[#This Row],[Code]])</f>
        <v>0</v>
      </c>
      <c r="L1579" s="96">
        <f>STOCK[[#This Row],[Entradas]]-STOCK[[#This Row],[Salidas]]</f>
        <v>1</v>
      </c>
      <c r="M1579" s="94">
        <f>STOCK[[#This Row],[Precio Final]]*10%</f>
        <v>1.5</v>
      </c>
      <c r="N1579" s="77">
        <v>0</v>
      </c>
      <c r="O1579" s="94">
        <v>0</v>
      </c>
      <c r="P1579" s="76">
        <v>8</v>
      </c>
      <c r="Q1579" s="91">
        <v>0</v>
      </c>
      <c r="R1579" s="77">
        <v>0</v>
      </c>
      <c r="S1579" s="76">
        <v>0</v>
      </c>
      <c r="T1579" s="94">
        <f>STOCK[[#This Row],[Costo Unitario (USD)]]+STOCK[[#This Row],[Costo Envío (USD)]]+STOCK[[#This Row],[Comisión 10%]]</f>
        <v>9.5</v>
      </c>
      <c r="U1579" s="76">
        <f>STOCK[[#This Row],[Costo total]]*1.5</f>
        <v>14.25</v>
      </c>
      <c r="V1579" s="76">
        <v>15</v>
      </c>
      <c r="W1579" s="94">
        <f>STOCK[[#This Row],[Precio Final]]-STOCK[[#This Row],[Costo total]]</f>
        <v>5.5</v>
      </c>
      <c r="X1579" s="94">
        <f>STOCK[[#This Row],[Ganancia Unitaria]]*STOCK[[#This Row],[Salidas]]</f>
        <v>0</v>
      </c>
      <c r="Y1579" s="94"/>
      <c r="Z1579" s="94"/>
      <c r="AA1579" s="94">
        <f>STOCK[[#This Row],[Costo total]]*STOCK[[#This Row],[Entradas]]</f>
        <v>9.5</v>
      </c>
      <c r="AB1579" s="94">
        <f>STOCK[[#This Row],[Stock Actual]]*STOCK[[#This Row],[Costo total]]</f>
        <v>9.5</v>
      </c>
      <c r="AC1579" s="94"/>
      <c r="AD1579" s="100"/>
    </row>
    <row r="1580" s="76" customFormat="1" ht="50" customHeight="1" spans="1:30">
      <c r="A1580" s="76" t="s">
        <v>3139</v>
      </c>
      <c r="B1580" s="91" t="str">
        <f>_xlfn.DISPIMG("ID_F6391F3813FA4E8FA4EC1E07ADF257DE",1)</f>
        <v>=DISPIMG("ID_F6391F3813FA4E8FA4EC1E07ADF257DE",1)</v>
      </c>
      <c r="C1580" s="76" t="s">
        <v>30</v>
      </c>
      <c r="D1580" s="76" t="s">
        <v>778</v>
      </c>
      <c r="E1580" s="76" t="s">
        <v>3140</v>
      </c>
      <c r="F1580" s="76" t="s">
        <v>47</v>
      </c>
      <c r="H1580" s="94">
        <f>STOCK[[#This Row],[Precio Final]]</f>
        <v>22</v>
      </c>
      <c r="I1580" s="98">
        <f>STOCK[[#This Row],[Precio Venta Ideal (x1.5)]]</f>
        <v>21.3</v>
      </c>
      <c r="J1580" s="91">
        <v>1</v>
      </c>
      <c r="K1580" s="96">
        <f>SUMIFS(VENTAS[Cantidad],VENTAS[Código del producto Vendido],STOCK[[#This Row],[Code]])</f>
        <v>0</v>
      </c>
      <c r="L1580" s="96">
        <f>STOCK[[#This Row],[Entradas]]-STOCK[[#This Row],[Salidas]]</f>
        <v>1</v>
      </c>
      <c r="M1580" s="94">
        <f>STOCK[[#This Row],[Precio Final]]*10%</f>
        <v>2.2</v>
      </c>
      <c r="N1580" s="77">
        <v>0</v>
      </c>
      <c r="O1580" s="94">
        <v>0</v>
      </c>
      <c r="P1580" s="76">
        <v>12</v>
      </c>
      <c r="Q1580" s="91">
        <v>0</v>
      </c>
      <c r="R1580" s="76">
        <v>0</v>
      </c>
      <c r="S1580" s="77">
        <v>0</v>
      </c>
      <c r="T1580" s="94">
        <f>STOCK[[#This Row],[Costo Unitario (USD)]]+STOCK[[#This Row],[Costo Envío (USD)]]+STOCK[[#This Row],[Comisión 10%]]</f>
        <v>14.2</v>
      </c>
      <c r="U1580" s="76">
        <f>STOCK[[#This Row],[Costo total]]*1.5</f>
        <v>21.3</v>
      </c>
      <c r="V1580" s="76">
        <v>22</v>
      </c>
      <c r="W1580" s="94">
        <f>STOCK[[#This Row],[Precio Final]]-STOCK[[#This Row],[Costo total]]</f>
        <v>7.8</v>
      </c>
      <c r="X1580" s="94">
        <f>STOCK[[#This Row],[Ganancia Unitaria]]*STOCK[[#This Row],[Salidas]]</f>
        <v>0</v>
      </c>
      <c r="Y1580" s="94"/>
      <c r="Z1580" s="94"/>
      <c r="AA1580" s="94">
        <f>STOCK[[#This Row],[Costo total]]*STOCK[[#This Row],[Entradas]]</f>
        <v>14.2</v>
      </c>
      <c r="AB1580" s="94">
        <f>STOCK[[#This Row],[Stock Actual]]*STOCK[[#This Row],[Costo total]]</f>
        <v>14.2</v>
      </c>
      <c r="AC1580" s="94"/>
      <c r="AD1580" s="100"/>
    </row>
    <row r="1581" s="76" customFormat="1" ht="50" customHeight="1" spans="1:30">
      <c r="A1581" s="76" t="s">
        <v>3141</v>
      </c>
      <c r="C1581" s="76" t="s">
        <v>30</v>
      </c>
      <c r="D1581" s="76" t="s">
        <v>778</v>
      </c>
      <c r="E1581" s="76" t="s">
        <v>3142</v>
      </c>
      <c r="F1581" s="76" t="s">
        <v>60</v>
      </c>
      <c r="H1581" s="94">
        <f>STOCK[[#This Row],[Precio Final]]</f>
        <v>25</v>
      </c>
      <c r="I1581" s="98">
        <f>STOCK[[#This Row],[Precio Venta Ideal (x1.5)]]</f>
        <v>21.75</v>
      </c>
      <c r="J1581" s="91">
        <v>1</v>
      </c>
      <c r="K1581" s="96">
        <f>SUMIFS(VENTAS[Cantidad],VENTAS[Código del producto Vendido],STOCK[[#This Row],[Code]])</f>
        <v>1</v>
      </c>
      <c r="L1581" s="96">
        <f>STOCK[[#This Row],[Entradas]]-STOCK[[#This Row],[Salidas]]</f>
        <v>0</v>
      </c>
      <c r="M1581" s="94">
        <f>STOCK[[#This Row],[Precio Final]]*10%</f>
        <v>2.5</v>
      </c>
      <c r="N1581" s="76">
        <v>0</v>
      </c>
      <c r="O1581" s="94">
        <v>0</v>
      </c>
      <c r="P1581" s="76">
        <v>12</v>
      </c>
      <c r="Q1581" s="92">
        <v>0</v>
      </c>
      <c r="R1581" s="77">
        <v>0</v>
      </c>
      <c r="S1581" s="77">
        <v>0</v>
      </c>
      <c r="T1581" s="94">
        <f>STOCK[[#This Row],[Costo Unitario (USD)]]+STOCK[[#This Row],[Costo Envío (USD)]]+STOCK[[#This Row],[Comisión 10%]]</f>
        <v>14.5</v>
      </c>
      <c r="U1581" s="76">
        <f>STOCK[[#This Row],[Costo total]]*1.5</f>
        <v>21.75</v>
      </c>
      <c r="V1581" s="76">
        <v>25</v>
      </c>
      <c r="W1581" s="94">
        <f>STOCK[[#This Row],[Precio Final]]-STOCK[[#This Row],[Costo total]]</f>
        <v>10.5</v>
      </c>
      <c r="X1581" s="94">
        <f>STOCK[[#This Row],[Ganancia Unitaria]]*STOCK[[#This Row],[Salidas]]</f>
        <v>10.5</v>
      </c>
      <c r="Y1581" s="94"/>
      <c r="Z1581" s="94"/>
      <c r="AA1581" s="94">
        <f>STOCK[[#This Row],[Costo total]]*STOCK[[#This Row],[Entradas]]</f>
        <v>14.5</v>
      </c>
      <c r="AB1581" s="94">
        <f>STOCK[[#This Row],[Stock Actual]]*STOCK[[#This Row],[Costo total]]</f>
        <v>0</v>
      </c>
      <c r="AC1581" s="94"/>
      <c r="AD1581" s="100"/>
    </row>
    <row r="1582" s="76" customFormat="1" ht="50" customHeight="1" spans="1:30">
      <c r="A1582" s="76" t="s">
        <v>3143</v>
      </c>
      <c r="B1582" s="91" t="str">
        <f>_xlfn.DISPIMG("ID_315F63E0D5474F3D9FF9A5DDC0C4A126",1)</f>
        <v>=DISPIMG("ID_315F63E0D5474F3D9FF9A5DDC0C4A126",1)</v>
      </c>
      <c r="C1582" s="76" t="s">
        <v>30</v>
      </c>
      <c r="D1582" s="76" t="s">
        <v>778</v>
      </c>
      <c r="E1582" s="76" t="s">
        <v>3144</v>
      </c>
      <c r="F1582" s="76" t="s">
        <v>38</v>
      </c>
      <c r="H1582" s="94">
        <f>STOCK[[#This Row],[Precio Final]]</f>
        <v>25</v>
      </c>
      <c r="I1582" s="98">
        <f>STOCK[[#This Row],[Precio Venta Ideal (x1.5)]]</f>
        <v>21.75</v>
      </c>
      <c r="J1582" s="91">
        <v>1</v>
      </c>
      <c r="K1582" s="96">
        <f>SUMIFS(VENTAS[Cantidad],VENTAS[Código del producto Vendido],STOCK[[#This Row],[Code]])</f>
        <v>0</v>
      </c>
      <c r="L1582" s="96">
        <f>STOCK[[#This Row],[Entradas]]-STOCK[[#This Row],[Salidas]]</f>
        <v>1</v>
      </c>
      <c r="M1582" s="94">
        <f>STOCK[[#This Row],[Precio Final]]*10%</f>
        <v>2.5</v>
      </c>
      <c r="N1582" s="77">
        <v>0</v>
      </c>
      <c r="O1582" s="94">
        <v>0</v>
      </c>
      <c r="P1582" s="76">
        <v>12</v>
      </c>
      <c r="Q1582" s="91">
        <v>0</v>
      </c>
      <c r="R1582" s="76">
        <v>0</v>
      </c>
      <c r="S1582" s="76">
        <v>0</v>
      </c>
      <c r="T1582" s="94">
        <f>STOCK[[#This Row],[Costo Unitario (USD)]]+STOCK[[#This Row],[Costo Envío (USD)]]+STOCK[[#This Row],[Comisión 10%]]</f>
        <v>14.5</v>
      </c>
      <c r="U1582" s="76">
        <f>STOCK[[#This Row],[Costo total]]*1.5</f>
        <v>21.75</v>
      </c>
      <c r="V1582" s="76">
        <v>25</v>
      </c>
      <c r="W1582" s="94">
        <f>STOCK[[#This Row],[Precio Final]]-STOCK[[#This Row],[Costo total]]</f>
        <v>10.5</v>
      </c>
      <c r="X1582" s="94">
        <f>STOCK[[#This Row],[Ganancia Unitaria]]*STOCK[[#This Row],[Salidas]]</f>
        <v>0</v>
      </c>
      <c r="Y1582" s="94"/>
      <c r="Z1582" s="94"/>
      <c r="AA1582" s="94">
        <f>STOCK[[#This Row],[Costo total]]*STOCK[[#This Row],[Entradas]]</f>
        <v>14.5</v>
      </c>
      <c r="AB1582" s="94">
        <f>STOCK[[#This Row],[Stock Actual]]*STOCK[[#This Row],[Costo total]]</f>
        <v>14.5</v>
      </c>
      <c r="AC1582" s="94"/>
      <c r="AD1582" s="100"/>
    </row>
    <row r="1583" s="76" customFormat="1" ht="50" customHeight="1" spans="1:30">
      <c r="A1583" s="76" t="s">
        <v>3145</v>
      </c>
      <c r="B1583" s="91" t="str">
        <f>_xlfn.DISPIMG("ID_677C6FEC13954461A125BE698441BF2E",1)</f>
        <v>=DISPIMG("ID_677C6FEC13954461A125BE698441BF2E",1)</v>
      </c>
      <c r="C1583" s="76" t="s">
        <v>30</v>
      </c>
      <c r="D1583" s="76" t="s">
        <v>778</v>
      </c>
      <c r="E1583" s="76" t="s">
        <v>3146</v>
      </c>
      <c r="F1583" s="76" t="s">
        <v>60</v>
      </c>
      <c r="H1583" s="94">
        <f>STOCK[[#This Row],[Precio Final]]</f>
        <v>25</v>
      </c>
      <c r="I1583" s="98">
        <f>STOCK[[#This Row],[Precio Venta Ideal (x1.5)]]</f>
        <v>21.75</v>
      </c>
      <c r="J1583" s="91">
        <v>1</v>
      </c>
      <c r="K1583" s="96">
        <f>SUMIFS(VENTAS[Cantidad],VENTAS[Código del producto Vendido],STOCK[[#This Row],[Code]])</f>
        <v>0</v>
      </c>
      <c r="L1583" s="96">
        <f>STOCK[[#This Row],[Entradas]]-STOCK[[#This Row],[Salidas]]</f>
        <v>1</v>
      </c>
      <c r="M1583" s="94">
        <f>STOCK[[#This Row],[Precio Final]]*10%</f>
        <v>2.5</v>
      </c>
      <c r="N1583" s="77">
        <v>0</v>
      </c>
      <c r="O1583" s="94">
        <v>0</v>
      </c>
      <c r="P1583" s="76">
        <v>12</v>
      </c>
      <c r="Q1583" s="91">
        <v>0</v>
      </c>
      <c r="R1583" s="77">
        <v>0</v>
      </c>
      <c r="S1583" s="77">
        <v>0</v>
      </c>
      <c r="T1583" s="94">
        <f>STOCK[[#This Row],[Costo Unitario (USD)]]+STOCK[[#This Row],[Costo Envío (USD)]]+STOCK[[#This Row],[Comisión 10%]]</f>
        <v>14.5</v>
      </c>
      <c r="U1583" s="76">
        <f>STOCK[[#This Row],[Costo total]]*1.5</f>
        <v>21.75</v>
      </c>
      <c r="V1583" s="76">
        <v>25</v>
      </c>
      <c r="W1583" s="94">
        <f>STOCK[[#This Row],[Precio Final]]-STOCK[[#This Row],[Costo total]]</f>
        <v>10.5</v>
      </c>
      <c r="X1583" s="94">
        <f>STOCK[[#This Row],[Ganancia Unitaria]]*STOCK[[#This Row],[Salidas]]</f>
        <v>0</v>
      </c>
      <c r="Y1583" s="94"/>
      <c r="Z1583" s="94"/>
      <c r="AA1583" s="94">
        <f>STOCK[[#This Row],[Costo total]]*STOCK[[#This Row],[Entradas]]</f>
        <v>14.5</v>
      </c>
      <c r="AB1583" s="94">
        <f>STOCK[[#This Row],[Stock Actual]]*STOCK[[#This Row],[Costo total]]</f>
        <v>14.5</v>
      </c>
      <c r="AC1583" s="94"/>
      <c r="AD1583" s="100"/>
    </row>
    <row r="1584" s="76" customFormat="1" ht="50" customHeight="1" spans="1:30">
      <c r="A1584" s="76" t="s">
        <v>3147</v>
      </c>
      <c r="B1584" s="91" t="str">
        <f>_xlfn.DISPIMG("ID_889E5EDE8DBF42C6AEB0EA24F37D82AF",1)</f>
        <v>=DISPIMG("ID_889E5EDE8DBF42C6AEB0EA24F37D82AF",1)</v>
      </c>
      <c r="C1584" s="76" t="s">
        <v>30</v>
      </c>
      <c r="D1584" s="76" t="s">
        <v>778</v>
      </c>
      <c r="E1584" s="76" t="s">
        <v>3148</v>
      </c>
      <c r="F1584" s="76" t="s">
        <v>60</v>
      </c>
      <c r="H1584" s="94">
        <f>STOCK[[#This Row],[Precio Final]]</f>
        <v>25</v>
      </c>
      <c r="I1584" s="98">
        <f>STOCK[[#This Row],[Precio Venta Ideal (x1.5)]]</f>
        <v>21.75</v>
      </c>
      <c r="J1584" s="91">
        <v>1</v>
      </c>
      <c r="K1584" s="96">
        <f>SUMIFS(VENTAS[Cantidad],VENTAS[Código del producto Vendido],STOCK[[#This Row],[Code]])</f>
        <v>0</v>
      </c>
      <c r="L1584" s="96">
        <f>STOCK[[#This Row],[Entradas]]-STOCK[[#This Row],[Salidas]]</f>
        <v>1</v>
      </c>
      <c r="M1584" s="94">
        <f>STOCK[[#This Row],[Precio Final]]*10%</f>
        <v>2.5</v>
      </c>
      <c r="N1584" s="76">
        <v>0</v>
      </c>
      <c r="O1584" s="94">
        <v>0</v>
      </c>
      <c r="P1584" s="76">
        <v>12</v>
      </c>
      <c r="Q1584" s="92">
        <v>0</v>
      </c>
      <c r="R1584" s="76">
        <v>0</v>
      </c>
      <c r="S1584" s="77">
        <v>0</v>
      </c>
      <c r="T1584" s="94">
        <f>STOCK[[#This Row],[Costo Unitario (USD)]]+STOCK[[#This Row],[Costo Envío (USD)]]+STOCK[[#This Row],[Comisión 10%]]</f>
        <v>14.5</v>
      </c>
      <c r="U1584" s="76">
        <f>STOCK[[#This Row],[Costo total]]*1.5</f>
        <v>21.75</v>
      </c>
      <c r="V1584" s="76">
        <v>25</v>
      </c>
      <c r="W1584" s="94">
        <f>STOCK[[#This Row],[Precio Final]]-STOCK[[#This Row],[Costo total]]</f>
        <v>10.5</v>
      </c>
      <c r="X1584" s="94">
        <f>STOCK[[#This Row],[Ganancia Unitaria]]*STOCK[[#This Row],[Salidas]]</f>
        <v>0</v>
      </c>
      <c r="Y1584" s="94"/>
      <c r="Z1584" s="94"/>
      <c r="AA1584" s="94">
        <f>STOCK[[#This Row],[Costo total]]*STOCK[[#This Row],[Entradas]]</f>
        <v>14.5</v>
      </c>
      <c r="AB1584" s="94">
        <f>STOCK[[#This Row],[Stock Actual]]*STOCK[[#This Row],[Costo total]]</f>
        <v>14.5</v>
      </c>
      <c r="AC1584" s="94"/>
      <c r="AD1584" s="100"/>
    </row>
    <row r="1585" s="76" customFormat="1" ht="50" customHeight="1" spans="1:30">
      <c r="A1585" s="76" t="s">
        <v>3149</v>
      </c>
      <c r="B1585" s="91" t="str">
        <f>_xlfn.DISPIMG("ID_C124F5B9512D4E3CA04E0645BE99C60D",1)</f>
        <v>=DISPIMG("ID_C124F5B9512D4E3CA04E0645BE99C60D",1)</v>
      </c>
      <c r="C1585" s="76" t="s">
        <v>30</v>
      </c>
      <c r="D1585" s="76" t="s">
        <v>778</v>
      </c>
      <c r="E1585" s="76" t="s">
        <v>3150</v>
      </c>
      <c r="F1585" s="76" t="s">
        <v>47</v>
      </c>
      <c r="H1585" s="94">
        <f>STOCK[[#This Row],[Precio Final]]</f>
        <v>25</v>
      </c>
      <c r="I1585" s="98">
        <f>STOCK[[#This Row],[Precio Venta Ideal (x1.5)]]</f>
        <v>21.75</v>
      </c>
      <c r="J1585" s="91">
        <v>1</v>
      </c>
      <c r="K1585" s="96">
        <f>SUMIFS(VENTAS[Cantidad],VENTAS[Código del producto Vendido],STOCK[[#This Row],[Code]])</f>
        <v>0</v>
      </c>
      <c r="L1585" s="96">
        <f>STOCK[[#This Row],[Entradas]]-STOCK[[#This Row],[Salidas]]</f>
        <v>1</v>
      </c>
      <c r="M1585" s="94">
        <f>STOCK[[#This Row],[Precio Final]]*10%</f>
        <v>2.5</v>
      </c>
      <c r="N1585" s="77">
        <v>0</v>
      </c>
      <c r="O1585" s="94">
        <v>0</v>
      </c>
      <c r="P1585" s="76">
        <v>12</v>
      </c>
      <c r="Q1585" s="91">
        <v>0</v>
      </c>
      <c r="R1585" s="77">
        <v>0</v>
      </c>
      <c r="S1585" s="76">
        <v>0</v>
      </c>
      <c r="T1585" s="94">
        <f>STOCK[[#This Row],[Costo Unitario (USD)]]+STOCK[[#This Row],[Costo Envío (USD)]]+STOCK[[#This Row],[Comisión 10%]]</f>
        <v>14.5</v>
      </c>
      <c r="U1585" s="76">
        <f>STOCK[[#This Row],[Costo total]]*1.5</f>
        <v>21.75</v>
      </c>
      <c r="V1585" s="76">
        <v>25</v>
      </c>
      <c r="W1585" s="94">
        <f>STOCK[[#This Row],[Precio Final]]-STOCK[[#This Row],[Costo total]]</f>
        <v>10.5</v>
      </c>
      <c r="X1585" s="94">
        <f>STOCK[[#This Row],[Ganancia Unitaria]]*STOCK[[#This Row],[Salidas]]</f>
        <v>0</v>
      </c>
      <c r="Y1585" s="94"/>
      <c r="Z1585" s="94"/>
      <c r="AA1585" s="94">
        <f>STOCK[[#This Row],[Costo total]]*STOCK[[#This Row],[Entradas]]</f>
        <v>14.5</v>
      </c>
      <c r="AB1585" s="94">
        <f>STOCK[[#This Row],[Stock Actual]]*STOCK[[#This Row],[Costo total]]</f>
        <v>14.5</v>
      </c>
      <c r="AC1585" s="94"/>
      <c r="AD1585" s="100"/>
    </row>
    <row r="1586" s="76" customFormat="1" ht="50" customHeight="1" spans="1:30">
      <c r="A1586" s="76" t="s">
        <v>3151</v>
      </c>
      <c r="B1586" s="91" t="str">
        <f>_xlfn.DISPIMG("ID_894A73110135420E8DEE306F1483BDB8",1)</f>
        <v>=DISPIMG("ID_894A73110135420E8DEE306F1483BDB8",1)</v>
      </c>
      <c r="C1586" s="76" t="s">
        <v>30</v>
      </c>
      <c r="D1586" s="76" t="s">
        <v>778</v>
      </c>
      <c r="E1586" s="76" t="s">
        <v>3152</v>
      </c>
      <c r="F1586" s="76" t="s">
        <v>60</v>
      </c>
      <c r="H1586" s="94">
        <f>STOCK[[#This Row],[Precio Final]]</f>
        <v>20</v>
      </c>
      <c r="I1586" s="98">
        <f>STOCK[[#This Row],[Precio Venta Ideal (x1.5)]]</f>
        <v>21</v>
      </c>
      <c r="J1586" s="91">
        <v>1</v>
      </c>
      <c r="K1586" s="96">
        <f>SUMIFS(VENTAS[Cantidad],VENTAS[Código del producto Vendido],STOCK[[#This Row],[Code]])</f>
        <v>0</v>
      </c>
      <c r="L1586" s="96">
        <f>STOCK[[#This Row],[Entradas]]-STOCK[[#This Row],[Salidas]]</f>
        <v>1</v>
      </c>
      <c r="M1586" s="94">
        <f>STOCK[[#This Row],[Precio Final]]*10%</f>
        <v>2</v>
      </c>
      <c r="N1586" s="77">
        <v>0</v>
      </c>
      <c r="O1586" s="94">
        <v>0</v>
      </c>
      <c r="P1586" s="76">
        <v>12</v>
      </c>
      <c r="Q1586" s="91">
        <v>0</v>
      </c>
      <c r="R1586" s="76">
        <v>0</v>
      </c>
      <c r="S1586" s="77">
        <v>0</v>
      </c>
      <c r="T1586" s="94">
        <f>STOCK[[#This Row],[Costo Unitario (USD)]]+STOCK[[#This Row],[Costo Envío (USD)]]+STOCK[[#This Row],[Comisión 10%]]</f>
        <v>14</v>
      </c>
      <c r="U1586" s="76">
        <f>STOCK[[#This Row],[Costo total]]*1.5</f>
        <v>21</v>
      </c>
      <c r="V1586" s="76">
        <v>20</v>
      </c>
      <c r="W1586" s="94">
        <f>STOCK[[#This Row],[Precio Final]]-STOCK[[#This Row],[Costo total]]</f>
        <v>6</v>
      </c>
      <c r="X1586" s="94">
        <f>STOCK[[#This Row],[Ganancia Unitaria]]*STOCK[[#This Row],[Salidas]]</f>
        <v>0</v>
      </c>
      <c r="Y1586" s="94"/>
      <c r="Z1586" s="94"/>
      <c r="AA1586" s="94">
        <f>STOCK[[#This Row],[Costo total]]*STOCK[[#This Row],[Entradas]]</f>
        <v>14</v>
      </c>
      <c r="AB1586" s="94">
        <f>STOCK[[#This Row],[Stock Actual]]*STOCK[[#This Row],[Costo total]]</f>
        <v>14</v>
      </c>
      <c r="AC1586" s="94"/>
      <c r="AD1586" s="100"/>
    </row>
    <row r="1587" s="76" customFormat="1" ht="50" customHeight="1" spans="1:30">
      <c r="A1587" s="76" t="s">
        <v>3153</v>
      </c>
      <c r="B1587" s="91" t="str">
        <f>_xlfn.DISPIMG("ID_8C79A6110A4E40D1B23FEFB3281A788B",1)</f>
        <v>=DISPIMG("ID_8C79A6110A4E40D1B23FEFB3281A788B",1)</v>
      </c>
      <c r="C1587" s="76" t="s">
        <v>30</v>
      </c>
      <c r="D1587" s="76" t="s">
        <v>778</v>
      </c>
      <c r="E1587" s="76" t="s">
        <v>3154</v>
      </c>
      <c r="F1587" s="76" t="s">
        <v>44</v>
      </c>
      <c r="H1587" s="94">
        <f>STOCK[[#This Row],[Precio Final]]</f>
        <v>20</v>
      </c>
      <c r="I1587" s="98">
        <f>STOCK[[#This Row],[Precio Venta Ideal (x1.5)]]</f>
        <v>15</v>
      </c>
      <c r="J1587" s="91">
        <v>1</v>
      </c>
      <c r="K1587" s="96">
        <f>SUMIFS(VENTAS[Cantidad],VENTAS[Código del producto Vendido],STOCK[[#This Row],[Code]])</f>
        <v>0</v>
      </c>
      <c r="L1587" s="96">
        <f>STOCK[[#This Row],[Entradas]]-STOCK[[#This Row],[Salidas]]</f>
        <v>1</v>
      </c>
      <c r="M1587" s="94">
        <f>STOCK[[#This Row],[Precio Final]]*10%</f>
        <v>2</v>
      </c>
      <c r="N1587" s="76">
        <v>0</v>
      </c>
      <c r="O1587" s="94">
        <v>0</v>
      </c>
      <c r="P1587" s="76">
        <v>8</v>
      </c>
      <c r="Q1587" s="92">
        <v>0</v>
      </c>
      <c r="R1587" s="77">
        <v>0</v>
      </c>
      <c r="S1587" s="77">
        <v>0</v>
      </c>
      <c r="T1587" s="94">
        <f>STOCK[[#This Row],[Costo Unitario (USD)]]+STOCK[[#This Row],[Costo Envío (USD)]]+STOCK[[#This Row],[Comisión 10%]]</f>
        <v>10</v>
      </c>
      <c r="U1587" s="76">
        <f>STOCK[[#This Row],[Costo total]]*1.5</f>
        <v>15</v>
      </c>
      <c r="V1587" s="76">
        <v>20</v>
      </c>
      <c r="W1587" s="94">
        <f>STOCK[[#This Row],[Precio Final]]-STOCK[[#This Row],[Costo total]]</f>
        <v>10</v>
      </c>
      <c r="X1587" s="94">
        <f>STOCK[[#This Row],[Ganancia Unitaria]]*STOCK[[#This Row],[Salidas]]</f>
        <v>0</v>
      </c>
      <c r="Y1587" s="94"/>
      <c r="Z1587" s="94"/>
      <c r="AA1587" s="94">
        <f>STOCK[[#This Row],[Costo total]]*STOCK[[#This Row],[Entradas]]</f>
        <v>10</v>
      </c>
      <c r="AB1587" s="94">
        <f>STOCK[[#This Row],[Stock Actual]]*STOCK[[#This Row],[Costo total]]</f>
        <v>10</v>
      </c>
      <c r="AC1587" s="94"/>
      <c r="AD1587" s="100"/>
    </row>
    <row r="1588" s="76" customFormat="1" ht="50" customHeight="1" spans="1:30">
      <c r="A1588" s="76" t="s">
        <v>3155</v>
      </c>
      <c r="B1588" s="91" t="str">
        <f>_xlfn.DISPIMG("ID_4D2FA45FDD8342C79F793CEA60F59338",1)</f>
        <v>=DISPIMG("ID_4D2FA45FDD8342C79F793CEA60F59338",1)</v>
      </c>
      <c r="C1588" s="76" t="s">
        <v>30</v>
      </c>
      <c r="D1588" s="76" t="s">
        <v>778</v>
      </c>
      <c r="E1588" s="76" t="s">
        <v>3156</v>
      </c>
      <c r="F1588" s="76" t="s">
        <v>40</v>
      </c>
      <c r="H1588" s="94">
        <f>STOCK[[#This Row],[Precio Final]]</f>
        <v>20</v>
      </c>
      <c r="I1588" s="98">
        <f>STOCK[[#This Row],[Precio Venta Ideal (x1.5)]]</f>
        <v>15</v>
      </c>
      <c r="J1588" s="91">
        <v>1</v>
      </c>
      <c r="K1588" s="96">
        <f>SUMIFS(VENTAS[Cantidad],VENTAS[Código del producto Vendido],STOCK[[#This Row],[Code]])</f>
        <v>0</v>
      </c>
      <c r="L1588" s="96">
        <f>STOCK[[#This Row],[Entradas]]-STOCK[[#This Row],[Salidas]]</f>
        <v>1</v>
      </c>
      <c r="M1588" s="94">
        <f>STOCK[[#This Row],[Precio Final]]*10%</f>
        <v>2</v>
      </c>
      <c r="N1588" s="77">
        <v>0</v>
      </c>
      <c r="O1588" s="94">
        <v>0</v>
      </c>
      <c r="P1588" s="76">
        <v>8</v>
      </c>
      <c r="Q1588" s="91">
        <v>0</v>
      </c>
      <c r="R1588" s="76">
        <v>0</v>
      </c>
      <c r="S1588" s="76">
        <v>0</v>
      </c>
      <c r="T1588" s="94">
        <f>STOCK[[#This Row],[Costo Unitario (USD)]]+STOCK[[#This Row],[Costo Envío (USD)]]+STOCK[[#This Row],[Comisión 10%]]</f>
        <v>10</v>
      </c>
      <c r="U1588" s="76">
        <f>STOCK[[#This Row],[Costo total]]*1.5</f>
        <v>15</v>
      </c>
      <c r="V1588" s="76">
        <v>20</v>
      </c>
      <c r="W1588" s="94">
        <f>STOCK[[#This Row],[Precio Final]]-STOCK[[#This Row],[Costo total]]</f>
        <v>10</v>
      </c>
      <c r="X1588" s="94">
        <f>STOCK[[#This Row],[Ganancia Unitaria]]*STOCK[[#This Row],[Salidas]]</f>
        <v>0</v>
      </c>
      <c r="Y1588" s="94"/>
      <c r="Z1588" s="94"/>
      <c r="AA1588" s="94">
        <f>STOCK[[#This Row],[Costo total]]*STOCK[[#This Row],[Entradas]]</f>
        <v>10</v>
      </c>
      <c r="AB1588" s="94">
        <f>STOCK[[#This Row],[Stock Actual]]*STOCK[[#This Row],[Costo total]]</f>
        <v>10</v>
      </c>
      <c r="AC1588" s="94"/>
      <c r="AD1588" s="100"/>
    </row>
    <row r="1589" s="76" customFormat="1" ht="50" customHeight="1" spans="1:30">
      <c r="A1589" s="76" t="s">
        <v>3157</v>
      </c>
      <c r="B1589" s="91" t="str">
        <f>_xlfn.DISPIMG("ID_4D2FA45FDD8342C79F793CEA60F59338",1)</f>
        <v>=DISPIMG("ID_4D2FA45FDD8342C79F793CEA60F59338",1)</v>
      </c>
      <c r="C1589" s="76" t="s">
        <v>30</v>
      </c>
      <c r="D1589" s="76" t="s">
        <v>778</v>
      </c>
      <c r="E1589" s="76" t="s">
        <v>3156</v>
      </c>
      <c r="F1589" s="76" t="s">
        <v>280</v>
      </c>
      <c r="H1589" s="94">
        <f>STOCK[[#This Row],[Precio Final]]</f>
        <v>20</v>
      </c>
      <c r="I1589" s="98">
        <f>STOCK[[#This Row],[Precio Venta Ideal (x1.5)]]</f>
        <v>15</v>
      </c>
      <c r="J1589" s="91">
        <v>1</v>
      </c>
      <c r="K1589" s="96">
        <f>SUMIFS(VENTAS[Cantidad],VENTAS[Código del producto Vendido],STOCK[[#This Row],[Code]])</f>
        <v>0</v>
      </c>
      <c r="L1589" s="96">
        <f>STOCK[[#This Row],[Entradas]]-STOCK[[#This Row],[Salidas]]</f>
        <v>1</v>
      </c>
      <c r="M1589" s="94">
        <f>STOCK[[#This Row],[Precio Final]]*10%</f>
        <v>2</v>
      </c>
      <c r="N1589" s="77">
        <v>0</v>
      </c>
      <c r="O1589" s="94">
        <v>0</v>
      </c>
      <c r="P1589" s="76">
        <v>8</v>
      </c>
      <c r="Q1589" s="91">
        <v>0</v>
      </c>
      <c r="R1589" s="77">
        <v>0</v>
      </c>
      <c r="S1589" s="77">
        <v>0</v>
      </c>
      <c r="T1589" s="94">
        <f>STOCK[[#This Row],[Costo Unitario (USD)]]+STOCK[[#This Row],[Costo Envío (USD)]]+STOCK[[#This Row],[Comisión 10%]]</f>
        <v>10</v>
      </c>
      <c r="U1589" s="76">
        <f>STOCK[[#This Row],[Costo total]]*1.5</f>
        <v>15</v>
      </c>
      <c r="V1589" s="76">
        <v>20</v>
      </c>
      <c r="W1589" s="94">
        <f>STOCK[[#This Row],[Precio Final]]-STOCK[[#This Row],[Costo total]]</f>
        <v>10</v>
      </c>
      <c r="X1589" s="94">
        <f>STOCK[[#This Row],[Ganancia Unitaria]]*STOCK[[#This Row],[Salidas]]</f>
        <v>0</v>
      </c>
      <c r="Y1589" s="94"/>
      <c r="Z1589" s="94"/>
      <c r="AA1589" s="94">
        <f>STOCK[[#This Row],[Costo total]]*STOCK[[#This Row],[Entradas]]</f>
        <v>10</v>
      </c>
      <c r="AB1589" s="94">
        <f>STOCK[[#This Row],[Stock Actual]]*STOCK[[#This Row],[Costo total]]</f>
        <v>10</v>
      </c>
      <c r="AC1589" s="94"/>
      <c r="AD1589" s="100"/>
    </row>
    <row r="1590" s="76" customFormat="1" ht="50" customHeight="1" spans="1:30">
      <c r="A1590" s="76" t="s">
        <v>3158</v>
      </c>
      <c r="B1590" s="91" t="str">
        <f>_xlfn.DISPIMG("ID_7AEEF701FAF24EDD84CFF723A4E24DAF",1)</f>
        <v>=DISPIMG("ID_7AEEF701FAF24EDD84CFF723A4E24DAF",1)</v>
      </c>
      <c r="C1590" s="76" t="s">
        <v>30</v>
      </c>
      <c r="D1590" s="76" t="s">
        <v>778</v>
      </c>
      <c r="E1590" s="76" t="s">
        <v>3159</v>
      </c>
      <c r="F1590" s="76" t="s">
        <v>44</v>
      </c>
      <c r="H1590" s="94">
        <f>STOCK[[#This Row],[Precio Final]]</f>
        <v>20</v>
      </c>
      <c r="I1590" s="98">
        <f>STOCK[[#This Row],[Precio Venta Ideal (x1.5)]]</f>
        <v>15</v>
      </c>
      <c r="J1590" s="91">
        <v>1</v>
      </c>
      <c r="K1590" s="96">
        <f>SUMIFS(VENTAS[Cantidad],VENTAS[Código del producto Vendido],STOCK[[#This Row],[Code]])</f>
        <v>0</v>
      </c>
      <c r="L1590" s="96">
        <f>STOCK[[#This Row],[Entradas]]-STOCK[[#This Row],[Salidas]]</f>
        <v>1</v>
      </c>
      <c r="M1590" s="94">
        <f>STOCK[[#This Row],[Precio Final]]*10%</f>
        <v>2</v>
      </c>
      <c r="N1590" s="76">
        <v>0</v>
      </c>
      <c r="O1590" s="94">
        <v>0</v>
      </c>
      <c r="P1590" s="76">
        <v>8</v>
      </c>
      <c r="Q1590" s="92">
        <v>0</v>
      </c>
      <c r="R1590" s="76">
        <v>0</v>
      </c>
      <c r="S1590" s="77">
        <v>0</v>
      </c>
      <c r="T1590" s="94">
        <f>STOCK[[#This Row],[Costo Unitario (USD)]]+STOCK[[#This Row],[Costo Envío (USD)]]+STOCK[[#This Row],[Comisión 10%]]</f>
        <v>10</v>
      </c>
      <c r="U1590" s="76">
        <f>STOCK[[#This Row],[Costo total]]*1.5</f>
        <v>15</v>
      </c>
      <c r="V1590" s="76">
        <v>20</v>
      </c>
      <c r="W1590" s="94">
        <f>STOCK[[#This Row],[Precio Final]]-STOCK[[#This Row],[Costo total]]</f>
        <v>10</v>
      </c>
      <c r="X1590" s="94">
        <f>STOCK[[#This Row],[Ganancia Unitaria]]*STOCK[[#This Row],[Salidas]]</f>
        <v>0</v>
      </c>
      <c r="Y1590" s="94"/>
      <c r="Z1590" s="94"/>
      <c r="AA1590" s="94">
        <f>STOCK[[#This Row],[Costo total]]*STOCK[[#This Row],[Entradas]]</f>
        <v>10</v>
      </c>
      <c r="AB1590" s="94">
        <f>STOCK[[#This Row],[Stock Actual]]*STOCK[[#This Row],[Costo total]]</f>
        <v>10</v>
      </c>
      <c r="AC1590" s="94"/>
      <c r="AD1590" s="100"/>
    </row>
    <row r="1591" s="76" customFormat="1" ht="50" customHeight="1" spans="1:30">
      <c r="A1591" s="76" t="s">
        <v>3160</v>
      </c>
      <c r="B1591" s="76" t="s">
        <v>1343</v>
      </c>
      <c r="C1591" s="76" t="s">
        <v>30</v>
      </c>
      <c r="D1591" s="76" t="s">
        <v>545</v>
      </c>
      <c r="E1591" s="76" t="s">
        <v>3161</v>
      </c>
      <c r="F1591" s="76" t="s">
        <v>60</v>
      </c>
      <c r="H1591" s="94">
        <f>STOCK[[#This Row],[Precio Final]]</f>
        <v>2.5</v>
      </c>
      <c r="I1591" s="98">
        <f>STOCK[[#This Row],[Precio Venta Ideal (x1.5)]]</f>
        <v>1.665</v>
      </c>
      <c r="J1591" s="91">
        <v>9</v>
      </c>
      <c r="K1591" s="96">
        <f>SUMIFS(VENTAS[Cantidad],VENTAS[Código del producto Vendido],STOCK[[#This Row],[Code]])</f>
        <v>4</v>
      </c>
      <c r="L1591" s="96">
        <f>STOCK[[#This Row],[Entradas]]-STOCK[[#This Row],[Salidas]]</f>
        <v>5</v>
      </c>
      <c r="M1591" s="94">
        <f>STOCK[[#This Row],[Precio Final]]*10%</f>
        <v>0.25</v>
      </c>
      <c r="N1591" s="77">
        <v>0</v>
      </c>
      <c r="O1591" s="94">
        <v>0</v>
      </c>
      <c r="P1591" s="76">
        <v>0.86</v>
      </c>
      <c r="Q1591" s="91">
        <v>0</v>
      </c>
      <c r="R1591" s="77">
        <v>0</v>
      </c>
      <c r="S1591" s="76">
        <v>0</v>
      </c>
      <c r="T1591" s="94">
        <f>STOCK[[#This Row],[Costo Unitario (USD)]]+STOCK[[#This Row],[Costo Envío (USD)]]+STOCK[[#This Row],[Comisión 10%]]</f>
        <v>1.11</v>
      </c>
      <c r="U1591" s="76">
        <f>STOCK[[#This Row],[Costo total]]*1.5</f>
        <v>1.665</v>
      </c>
      <c r="V1591" s="76">
        <v>2.5</v>
      </c>
      <c r="W1591" s="94">
        <f>STOCK[[#This Row],[Precio Final]]-STOCK[[#This Row],[Costo total]]</f>
        <v>1.39</v>
      </c>
      <c r="X1591" s="94">
        <f>STOCK[[#This Row],[Ganancia Unitaria]]*STOCK[[#This Row],[Salidas]]</f>
        <v>5.56</v>
      </c>
      <c r="Y1591" s="94"/>
      <c r="Z1591" s="94"/>
      <c r="AA1591" s="94">
        <f>STOCK[[#This Row],[Costo total]]*STOCK[[#This Row],[Entradas]]</f>
        <v>9.99</v>
      </c>
      <c r="AB1591" s="94">
        <f>STOCK[[#This Row],[Stock Actual]]*STOCK[[#This Row],[Costo total]]</f>
        <v>5.55</v>
      </c>
      <c r="AC1591" s="94"/>
      <c r="AD1591" s="100"/>
    </row>
    <row r="1592" s="76" customFormat="1" ht="50" customHeight="1" spans="1:30">
      <c r="A1592" s="76" t="s">
        <v>3162</v>
      </c>
      <c r="B1592" s="76" t="s">
        <v>1343</v>
      </c>
      <c r="C1592" s="76" t="s">
        <v>30</v>
      </c>
      <c r="D1592" s="76" t="s">
        <v>1386</v>
      </c>
      <c r="E1592" s="76" t="s">
        <v>3163</v>
      </c>
      <c r="F1592" s="76" t="s">
        <v>47</v>
      </c>
      <c r="H1592" s="94">
        <f>STOCK[[#This Row],[Precio Final]]</f>
        <v>18</v>
      </c>
      <c r="I1592" s="98">
        <f>STOCK[[#This Row],[Precio Venta Ideal (x1.5)]]</f>
        <v>11.7</v>
      </c>
      <c r="J1592" s="91">
        <v>1</v>
      </c>
      <c r="K1592" s="96">
        <f>SUMIFS(VENTAS[Cantidad],VENTAS[Código del producto Vendido],STOCK[[#This Row],[Code]])</f>
        <v>0</v>
      </c>
      <c r="L1592" s="96">
        <f>STOCK[[#This Row],[Entradas]]-STOCK[[#This Row],[Salidas]]</f>
        <v>1</v>
      </c>
      <c r="M1592" s="94">
        <f>STOCK[[#This Row],[Precio Final]]*10%</f>
        <v>1.8</v>
      </c>
      <c r="N1592" s="77">
        <v>0</v>
      </c>
      <c r="O1592" s="94">
        <v>0</v>
      </c>
      <c r="P1592" s="76">
        <v>6</v>
      </c>
      <c r="Q1592" s="91">
        <v>0</v>
      </c>
      <c r="R1592" s="76">
        <v>0</v>
      </c>
      <c r="S1592" s="77">
        <v>0</v>
      </c>
      <c r="T1592" s="94">
        <f>STOCK[[#This Row],[Costo Unitario (USD)]]+STOCK[[#This Row],[Costo Envío (USD)]]+STOCK[[#This Row],[Comisión 10%]]</f>
        <v>7.8</v>
      </c>
      <c r="U1592" s="76">
        <f>STOCK[[#This Row],[Costo total]]*1.5</f>
        <v>11.7</v>
      </c>
      <c r="V1592" s="76">
        <v>18</v>
      </c>
      <c r="W1592" s="94">
        <f>STOCK[[#This Row],[Precio Final]]-STOCK[[#This Row],[Costo total]]</f>
        <v>10.2</v>
      </c>
      <c r="X1592" s="94">
        <f>STOCK[[#This Row],[Ganancia Unitaria]]*STOCK[[#This Row],[Salidas]]</f>
        <v>0</v>
      </c>
      <c r="Y1592" s="94"/>
      <c r="Z1592" s="94"/>
      <c r="AA1592" s="94">
        <f>STOCK[[#This Row],[Costo total]]*STOCK[[#This Row],[Entradas]]</f>
        <v>7.8</v>
      </c>
      <c r="AB1592" s="94">
        <f>STOCK[[#This Row],[Stock Actual]]*STOCK[[#This Row],[Costo total]]</f>
        <v>7.8</v>
      </c>
      <c r="AC1592" s="94"/>
      <c r="AD1592" s="100"/>
    </row>
    <row r="1593" s="76" customFormat="1" ht="50" customHeight="1" spans="1:30">
      <c r="A1593" s="76" t="s">
        <v>3164</v>
      </c>
      <c r="B1593" s="76" t="s">
        <v>1343</v>
      </c>
      <c r="C1593" s="76" t="s">
        <v>30</v>
      </c>
      <c r="D1593" s="76" t="s">
        <v>1386</v>
      </c>
      <c r="E1593" s="76" t="s">
        <v>3165</v>
      </c>
      <c r="F1593" s="76" t="s">
        <v>3166</v>
      </c>
      <c r="H1593" s="94">
        <f>STOCK[[#This Row],[Precio Final]]</f>
        <v>20</v>
      </c>
      <c r="I1593" s="98">
        <f>STOCK[[#This Row],[Precio Venta Ideal (x1.5)]]</f>
        <v>12</v>
      </c>
      <c r="J1593" s="91">
        <v>1</v>
      </c>
      <c r="K1593" s="96">
        <f>SUMIFS(VENTAS[Cantidad],VENTAS[Código del producto Vendido],STOCK[[#This Row],[Code]])</f>
        <v>0</v>
      </c>
      <c r="L1593" s="96">
        <f>STOCK[[#This Row],[Entradas]]-STOCK[[#This Row],[Salidas]]</f>
        <v>1</v>
      </c>
      <c r="M1593" s="94">
        <f>STOCK[[#This Row],[Precio Final]]*10%</f>
        <v>2</v>
      </c>
      <c r="N1593" s="76">
        <v>0</v>
      </c>
      <c r="O1593" s="94">
        <v>0</v>
      </c>
      <c r="P1593" s="76">
        <v>6</v>
      </c>
      <c r="Q1593" s="92">
        <v>0</v>
      </c>
      <c r="R1593" s="77">
        <v>0</v>
      </c>
      <c r="S1593" s="77">
        <v>0</v>
      </c>
      <c r="T1593" s="94">
        <f>STOCK[[#This Row],[Costo Unitario (USD)]]+STOCK[[#This Row],[Costo Envío (USD)]]+STOCK[[#This Row],[Comisión 10%]]</f>
        <v>8</v>
      </c>
      <c r="U1593" s="76">
        <f>STOCK[[#This Row],[Costo total]]*1.5</f>
        <v>12</v>
      </c>
      <c r="V1593" s="76">
        <v>20</v>
      </c>
      <c r="W1593" s="94">
        <f>STOCK[[#This Row],[Precio Final]]-STOCK[[#This Row],[Costo total]]</f>
        <v>12</v>
      </c>
      <c r="X1593" s="94">
        <f>STOCK[[#This Row],[Ganancia Unitaria]]*STOCK[[#This Row],[Salidas]]</f>
        <v>0</v>
      </c>
      <c r="Y1593" s="94"/>
      <c r="Z1593" s="94"/>
      <c r="AA1593" s="94">
        <f>STOCK[[#This Row],[Costo total]]*STOCK[[#This Row],[Entradas]]</f>
        <v>8</v>
      </c>
      <c r="AB1593" s="94">
        <f>STOCK[[#This Row],[Stock Actual]]*STOCK[[#This Row],[Costo total]]</f>
        <v>8</v>
      </c>
      <c r="AC1593" s="94"/>
      <c r="AD1593" s="100"/>
    </row>
    <row r="1594" s="76" customFormat="1" ht="50" customHeight="1" spans="1:30">
      <c r="A1594" s="76" t="s">
        <v>3167</v>
      </c>
      <c r="C1594" s="76" t="s">
        <v>30</v>
      </c>
      <c r="D1594" s="76" t="s">
        <v>1386</v>
      </c>
      <c r="E1594" s="76" t="s">
        <v>3168</v>
      </c>
      <c r="H1594" s="94">
        <f>STOCK[[#This Row],[Precio Final]]</f>
        <v>15</v>
      </c>
      <c r="I1594" s="98">
        <f>STOCK[[#This Row],[Precio Venta Ideal (x1.5)]]</f>
        <v>11.25</v>
      </c>
      <c r="J1594" s="91">
        <v>1</v>
      </c>
      <c r="K1594" s="96">
        <f>SUMIFS(VENTAS[Cantidad],VENTAS[Código del producto Vendido],STOCK[[#This Row],[Code]])</f>
        <v>1</v>
      </c>
      <c r="L1594" s="96">
        <f>STOCK[[#This Row],[Entradas]]-STOCK[[#This Row],[Salidas]]</f>
        <v>0</v>
      </c>
      <c r="M1594" s="94">
        <f>STOCK[[#This Row],[Precio Final]]*10%</f>
        <v>1.5</v>
      </c>
      <c r="N1594" s="77">
        <v>0</v>
      </c>
      <c r="O1594" s="94">
        <v>0</v>
      </c>
      <c r="P1594" s="76">
        <v>6</v>
      </c>
      <c r="Q1594" s="91">
        <v>0</v>
      </c>
      <c r="R1594" s="76">
        <v>0</v>
      </c>
      <c r="S1594" s="76">
        <v>0</v>
      </c>
      <c r="T1594" s="94">
        <f>STOCK[[#This Row],[Costo Unitario (USD)]]+STOCK[[#This Row],[Costo Envío (USD)]]+STOCK[[#This Row],[Comisión 10%]]</f>
        <v>7.5</v>
      </c>
      <c r="U1594" s="76">
        <f>STOCK[[#This Row],[Costo total]]*1.5</f>
        <v>11.25</v>
      </c>
      <c r="V1594" s="76">
        <v>15</v>
      </c>
      <c r="W1594" s="94">
        <f>STOCK[[#This Row],[Precio Final]]-STOCK[[#This Row],[Costo total]]</f>
        <v>7.5</v>
      </c>
      <c r="X1594" s="94">
        <f>STOCK[[#This Row],[Ganancia Unitaria]]*STOCK[[#This Row],[Salidas]]</f>
        <v>7.5</v>
      </c>
      <c r="Y1594" s="94"/>
      <c r="Z1594" s="94"/>
      <c r="AA1594" s="94">
        <f>STOCK[[#This Row],[Costo total]]*STOCK[[#This Row],[Entradas]]</f>
        <v>7.5</v>
      </c>
      <c r="AB1594" s="94">
        <f>STOCK[[#This Row],[Stock Actual]]*STOCK[[#This Row],[Costo total]]</f>
        <v>0</v>
      </c>
      <c r="AC1594" s="94"/>
      <c r="AD1594" s="100"/>
    </row>
    <row r="1595" s="76" customFormat="1" ht="50" customHeight="1" spans="1:30">
      <c r="A1595" s="76" t="s">
        <v>3169</v>
      </c>
      <c r="B1595" s="76" t="s">
        <v>1343</v>
      </c>
      <c r="C1595" s="76" t="s">
        <v>30</v>
      </c>
      <c r="D1595" s="76" t="s">
        <v>1386</v>
      </c>
      <c r="E1595" s="76" t="s">
        <v>3170</v>
      </c>
      <c r="F1595" s="76" t="s">
        <v>38</v>
      </c>
      <c r="H1595" s="94">
        <f>STOCK[[#This Row],[Precio Final]]</f>
        <v>15</v>
      </c>
      <c r="I1595" s="98">
        <f>STOCK[[#This Row],[Precio Venta Ideal (x1.5)]]</f>
        <v>11.25</v>
      </c>
      <c r="J1595" s="91">
        <v>2</v>
      </c>
      <c r="K1595" s="96">
        <f>SUMIFS(VENTAS[Cantidad],VENTAS[Código del producto Vendido],STOCK[[#This Row],[Code]])</f>
        <v>0</v>
      </c>
      <c r="L1595" s="96">
        <f>STOCK[[#This Row],[Entradas]]-STOCK[[#This Row],[Salidas]]</f>
        <v>2</v>
      </c>
      <c r="M1595" s="94">
        <f>STOCK[[#This Row],[Precio Final]]*10%</f>
        <v>1.5</v>
      </c>
      <c r="N1595" s="77">
        <v>0</v>
      </c>
      <c r="O1595" s="94">
        <v>0</v>
      </c>
      <c r="P1595" s="76">
        <v>6</v>
      </c>
      <c r="Q1595" s="91">
        <v>0</v>
      </c>
      <c r="R1595" s="77">
        <v>0</v>
      </c>
      <c r="S1595" s="77">
        <v>0</v>
      </c>
      <c r="T1595" s="94">
        <f>STOCK[[#This Row],[Costo Unitario (USD)]]+STOCK[[#This Row],[Costo Envío (USD)]]+STOCK[[#This Row],[Comisión 10%]]</f>
        <v>7.5</v>
      </c>
      <c r="U1595" s="76">
        <f>STOCK[[#This Row],[Costo total]]*1.5</f>
        <v>11.25</v>
      </c>
      <c r="V1595" s="76">
        <v>15</v>
      </c>
      <c r="W1595" s="94">
        <f>STOCK[[#This Row],[Precio Final]]-STOCK[[#This Row],[Costo total]]</f>
        <v>7.5</v>
      </c>
      <c r="X1595" s="94">
        <f>STOCK[[#This Row],[Ganancia Unitaria]]*STOCK[[#This Row],[Salidas]]</f>
        <v>0</v>
      </c>
      <c r="Y1595" s="94"/>
      <c r="Z1595" s="94"/>
      <c r="AA1595" s="94">
        <f>STOCK[[#This Row],[Costo total]]*STOCK[[#This Row],[Entradas]]</f>
        <v>15</v>
      </c>
      <c r="AB1595" s="94">
        <f>STOCK[[#This Row],[Stock Actual]]*STOCK[[#This Row],[Costo total]]</f>
        <v>15</v>
      </c>
      <c r="AC1595" s="94"/>
      <c r="AD1595" s="100"/>
    </row>
    <row r="1596" s="76" customFormat="1" ht="50" customHeight="1" spans="1:30">
      <c r="A1596" s="76" t="s">
        <v>3171</v>
      </c>
      <c r="B1596" s="91" t="str">
        <f>_xlfn.DISPIMG("ID_EFB0578B518248C1B857153ADB5E7172",1)</f>
        <v>=DISPIMG("ID_EFB0578B518248C1B857153ADB5E7172",1)</v>
      </c>
      <c r="C1596" s="76" t="s">
        <v>30</v>
      </c>
      <c r="D1596" s="76" t="s">
        <v>1386</v>
      </c>
      <c r="E1596" s="76" t="s">
        <v>3172</v>
      </c>
      <c r="F1596" s="76" t="s">
        <v>524</v>
      </c>
      <c r="H1596" s="94">
        <f>STOCK[[#This Row],[Precio Final]]</f>
        <v>12</v>
      </c>
      <c r="I1596" s="98">
        <f>STOCK[[#This Row],[Precio Venta Ideal (x1.5)]]</f>
        <v>9.3</v>
      </c>
      <c r="J1596" s="91">
        <v>2</v>
      </c>
      <c r="K1596" s="96">
        <f>SUMIFS(VENTAS[Cantidad],VENTAS[Código del producto Vendido],STOCK[[#This Row],[Code]])</f>
        <v>1</v>
      </c>
      <c r="L1596" s="96">
        <f>STOCK[[#This Row],[Entradas]]-STOCK[[#This Row],[Salidas]]</f>
        <v>1</v>
      </c>
      <c r="M1596" s="94">
        <f>STOCK[[#This Row],[Precio Final]]*10%</f>
        <v>1.2</v>
      </c>
      <c r="N1596" s="76">
        <v>0</v>
      </c>
      <c r="O1596" s="94">
        <v>0</v>
      </c>
      <c r="P1596" s="76">
        <v>5</v>
      </c>
      <c r="Q1596" s="92">
        <v>0</v>
      </c>
      <c r="R1596" s="76">
        <v>0</v>
      </c>
      <c r="S1596" s="77">
        <v>0</v>
      </c>
      <c r="T1596" s="94">
        <f>STOCK[[#This Row],[Costo Unitario (USD)]]+STOCK[[#This Row],[Costo Envío (USD)]]+STOCK[[#This Row],[Comisión 10%]]</f>
        <v>6.2</v>
      </c>
      <c r="U1596" s="76">
        <f>STOCK[[#This Row],[Costo total]]*1.5</f>
        <v>9.3</v>
      </c>
      <c r="V1596" s="76">
        <v>12</v>
      </c>
      <c r="W1596" s="94">
        <f>STOCK[[#This Row],[Precio Final]]-STOCK[[#This Row],[Costo total]]</f>
        <v>5.8</v>
      </c>
      <c r="X1596" s="94">
        <f>STOCK[[#This Row],[Ganancia Unitaria]]*STOCK[[#This Row],[Salidas]]</f>
        <v>5.8</v>
      </c>
      <c r="Y1596" s="94"/>
      <c r="Z1596" s="94"/>
      <c r="AA1596" s="94">
        <f>STOCK[[#This Row],[Costo total]]*STOCK[[#This Row],[Entradas]]</f>
        <v>12.4</v>
      </c>
      <c r="AB1596" s="94">
        <f>STOCK[[#This Row],[Stock Actual]]*STOCK[[#This Row],[Costo total]]</f>
        <v>6.2</v>
      </c>
      <c r="AC1596" s="94"/>
      <c r="AD1596" s="100"/>
    </row>
    <row r="1597" s="76" customFormat="1" ht="50" customHeight="1" spans="1:30">
      <c r="A1597" s="76" t="s">
        <v>3173</v>
      </c>
      <c r="B1597" s="91" t="str">
        <f>_xlfn.DISPIMG("ID_08EB29356B4D4141A7357EF1ABF5545E",1)</f>
        <v>=DISPIMG("ID_08EB29356B4D4141A7357EF1ABF5545E",1)</v>
      </c>
      <c r="C1597" s="76" t="s">
        <v>30</v>
      </c>
      <c r="D1597" s="76" t="s">
        <v>747</v>
      </c>
      <c r="E1597" s="76" t="s">
        <v>3174</v>
      </c>
      <c r="F1597" s="76" t="s">
        <v>2106</v>
      </c>
      <c r="H1597" s="94">
        <f>STOCK[[#This Row],[Precio Final]]</f>
        <v>25</v>
      </c>
      <c r="I1597" s="98">
        <f>STOCK[[#This Row],[Precio Venta Ideal (x1.5)]]</f>
        <v>18.75</v>
      </c>
      <c r="J1597" s="91">
        <v>1</v>
      </c>
      <c r="K1597" s="96">
        <f>SUMIFS(VENTAS[Cantidad],VENTAS[Código del producto Vendido],STOCK[[#This Row],[Code]])</f>
        <v>0</v>
      </c>
      <c r="L1597" s="96">
        <f>STOCK[[#This Row],[Entradas]]-STOCK[[#This Row],[Salidas]]</f>
        <v>1</v>
      </c>
      <c r="M1597" s="94">
        <f>STOCK[[#This Row],[Precio Final]]*10%</f>
        <v>2.5</v>
      </c>
      <c r="N1597" s="77">
        <v>0</v>
      </c>
      <c r="O1597" s="94">
        <v>0</v>
      </c>
      <c r="P1597" s="76">
        <v>10</v>
      </c>
      <c r="Q1597" s="91">
        <v>0</v>
      </c>
      <c r="R1597" s="77">
        <v>0</v>
      </c>
      <c r="S1597" s="76">
        <v>0</v>
      </c>
      <c r="T1597" s="94">
        <f>STOCK[[#This Row],[Costo Unitario (USD)]]+STOCK[[#This Row],[Costo Envío (USD)]]+STOCK[[#This Row],[Comisión 10%]]</f>
        <v>12.5</v>
      </c>
      <c r="U1597" s="76">
        <f>STOCK[[#This Row],[Costo total]]*1.5</f>
        <v>18.75</v>
      </c>
      <c r="V1597" s="76">
        <v>25</v>
      </c>
      <c r="W1597" s="94">
        <f>STOCK[[#This Row],[Precio Final]]-STOCK[[#This Row],[Costo total]]</f>
        <v>12.5</v>
      </c>
      <c r="X1597" s="94">
        <f>STOCK[[#This Row],[Ganancia Unitaria]]*STOCK[[#This Row],[Salidas]]</f>
        <v>0</v>
      </c>
      <c r="Y1597" s="94"/>
      <c r="Z1597" s="94"/>
      <c r="AA1597" s="94">
        <f>STOCK[[#This Row],[Costo total]]*STOCK[[#This Row],[Entradas]]</f>
        <v>12.5</v>
      </c>
      <c r="AB1597" s="94">
        <f>STOCK[[#This Row],[Stock Actual]]*STOCK[[#This Row],[Costo total]]</f>
        <v>12.5</v>
      </c>
      <c r="AC1597" s="94"/>
      <c r="AD1597" s="100"/>
    </row>
    <row r="1598" s="76" customFormat="1" ht="50" customHeight="1" spans="1:30">
      <c r="A1598" s="76" t="s">
        <v>3175</v>
      </c>
      <c r="B1598" s="91" t="str">
        <f>_xlfn.DISPIMG("ID_97E71C483F3C4CBC88BA1DD756B0EB14",1)</f>
        <v>=DISPIMG("ID_97E71C483F3C4CBC88BA1DD756B0EB14",1)</v>
      </c>
      <c r="C1598" s="76" t="s">
        <v>30</v>
      </c>
      <c r="D1598" s="76" t="s">
        <v>747</v>
      </c>
      <c r="E1598" s="76" t="s">
        <v>3176</v>
      </c>
      <c r="F1598" s="76" t="s">
        <v>2106</v>
      </c>
      <c r="H1598" s="94">
        <f>STOCK[[#This Row],[Precio Final]]</f>
        <v>25</v>
      </c>
      <c r="I1598" s="98">
        <f>STOCK[[#This Row],[Precio Venta Ideal (x1.5)]]</f>
        <v>18.75</v>
      </c>
      <c r="J1598" s="91">
        <v>1</v>
      </c>
      <c r="K1598" s="96">
        <f>SUMIFS(VENTAS[Cantidad],VENTAS[Código del producto Vendido],STOCK[[#This Row],[Code]])</f>
        <v>0</v>
      </c>
      <c r="L1598" s="96">
        <f>STOCK[[#This Row],[Entradas]]-STOCK[[#This Row],[Salidas]]</f>
        <v>1</v>
      </c>
      <c r="M1598" s="94">
        <f>STOCK[[#This Row],[Precio Final]]*10%</f>
        <v>2.5</v>
      </c>
      <c r="N1598" s="77">
        <v>0</v>
      </c>
      <c r="O1598" s="94">
        <v>0</v>
      </c>
      <c r="P1598" s="76">
        <v>10</v>
      </c>
      <c r="Q1598" s="91">
        <v>0</v>
      </c>
      <c r="R1598" s="76">
        <v>0</v>
      </c>
      <c r="S1598" s="77">
        <v>0</v>
      </c>
      <c r="T1598" s="94">
        <f>STOCK[[#This Row],[Costo Unitario (USD)]]+STOCK[[#This Row],[Costo Envío (USD)]]+STOCK[[#This Row],[Comisión 10%]]</f>
        <v>12.5</v>
      </c>
      <c r="U1598" s="76">
        <f>STOCK[[#This Row],[Costo total]]*1.5</f>
        <v>18.75</v>
      </c>
      <c r="V1598" s="76">
        <v>25</v>
      </c>
      <c r="W1598" s="94">
        <f>STOCK[[#This Row],[Precio Final]]-STOCK[[#This Row],[Costo total]]</f>
        <v>12.5</v>
      </c>
      <c r="X1598" s="94">
        <f>STOCK[[#This Row],[Ganancia Unitaria]]*STOCK[[#This Row],[Salidas]]</f>
        <v>0</v>
      </c>
      <c r="Y1598" s="94"/>
      <c r="Z1598" s="94"/>
      <c r="AA1598" s="94">
        <f>STOCK[[#This Row],[Costo total]]*STOCK[[#This Row],[Entradas]]</f>
        <v>12.5</v>
      </c>
      <c r="AB1598" s="94">
        <f>STOCK[[#This Row],[Stock Actual]]*STOCK[[#This Row],[Costo total]]</f>
        <v>12.5</v>
      </c>
      <c r="AC1598" s="94"/>
      <c r="AD1598" s="100"/>
    </row>
    <row r="1599" s="76" customFormat="1" ht="50" customHeight="1" spans="1:30">
      <c r="A1599" s="76" t="s">
        <v>3177</v>
      </c>
      <c r="B1599" s="91" t="str">
        <f>_xlfn.DISPIMG("ID_6FB794C641B84A03B4564E8FDD724AD0",1)</f>
        <v>=DISPIMG("ID_6FB794C641B84A03B4564E8FDD724AD0",1)</v>
      </c>
      <c r="C1599" s="76" t="s">
        <v>30</v>
      </c>
      <c r="D1599" s="76" t="s">
        <v>747</v>
      </c>
      <c r="E1599" s="76" t="s">
        <v>3178</v>
      </c>
      <c r="F1599" s="76" t="s">
        <v>2106</v>
      </c>
      <c r="H1599" s="94">
        <f>STOCK[[#This Row],[Precio Final]]</f>
        <v>25</v>
      </c>
      <c r="I1599" s="98">
        <f>STOCK[[#This Row],[Precio Venta Ideal (x1.5)]]</f>
        <v>18.75</v>
      </c>
      <c r="J1599" s="91">
        <v>1</v>
      </c>
      <c r="K1599" s="96">
        <f>SUMIFS(VENTAS[Cantidad],VENTAS[Código del producto Vendido],STOCK[[#This Row],[Code]])</f>
        <v>0</v>
      </c>
      <c r="L1599" s="96">
        <f>STOCK[[#This Row],[Entradas]]-STOCK[[#This Row],[Salidas]]</f>
        <v>1</v>
      </c>
      <c r="M1599" s="94">
        <f>STOCK[[#This Row],[Precio Final]]*10%</f>
        <v>2.5</v>
      </c>
      <c r="N1599" s="76">
        <v>0</v>
      </c>
      <c r="O1599" s="94">
        <v>0</v>
      </c>
      <c r="P1599" s="76">
        <v>10</v>
      </c>
      <c r="Q1599" s="92">
        <v>0</v>
      </c>
      <c r="R1599" s="77">
        <v>0</v>
      </c>
      <c r="S1599" s="77">
        <v>0</v>
      </c>
      <c r="T1599" s="94">
        <f>STOCK[[#This Row],[Costo Unitario (USD)]]+STOCK[[#This Row],[Costo Envío (USD)]]+STOCK[[#This Row],[Comisión 10%]]</f>
        <v>12.5</v>
      </c>
      <c r="U1599" s="76">
        <f>STOCK[[#This Row],[Costo total]]*1.5</f>
        <v>18.75</v>
      </c>
      <c r="V1599" s="76">
        <v>25</v>
      </c>
      <c r="W1599" s="94">
        <f>STOCK[[#This Row],[Precio Final]]-STOCK[[#This Row],[Costo total]]</f>
        <v>12.5</v>
      </c>
      <c r="X1599" s="94">
        <f>STOCK[[#This Row],[Ganancia Unitaria]]*STOCK[[#This Row],[Salidas]]</f>
        <v>0</v>
      </c>
      <c r="Y1599" s="94"/>
      <c r="Z1599" s="94"/>
      <c r="AA1599" s="94">
        <f>STOCK[[#This Row],[Costo total]]*STOCK[[#This Row],[Entradas]]</f>
        <v>12.5</v>
      </c>
      <c r="AB1599" s="94">
        <f>STOCK[[#This Row],[Stock Actual]]*STOCK[[#This Row],[Costo total]]</f>
        <v>12.5</v>
      </c>
      <c r="AC1599" s="94"/>
      <c r="AD1599" s="100"/>
    </row>
    <row r="1600" s="76" customFormat="1" ht="50" customHeight="1" spans="1:30">
      <c r="A1600" s="76" t="s">
        <v>3179</v>
      </c>
      <c r="C1600" s="76" t="s">
        <v>30</v>
      </c>
      <c r="D1600" s="76" t="s">
        <v>747</v>
      </c>
      <c r="E1600" s="76" t="s">
        <v>3180</v>
      </c>
      <c r="H1600" s="94">
        <f>STOCK[[#This Row],[Precio Final]]</f>
        <v>18</v>
      </c>
      <c r="I1600" s="98">
        <f>STOCK[[#This Row],[Precio Venta Ideal (x1.5)]]</f>
        <v>17.7</v>
      </c>
      <c r="J1600" s="91">
        <v>1</v>
      </c>
      <c r="K1600" s="96">
        <f>SUMIFS(VENTAS[Cantidad],VENTAS[Código del producto Vendido],STOCK[[#This Row],[Code]])</f>
        <v>1</v>
      </c>
      <c r="L1600" s="96">
        <f>STOCK[[#This Row],[Entradas]]-STOCK[[#This Row],[Salidas]]</f>
        <v>0</v>
      </c>
      <c r="M1600" s="94">
        <f>STOCK[[#This Row],[Precio Final]]*10%</f>
        <v>1.8</v>
      </c>
      <c r="N1600" s="77">
        <v>0</v>
      </c>
      <c r="O1600" s="94">
        <v>0</v>
      </c>
      <c r="P1600" s="76">
        <v>10</v>
      </c>
      <c r="Q1600" s="91">
        <v>0</v>
      </c>
      <c r="R1600" s="76">
        <v>0</v>
      </c>
      <c r="S1600" s="76">
        <v>0</v>
      </c>
      <c r="T1600" s="94">
        <f>STOCK[[#This Row],[Costo Unitario (USD)]]+STOCK[[#This Row],[Costo Envío (USD)]]+STOCK[[#This Row],[Comisión 10%]]</f>
        <v>11.8</v>
      </c>
      <c r="U1600" s="76">
        <f>STOCK[[#This Row],[Costo total]]*1.5</f>
        <v>17.7</v>
      </c>
      <c r="V1600" s="76">
        <v>18</v>
      </c>
      <c r="W1600" s="94">
        <f>STOCK[[#This Row],[Precio Final]]-STOCK[[#This Row],[Costo total]]</f>
        <v>6.2</v>
      </c>
      <c r="X1600" s="94">
        <f>STOCK[[#This Row],[Ganancia Unitaria]]*STOCK[[#This Row],[Salidas]]</f>
        <v>6.2</v>
      </c>
      <c r="Y1600" s="94"/>
      <c r="Z1600" s="94"/>
      <c r="AA1600" s="94">
        <f>STOCK[[#This Row],[Costo total]]*STOCK[[#This Row],[Entradas]]</f>
        <v>11.8</v>
      </c>
      <c r="AB1600" s="94">
        <f>STOCK[[#This Row],[Stock Actual]]*STOCK[[#This Row],[Costo total]]</f>
        <v>0</v>
      </c>
      <c r="AC1600" s="94"/>
      <c r="AD1600" s="100"/>
    </row>
    <row r="1601" s="76" customFormat="1" ht="50" customHeight="1" spans="1:30">
      <c r="A1601" s="76" t="s">
        <v>3181</v>
      </c>
      <c r="B1601" s="91" t="str">
        <f>_xlfn.DISPIMG("ID_369D3B6160B245A482A99DEFA0E3400D",1)</f>
        <v>=DISPIMG("ID_369D3B6160B245A482A99DEFA0E3400D",1)</v>
      </c>
      <c r="C1601" s="76" t="s">
        <v>30</v>
      </c>
      <c r="D1601" s="76" t="s">
        <v>747</v>
      </c>
      <c r="E1601" s="76" t="s">
        <v>3182</v>
      </c>
      <c r="F1601" s="76" t="s">
        <v>44</v>
      </c>
      <c r="H1601" s="94">
        <f>STOCK[[#This Row],[Precio Final]]</f>
        <v>18</v>
      </c>
      <c r="I1601" s="98">
        <f>STOCK[[#This Row],[Precio Venta Ideal (x1.5)]]</f>
        <v>17.7</v>
      </c>
      <c r="J1601" s="91">
        <v>1</v>
      </c>
      <c r="K1601" s="96">
        <f>SUMIFS(VENTAS[Cantidad],VENTAS[Código del producto Vendido],STOCK[[#This Row],[Code]])</f>
        <v>0</v>
      </c>
      <c r="L1601" s="96">
        <f>STOCK[[#This Row],[Entradas]]-STOCK[[#This Row],[Salidas]]</f>
        <v>1</v>
      </c>
      <c r="M1601" s="94">
        <f>STOCK[[#This Row],[Precio Final]]*10%</f>
        <v>1.8</v>
      </c>
      <c r="N1601" s="77">
        <v>0</v>
      </c>
      <c r="O1601" s="94">
        <v>0</v>
      </c>
      <c r="P1601" s="76">
        <v>10</v>
      </c>
      <c r="Q1601" s="91">
        <v>0</v>
      </c>
      <c r="R1601" s="77">
        <v>0</v>
      </c>
      <c r="S1601" s="77">
        <v>0</v>
      </c>
      <c r="T1601" s="94">
        <f>STOCK[[#This Row],[Costo Unitario (USD)]]+STOCK[[#This Row],[Costo Envío (USD)]]+STOCK[[#This Row],[Comisión 10%]]</f>
        <v>11.8</v>
      </c>
      <c r="U1601" s="76">
        <f>STOCK[[#This Row],[Costo total]]*1.5</f>
        <v>17.7</v>
      </c>
      <c r="V1601" s="76">
        <v>18</v>
      </c>
      <c r="W1601" s="94">
        <f>STOCK[[#This Row],[Precio Final]]-STOCK[[#This Row],[Costo total]]</f>
        <v>6.2</v>
      </c>
      <c r="X1601" s="94">
        <f>STOCK[[#This Row],[Ganancia Unitaria]]*STOCK[[#This Row],[Salidas]]</f>
        <v>0</v>
      </c>
      <c r="Y1601" s="94"/>
      <c r="Z1601" s="94"/>
      <c r="AA1601" s="94">
        <f>STOCK[[#This Row],[Costo total]]*STOCK[[#This Row],[Entradas]]</f>
        <v>11.8</v>
      </c>
      <c r="AB1601" s="94">
        <f>STOCK[[#This Row],[Stock Actual]]*STOCK[[#This Row],[Costo total]]</f>
        <v>11.8</v>
      </c>
      <c r="AC1601" s="94"/>
      <c r="AD1601" s="100"/>
    </row>
    <row r="1602" s="76" customFormat="1" ht="50" customHeight="1" spans="1:30">
      <c r="A1602" s="76" t="s">
        <v>3183</v>
      </c>
      <c r="B1602" s="91" t="str">
        <f>_xlfn.DISPIMG("ID_369D3B6160B245A482A99DEFA0E3400D",1)</f>
        <v>=DISPIMG("ID_369D3B6160B245A482A99DEFA0E3400D",1)</v>
      </c>
      <c r="C1602" s="76" t="s">
        <v>30</v>
      </c>
      <c r="D1602" s="76" t="s">
        <v>747</v>
      </c>
      <c r="E1602" s="76" t="s">
        <v>3182</v>
      </c>
      <c r="F1602" s="76" t="s">
        <v>40</v>
      </c>
      <c r="H1602" s="94">
        <f>STOCK[[#This Row],[Precio Final]]</f>
        <v>18</v>
      </c>
      <c r="I1602" s="98">
        <f>STOCK[[#This Row],[Precio Venta Ideal (x1.5)]]</f>
        <v>17.7</v>
      </c>
      <c r="J1602" s="91">
        <v>1</v>
      </c>
      <c r="K1602" s="96">
        <f>SUMIFS(VENTAS[Cantidad],VENTAS[Código del producto Vendido],STOCK[[#This Row],[Code]])</f>
        <v>0</v>
      </c>
      <c r="L1602" s="96">
        <f>STOCK[[#This Row],[Entradas]]-STOCK[[#This Row],[Salidas]]</f>
        <v>1</v>
      </c>
      <c r="M1602" s="94">
        <f>STOCK[[#This Row],[Precio Final]]*10%</f>
        <v>1.8</v>
      </c>
      <c r="N1602" s="76">
        <v>0</v>
      </c>
      <c r="O1602" s="94">
        <v>0</v>
      </c>
      <c r="P1602" s="76">
        <v>10</v>
      </c>
      <c r="Q1602" s="92">
        <v>0</v>
      </c>
      <c r="R1602" s="76">
        <v>0</v>
      </c>
      <c r="S1602" s="77">
        <v>0</v>
      </c>
      <c r="T1602" s="94">
        <f>STOCK[[#This Row],[Costo Unitario (USD)]]+STOCK[[#This Row],[Costo Envío (USD)]]+STOCK[[#This Row],[Comisión 10%]]</f>
        <v>11.8</v>
      </c>
      <c r="U1602" s="76">
        <f>STOCK[[#This Row],[Costo total]]*1.5</f>
        <v>17.7</v>
      </c>
      <c r="V1602" s="76">
        <v>18</v>
      </c>
      <c r="W1602" s="94">
        <f>STOCK[[#This Row],[Precio Final]]-STOCK[[#This Row],[Costo total]]</f>
        <v>6.2</v>
      </c>
      <c r="X1602" s="94">
        <f>STOCK[[#This Row],[Ganancia Unitaria]]*STOCK[[#This Row],[Salidas]]</f>
        <v>0</v>
      </c>
      <c r="Y1602" s="94"/>
      <c r="Z1602" s="94"/>
      <c r="AA1602" s="94">
        <f>STOCK[[#This Row],[Costo total]]*STOCK[[#This Row],[Entradas]]</f>
        <v>11.8</v>
      </c>
      <c r="AB1602" s="94">
        <f>STOCK[[#This Row],[Stock Actual]]*STOCK[[#This Row],[Costo total]]</f>
        <v>11.8</v>
      </c>
      <c r="AC1602" s="94"/>
      <c r="AD1602" s="100"/>
    </row>
    <row r="1603" s="76" customFormat="1" ht="50" customHeight="1" spans="1:30">
      <c r="A1603" s="76" t="s">
        <v>3184</v>
      </c>
      <c r="B1603" s="91" t="str">
        <f>_xlfn.DISPIMG("ID_369D3B6160B245A482A99DEFA0E3400D",1)</f>
        <v>=DISPIMG("ID_369D3B6160B245A482A99DEFA0E3400D",1)</v>
      </c>
      <c r="C1603" s="76" t="s">
        <v>30</v>
      </c>
      <c r="D1603" s="76" t="s">
        <v>747</v>
      </c>
      <c r="E1603" s="76" t="s">
        <v>3182</v>
      </c>
      <c r="F1603" s="76" t="s">
        <v>60</v>
      </c>
      <c r="H1603" s="94">
        <f>STOCK[[#This Row],[Precio Final]]</f>
        <v>18</v>
      </c>
      <c r="I1603" s="98">
        <f>STOCK[[#This Row],[Precio Venta Ideal (x1.5)]]</f>
        <v>17.7</v>
      </c>
      <c r="J1603" s="91">
        <v>1</v>
      </c>
      <c r="K1603" s="96">
        <f>SUMIFS(VENTAS[Cantidad],VENTAS[Código del producto Vendido],STOCK[[#This Row],[Code]])</f>
        <v>0</v>
      </c>
      <c r="L1603" s="96">
        <f>STOCK[[#This Row],[Entradas]]-STOCK[[#This Row],[Salidas]]</f>
        <v>1</v>
      </c>
      <c r="M1603" s="94">
        <f>STOCK[[#This Row],[Precio Final]]*10%</f>
        <v>1.8</v>
      </c>
      <c r="N1603" s="77">
        <v>0</v>
      </c>
      <c r="O1603" s="94">
        <v>0</v>
      </c>
      <c r="P1603" s="76">
        <v>10</v>
      </c>
      <c r="Q1603" s="91">
        <v>0</v>
      </c>
      <c r="R1603" s="77">
        <v>0</v>
      </c>
      <c r="S1603" s="76">
        <v>0</v>
      </c>
      <c r="T1603" s="94">
        <f>STOCK[[#This Row],[Costo Unitario (USD)]]+STOCK[[#This Row],[Costo Envío (USD)]]+STOCK[[#This Row],[Comisión 10%]]</f>
        <v>11.8</v>
      </c>
      <c r="U1603" s="76">
        <f>STOCK[[#This Row],[Costo total]]*1.5</f>
        <v>17.7</v>
      </c>
      <c r="V1603" s="76">
        <v>18</v>
      </c>
      <c r="W1603" s="94">
        <f>STOCK[[#This Row],[Precio Final]]-STOCK[[#This Row],[Costo total]]</f>
        <v>6.2</v>
      </c>
      <c r="X1603" s="94">
        <f>STOCK[[#This Row],[Ganancia Unitaria]]*STOCK[[#This Row],[Salidas]]</f>
        <v>0</v>
      </c>
      <c r="Y1603" s="94"/>
      <c r="Z1603" s="94"/>
      <c r="AA1603" s="94">
        <f>STOCK[[#This Row],[Costo total]]*STOCK[[#This Row],[Entradas]]</f>
        <v>11.8</v>
      </c>
      <c r="AB1603" s="94">
        <f>STOCK[[#This Row],[Stock Actual]]*STOCK[[#This Row],[Costo total]]</f>
        <v>11.8</v>
      </c>
      <c r="AC1603" s="94"/>
      <c r="AD1603" s="100"/>
    </row>
    <row r="1604" s="76" customFormat="1" ht="50" customHeight="1" spans="1:30">
      <c r="A1604" s="76" t="s">
        <v>3185</v>
      </c>
      <c r="B1604" s="91" t="str">
        <f>_xlfn.DISPIMG("ID_7F752E326DE9458E9D3971BF2B070137",1)</f>
        <v>=DISPIMG("ID_7F752E326DE9458E9D3971BF2B070137",1)</v>
      </c>
      <c r="C1604" s="76" t="s">
        <v>30</v>
      </c>
      <c r="D1604" s="76" t="s">
        <v>747</v>
      </c>
      <c r="E1604" s="76" t="s">
        <v>3186</v>
      </c>
      <c r="F1604" s="76" t="s">
        <v>47</v>
      </c>
      <c r="H1604" s="94">
        <f>STOCK[[#This Row],[Precio Final]]</f>
        <v>18</v>
      </c>
      <c r="I1604" s="98">
        <f>STOCK[[#This Row],[Precio Venta Ideal (x1.5)]]</f>
        <v>17.7</v>
      </c>
      <c r="J1604" s="91">
        <v>1</v>
      </c>
      <c r="K1604" s="96">
        <f>SUMIFS(VENTAS[Cantidad],VENTAS[Código del producto Vendido],STOCK[[#This Row],[Code]])</f>
        <v>0</v>
      </c>
      <c r="L1604" s="96">
        <f>STOCK[[#This Row],[Entradas]]-STOCK[[#This Row],[Salidas]]</f>
        <v>1</v>
      </c>
      <c r="M1604" s="94">
        <f>STOCK[[#This Row],[Precio Final]]*10%</f>
        <v>1.8</v>
      </c>
      <c r="N1604" s="77">
        <v>0</v>
      </c>
      <c r="O1604" s="94">
        <v>0</v>
      </c>
      <c r="P1604" s="76">
        <v>10</v>
      </c>
      <c r="Q1604" s="91">
        <v>0</v>
      </c>
      <c r="R1604" s="76">
        <v>0</v>
      </c>
      <c r="S1604" s="77">
        <v>0</v>
      </c>
      <c r="T1604" s="94">
        <f>STOCK[[#This Row],[Costo Unitario (USD)]]+STOCK[[#This Row],[Costo Envío (USD)]]+STOCK[[#This Row],[Comisión 10%]]</f>
        <v>11.8</v>
      </c>
      <c r="U1604" s="76">
        <f>STOCK[[#This Row],[Costo total]]*1.5</f>
        <v>17.7</v>
      </c>
      <c r="V1604" s="76">
        <v>18</v>
      </c>
      <c r="W1604" s="94">
        <f>STOCK[[#This Row],[Precio Final]]-STOCK[[#This Row],[Costo total]]</f>
        <v>6.2</v>
      </c>
      <c r="X1604" s="94">
        <f>STOCK[[#This Row],[Ganancia Unitaria]]*STOCK[[#This Row],[Salidas]]</f>
        <v>0</v>
      </c>
      <c r="Y1604" s="94"/>
      <c r="Z1604" s="94"/>
      <c r="AA1604" s="94">
        <f>STOCK[[#This Row],[Costo total]]*STOCK[[#This Row],[Entradas]]</f>
        <v>11.8</v>
      </c>
      <c r="AB1604" s="94">
        <f>STOCK[[#This Row],[Stock Actual]]*STOCK[[#This Row],[Costo total]]</f>
        <v>11.8</v>
      </c>
      <c r="AC1604" s="94"/>
      <c r="AD1604" s="100"/>
    </row>
    <row r="1605" s="76" customFormat="1" ht="50" customHeight="1" spans="1:30">
      <c r="A1605" s="76" t="s">
        <v>3187</v>
      </c>
      <c r="B1605" s="91" t="str">
        <f>_xlfn.DISPIMG("ID_7F752E326DE9458E9D3971BF2B070137",1)</f>
        <v>=DISPIMG("ID_7F752E326DE9458E9D3971BF2B070137",1)</v>
      </c>
      <c r="C1605" s="76" t="s">
        <v>30</v>
      </c>
      <c r="D1605" s="76" t="s">
        <v>747</v>
      </c>
      <c r="E1605" s="76" t="s">
        <v>3186</v>
      </c>
      <c r="F1605" s="76" t="s">
        <v>44</v>
      </c>
      <c r="H1605" s="94">
        <f>STOCK[[#This Row],[Precio Final]]</f>
        <v>18</v>
      </c>
      <c r="I1605" s="98">
        <f>STOCK[[#This Row],[Precio Venta Ideal (x1.5)]]</f>
        <v>17.7</v>
      </c>
      <c r="J1605" s="91">
        <v>2</v>
      </c>
      <c r="K1605" s="96">
        <f>SUMIFS(VENTAS[Cantidad],VENTAS[Código del producto Vendido],STOCK[[#This Row],[Code]])</f>
        <v>0</v>
      </c>
      <c r="L1605" s="96">
        <f>STOCK[[#This Row],[Entradas]]-STOCK[[#This Row],[Salidas]]</f>
        <v>2</v>
      </c>
      <c r="M1605" s="94">
        <f>STOCK[[#This Row],[Precio Final]]*10%</f>
        <v>1.8</v>
      </c>
      <c r="N1605" s="76">
        <v>0</v>
      </c>
      <c r="O1605" s="94">
        <v>0</v>
      </c>
      <c r="P1605" s="76">
        <v>10</v>
      </c>
      <c r="Q1605" s="92">
        <v>0</v>
      </c>
      <c r="R1605" s="77">
        <v>0</v>
      </c>
      <c r="S1605" s="77">
        <v>0</v>
      </c>
      <c r="T1605" s="94">
        <f>STOCK[[#This Row],[Costo Unitario (USD)]]+STOCK[[#This Row],[Costo Envío (USD)]]+STOCK[[#This Row],[Comisión 10%]]</f>
        <v>11.8</v>
      </c>
      <c r="U1605" s="76">
        <f>STOCK[[#This Row],[Costo total]]*1.5</f>
        <v>17.7</v>
      </c>
      <c r="V1605" s="76">
        <v>18</v>
      </c>
      <c r="W1605" s="94">
        <f>STOCK[[#This Row],[Precio Final]]-STOCK[[#This Row],[Costo total]]</f>
        <v>6.2</v>
      </c>
      <c r="X1605" s="94">
        <f>STOCK[[#This Row],[Ganancia Unitaria]]*STOCK[[#This Row],[Salidas]]</f>
        <v>0</v>
      </c>
      <c r="Y1605" s="94"/>
      <c r="Z1605" s="94"/>
      <c r="AA1605" s="94">
        <f>STOCK[[#This Row],[Costo total]]*STOCK[[#This Row],[Entradas]]</f>
        <v>23.6</v>
      </c>
      <c r="AB1605" s="94">
        <f>STOCK[[#This Row],[Stock Actual]]*STOCK[[#This Row],[Costo total]]</f>
        <v>23.6</v>
      </c>
      <c r="AC1605" s="94"/>
      <c r="AD1605" s="100"/>
    </row>
    <row r="1606" s="76" customFormat="1" ht="50" customHeight="1" spans="1:30">
      <c r="A1606" s="76" t="s">
        <v>3188</v>
      </c>
      <c r="B1606" s="91" t="str">
        <f>_xlfn.DISPIMG("ID_7F752E326DE9458E9D3971BF2B070137",1)</f>
        <v>=DISPIMG("ID_7F752E326DE9458E9D3971BF2B070137",1)</v>
      </c>
      <c r="C1606" s="76" t="s">
        <v>30</v>
      </c>
      <c r="D1606" s="76" t="s">
        <v>747</v>
      </c>
      <c r="E1606" s="76" t="s">
        <v>3186</v>
      </c>
      <c r="F1606" s="76" t="s">
        <v>40</v>
      </c>
      <c r="H1606" s="94">
        <f>STOCK[[#This Row],[Precio Final]]</f>
        <v>18</v>
      </c>
      <c r="I1606" s="98">
        <f>STOCK[[#This Row],[Precio Venta Ideal (x1.5)]]</f>
        <v>17.7</v>
      </c>
      <c r="J1606" s="91">
        <v>1</v>
      </c>
      <c r="K1606" s="96">
        <f>SUMIFS(VENTAS[Cantidad],VENTAS[Código del producto Vendido],STOCK[[#This Row],[Code]])</f>
        <v>0</v>
      </c>
      <c r="L1606" s="96">
        <f>STOCK[[#This Row],[Entradas]]-STOCK[[#This Row],[Salidas]]</f>
        <v>1</v>
      </c>
      <c r="M1606" s="94">
        <f>STOCK[[#This Row],[Precio Final]]*10%</f>
        <v>1.8</v>
      </c>
      <c r="N1606" s="77">
        <v>0</v>
      </c>
      <c r="O1606" s="94">
        <v>0</v>
      </c>
      <c r="P1606" s="76">
        <v>10</v>
      </c>
      <c r="Q1606" s="91">
        <v>0</v>
      </c>
      <c r="R1606" s="76">
        <v>0</v>
      </c>
      <c r="S1606" s="76">
        <v>0</v>
      </c>
      <c r="T1606" s="94">
        <f>STOCK[[#This Row],[Costo Unitario (USD)]]+STOCK[[#This Row],[Costo Envío (USD)]]+STOCK[[#This Row],[Comisión 10%]]</f>
        <v>11.8</v>
      </c>
      <c r="U1606" s="76">
        <f>STOCK[[#This Row],[Costo total]]*1.5</f>
        <v>17.7</v>
      </c>
      <c r="V1606" s="76">
        <v>18</v>
      </c>
      <c r="W1606" s="94">
        <f>STOCK[[#This Row],[Precio Final]]-STOCK[[#This Row],[Costo total]]</f>
        <v>6.2</v>
      </c>
      <c r="X1606" s="94">
        <f>STOCK[[#This Row],[Ganancia Unitaria]]*STOCK[[#This Row],[Salidas]]</f>
        <v>0</v>
      </c>
      <c r="Y1606" s="94"/>
      <c r="Z1606" s="94"/>
      <c r="AA1606" s="94">
        <f>STOCK[[#This Row],[Costo total]]*STOCK[[#This Row],[Entradas]]</f>
        <v>11.8</v>
      </c>
      <c r="AB1606" s="94">
        <f>STOCK[[#This Row],[Stock Actual]]*STOCK[[#This Row],[Costo total]]</f>
        <v>11.8</v>
      </c>
      <c r="AC1606" s="94"/>
      <c r="AD1606" s="100"/>
    </row>
    <row r="1607" s="76" customFormat="1" ht="50" customHeight="1" spans="1:30">
      <c r="A1607" s="76" t="s">
        <v>3189</v>
      </c>
      <c r="C1607" s="76" t="s">
        <v>30</v>
      </c>
      <c r="D1607" s="76" t="s">
        <v>747</v>
      </c>
      <c r="E1607" s="76" t="s">
        <v>3190</v>
      </c>
      <c r="F1607" s="76" t="s">
        <v>40</v>
      </c>
      <c r="H1607" s="94">
        <f>STOCK[[#This Row],[Precio Final]]</f>
        <v>18</v>
      </c>
      <c r="I1607" s="98">
        <f>STOCK[[#This Row],[Precio Venta Ideal (x1.5)]]</f>
        <v>17.7</v>
      </c>
      <c r="J1607" s="91">
        <v>1</v>
      </c>
      <c r="K1607" s="96">
        <f>SUMIFS(VENTAS[Cantidad],VENTAS[Código del producto Vendido],STOCK[[#This Row],[Code]])</f>
        <v>0</v>
      </c>
      <c r="L1607" s="96">
        <f>STOCK[[#This Row],[Entradas]]-STOCK[[#This Row],[Salidas]]</f>
        <v>1</v>
      </c>
      <c r="M1607" s="94">
        <f>STOCK[[#This Row],[Precio Final]]*10%</f>
        <v>1.8</v>
      </c>
      <c r="N1607" s="77">
        <v>0</v>
      </c>
      <c r="O1607" s="94">
        <v>0</v>
      </c>
      <c r="P1607" s="76">
        <v>10</v>
      </c>
      <c r="Q1607" s="91">
        <v>0</v>
      </c>
      <c r="R1607" s="77">
        <v>0</v>
      </c>
      <c r="S1607" s="77">
        <v>0</v>
      </c>
      <c r="T1607" s="94">
        <f>STOCK[[#This Row],[Costo Unitario (USD)]]+STOCK[[#This Row],[Costo Envío (USD)]]+STOCK[[#This Row],[Comisión 10%]]</f>
        <v>11.8</v>
      </c>
      <c r="U1607" s="76">
        <f>STOCK[[#This Row],[Costo total]]*1.5</f>
        <v>17.7</v>
      </c>
      <c r="V1607" s="76">
        <v>18</v>
      </c>
      <c r="W1607" s="94">
        <f>STOCK[[#This Row],[Precio Final]]-STOCK[[#This Row],[Costo total]]</f>
        <v>6.2</v>
      </c>
      <c r="X1607" s="94">
        <f>STOCK[[#This Row],[Ganancia Unitaria]]*STOCK[[#This Row],[Salidas]]</f>
        <v>0</v>
      </c>
      <c r="Y1607" s="94"/>
      <c r="Z1607" s="94"/>
      <c r="AA1607" s="94">
        <f>STOCK[[#This Row],[Costo total]]*STOCK[[#This Row],[Entradas]]</f>
        <v>11.8</v>
      </c>
      <c r="AB1607" s="94">
        <f>STOCK[[#This Row],[Stock Actual]]*STOCK[[#This Row],[Costo total]]</f>
        <v>11.8</v>
      </c>
      <c r="AC1607" s="94"/>
      <c r="AD1607" s="100"/>
    </row>
    <row r="1608" s="76" customFormat="1" ht="50" customHeight="1" spans="1:30">
      <c r="A1608" s="76" t="s">
        <v>3191</v>
      </c>
      <c r="B1608" s="91" t="str">
        <f>_xlfn.DISPIMG("ID_2975DE62BF5641D3941654633AA53440",1)</f>
        <v>=DISPIMG("ID_2975DE62BF5641D3941654633AA53440",1)</v>
      </c>
      <c r="C1608" s="76" t="s">
        <v>30</v>
      </c>
      <c r="D1608" s="76" t="s">
        <v>747</v>
      </c>
      <c r="E1608" s="76" t="s">
        <v>3192</v>
      </c>
      <c r="F1608" s="76" t="s">
        <v>40</v>
      </c>
      <c r="H1608" s="94">
        <f>STOCK[[#This Row],[Precio Final]]</f>
        <v>18</v>
      </c>
      <c r="I1608" s="98">
        <f>STOCK[[#This Row],[Precio Venta Ideal (x1.5)]]</f>
        <v>17.7</v>
      </c>
      <c r="J1608" s="91">
        <v>2</v>
      </c>
      <c r="K1608" s="96">
        <f>SUMIFS(VENTAS[Cantidad],VENTAS[Código del producto Vendido],STOCK[[#This Row],[Code]])</f>
        <v>0</v>
      </c>
      <c r="L1608" s="96">
        <f>STOCK[[#This Row],[Entradas]]-STOCK[[#This Row],[Salidas]]</f>
        <v>2</v>
      </c>
      <c r="M1608" s="94">
        <f>STOCK[[#This Row],[Precio Final]]*10%</f>
        <v>1.8</v>
      </c>
      <c r="N1608" s="76">
        <v>0</v>
      </c>
      <c r="O1608" s="94">
        <v>0</v>
      </c>
      <c r="P1608" s="76">
        <v>10</v>
      </c>
      <c r="Q1608" s="92">
        <v>0</v>
      </c>
      <c r="R1608" s="76">
        <v>0</v>
      </c>
      <c r="S1608" s="77">
        <v>0</v>
      </c>
      <c r="T1608" s="94">
        <f>STOCK[[#This Row],[Costo Unitario (USD)]]+STOCK[[#This Row],[Costo Envío (USD)]]+STOCK[[#This Row],[Comisión 10%]]</f>
        <v>11.8</v>
      </c>
      <c r="U1608" s="76">
        <f>STOCK[[#This Row],[Costo total]]*1.5</f>
        <v>17.7</v>
      </c>
      <c r="V1608" s="76">
        <v>18</v>
      </c>
      <c r="W1608" s="94">
        <f>STOCK[[#This Row],[Precio Final]]-STOCK[[#This Row],[Costo total]]</f>
        <v>6.2</v>
      </c>
      <c r="X1608" s="94">
        <f>STOCK[[#This Row],[Ganancia Unitaria]]*STOCK[[#This Row],[Salidas]]</f>
        <v>0</v>
      </c>
      <c r="Y1608" s="94"/>
      <c r="Z1608" s="94"/>
      <c r="AA1608" s="94">
        <f>STOCK[[#This Row],[Costo total]]*STOCK[[#This Row],[Entradas]]</f>
        <v>23.6</v>
      </c>
      <c r="AB1608" s="94">
        <f>STOCK[[#This Row],[Stock Actual]]*STOCK[[#This Row],[Costo total]]</f>
        <v>23.6</v>
      </c>
      <c r="AC1608" s="94"/>
      <c r="AD1608" s="100"/>
    </row>
    <row r="1609" s="76" customFormat="1" ht="50" customHeight="1" spans="1:30">
      <c r="A1609" s="76" t="s">
        <v>3193</v>
      </c>
      <c r="B1609" s="91" t="str">
        <f>_xlfn.DISPIMG("ID_432F0E6BF5384984B222667A7B5EA4C8",1)</f>
        <v>=DISPIMG("ID_432F0E6BF5384984B222667A7B5EA4C8",1)</v>
      </c>
      <c r="C1609" s="76" t="s">
        <v>30</v>
      </c>
      <c r="D1609" s="76" t="s">
        <v>747</v>
      </c>
      <c r="E1609" s="76" t="s">
        <v>3194</v>
      </c>
      <c r="F1609" s="76" t="s">
        <v>47</v>
      </c>
      <c r="H1609" s="94">
        <f>STOCK[[#This Row],[Precio Final]]</f>
        <v>18</v>
      </c>
      <c r="I1609" s="98">
        <f>STOCK[[#This Row],[Precio Venta Ideal (x1.5)]]</f>
        <v>17.7</v>
      </c>
      <c r="J1609" s="91">
        <v>2</v>
      </c>
      <c r="K1609" s="96">
        <f>SUMIFS(VENTAS[Cantidad],VENTAS[Código del producto Vendido],STOCK[[#This Row],[Code]])</f>
        <v>0</v>
      </c>
      <c r="L1609" s="96">
        <f>STOCK[[#This Row],[Entradas]]-STOCK[[#This Row],[Salidas]]</f>
        <v>2</v>
      </c>
      <c r="M1609" s="94">
        <f>STOCK[[#This Row],[Precio Final]]*10%</f>
        <v>1.8</v>
      </c>
      <c r="N1609" s="77">
        <v>0</v>
      </c>
      <c r="O1609" s="94">
        <v>0</v>
      </c>
      <c r="P1609" s="76">
        <v>10</v>
      </c>
      <c r="Q1609" s="91">
        <v>0</v>
      </c>
      <c r="R1609" s="77">
        <v>0</v>
      </c>
      <c r="S1609" s="76">
        <v>0</v>
      </c>
      <c r="T1609" s="94">
        <f>STOCK[[#This Row],[Costo Unitario (USD)]]+STOCK[[#This Row],[Costo Envío (USD)]]+STOCK[[#This Row],[Comisión 10%]]</f>
        <v>11.8</v>
      </c>
      <c r="U1609" s="76">
        <f>STOCK[[#This Row],[Costo total]]*1.5</f>
        <v>17.7</v>
      </c>
      <c r="V1609" s="76">
        <v>18</v>
      </c>
      <c r="W1609" s="94">
        <f>STOCK[[#This Row],[Precio Final]]-STOCK[[#This Row],[Costo total]]</f>
        <v>6.2</v>
      </c>
      <c r="X1609" s="94">
        <f>STOCK[[#This Row],[Ganancia Unitaria]]*STOCK[[#This Row],[Salidas]]</f>
        <v>0</v>
      </c>
      <c r="Y1609" s="94"/>
      <c r="Z1609" s="94"/>
      <c r="AA1609" s="94">
        <f>STOCK[[#This Row],[Costo total]]*STOCK[[#This Row],[Entradas]]</f>
        <v>23.6</v>
      </c>
      <c r="AB1609" s="94">
        <f>STOCK[[#This Row],[Stock Actual]]*STOCK[[#This Row],[Costo total]]</f>
        <v>23.6</v>
      </c>
      <c r="AC1609" s="94"/>
      <c r="AD1609" s="100"/>
    </row>
    <row r="1610" s="76" customFormat="1" ht="50" customHeight="1" spans="1:30">
      <c r="A1610" s="76" t="s">
        <v>3195</v>
      </c>
      <c r="B1610" s="91" t="str">
        <f>_xlfn.DISPIMG("ID_9E5F345CDF4048A9AE9AE714630F08C6",1)</f>
        <v>=DISPIMG("ID_9E5F345CDF4048A9AE9AE714630F08C6",1)</v>
      </c>
      <c r="C1610" s="76" t="s">
        <v>30</v>
      </c>
      <c r="D1610" s="76" t="s">
        <v>747</v>
      </c>
      <c r="E1610" s="76" t="s">
        <v>3196</v>
      </c>
      <c r="F1610" s="76" t="s">
        <v>44</v>
      </c>
      <c r="H1610" s="94">
        <f>STOCK[[#This Row],[Precio Final]]</f>
        <v>18</v>
      </c>
      <c r="I1610" s="98">
        <f>STOCK[[#This Row],[Precio Venta Ideal (x1.5)]]</f>
        <v>17.7</v>
      </c>
      <c r="J1610" s="91">
        <v>1</v>
      </c>
      <c r="K1610" s="96">
        <f>SUMIFS(VENTAS[Cantidad],VENTAS[Código del producto Vendido],STOCK[[#This Row],[Code]])</f>
        <v>0</v>
      </c>
      <c r="L1610" s="96">
        <f>STOCK[[#This Row],[Entradas]]-STOCK[[#This Row],[Salidas]]</f>
        <v>1</v>
      </c>
      <c r="M1610" s="94">
        <f>STOCK[[#This Row],[Precio Final]]*10%</f>
        <v>1.8</v>
      </c>
      <c r="N1610" s="77">
        <v>0</v>
      </c>
      <c r="O1610" s="94">
        <v>0</v>
      </c>
      <c r="P1610" s="76">
        <v>10</v>
      </c>
      <c r="Q1610" s="91">
        <v>0</v>
      </c>
      <c r="R1610" s="76">
        <v>0</v>
      </c>
      <c r="S1610" s="77">
        <v>0</v>
      </c>
      <c r="T1610" s="94">
        <f>STOCK[[#This Row],[Costo Unitario (USD)]]+STOCK[[#This Row],[Costo Envío (USD)]]+STOCK[[#This Row],[Comisión 10%]]</f>
        <v>11.8</v>
      </c>
      <c r="U1610" s="76">
        <f>STOCK[[#This Row],[Costo total]]*1.5</f>
        <v>17.7</v>
      </c>
      <c r="V1610" s="76">
        <v>18</v>
      </c>
      <c r="W1610" s="94">
        <f>STOCK[[#This Row],[Precio Final]]-STOCK[[#This Row],[Costo total]]</f>
        <v>6.2</v>
      </c>
      <c r="X1610" s="94">
        <f>STOCK[[#This Row],[Ganancia Unitaria]]*STOCK[[#This Row],[Salidas]]</f>
        <v>0</v>
      </c>
      <c r="Y1610" s="94"/>
      <c r="Z1610" s="94"/>
      <c r="AA1610" s="94">
        <f>STOCK[[#This Row],[Costo total]]*STOCK[[#This Row],[Entradas]]</f>
        <v>11.8</v>
      </c>
      <c r="AB1610" s="94">
        <f>STOCK[[#This Row],[Stock Actual]]*STOCK[[#This Row],[Costo total]]</f>
        <v>11.8</v>
      </c>
      <c r="AC1610" s="94"/>
      <c r="AD1610" s="100"/>
    </row>
    <row r="1611" s="76" customFormat="1" ht="50" customHeight="1" spans="1:30">
      <c r="A1611" s="76" t="s">
        <v>3197</v>
      </c>
      <c r="B1611" s="91" t="str">
        <f>_xlfn.DISPIMG("ID_CC98686D60D34BF997D1F5A2805BB1F6",1)</f>
        <v>=DISPIMG("ID_CC98686D60D34BF997D1F5A2805BB1F6",1)</v>
      </c>
      <c r="C1611" s="76" t="s">
        <v>30</v>
      </c>
      <c r="D1611" s="76" t="s">
        <v>747</v>
      </c>
      <c r="E1611" s="76" t="s">
        <v>3198</v>
      </c>
      <c r="F1611" s="76" t="s">
        <v>40</v>
      </c>
      <c r="H1611" s="94">
        <f>STOCK[[#This Row],[Precio Final]]</f>
        <v>18</v>
      </c>
      <c r="I1611" s="98">
        <f>STOCK[[#This Row],[Precio Venta Ideal (x1.5)]]</f>
        <v>17.7</v>
      </c>
      <c r="J1611" s="91">
        <v>1</v>
      </c>
      <c r="K1611" s="96">
        <f>SUMIFS(VENTAS[Cantidad],VENTAS[Código del producto Vendido],STOCK[[#This Row],[Code]])</f>
        <v>0</v>
      </c>
      <c r="L1611" s="96">
        <f>STOCK[[#This Row],[Entradas]]-STOCK[[#This Row],[Salidas]]</f>
        <v>1</v>
      </c>
      <c r="M1611" s="94">
        <f>STOCK[[#This Row],[Precio Final]]*10%</f>
        <v>1.8</v>
      </c>
      <c r="N1611" s="76">
        <v>0</v>
      </c>
      <c r="O1611" s="94">
        <v>0</v>
      </c>
      <c r="P1611" s="76">
        <v>10</v>
      </c>
      <c r="Q1611" s="92">
        <v>0</v>
      </c>
      <c r="R1611" s="77">
        <v>0</v>
      </c>
      <c r="S1611" s="77">
        <v>0</v>
      </c>
      <c r="T1611" s="94">
        <f>STOCK[[#This Row],[Costo Unitario (USD)]]+STOCK[[#This Row],[Costo Envío (USD)]]+STOCK[[#This Row],[Comisión 10%]]</f>
        <v>11.8</v>
      </c>
      <c r="U1611" s="76">
        <f>STOCK[[#This Row],[Costo total]]*1.5</f>
        <v>17.7</v>
      </c>
      <c r="V1611" s="76">
        <v>18</v>
      </c>
      <c r="W1611" s="94">
        <f>STOCK[[#This Row],[Precio Final]]-STOCK[[#This Row],[Costo total]]</f>
        <v>6.2</v>
      </c>
      <c r="X1611" s="94">
        <f>STOCK[[#This Row],[Ganancia Unitaria]]*STOCK[[#This Row],[Salidas]]</f>
        <v>0</v>
      </c>
      <c r="Y1611" s="94"/>
      <c r="Z1611" s="94"/>
      <c r="AA1611" s="94">
        <f>STOCK[[#This Row],[Costo total]]*STOCK[[#This Row],[Entradas]]</f>
        <v>11.8</v>
      </c>
      <c r="AB1611" s="94">
        <f>STOCK[[#This Row],[Stock Actual]]*STOCK[[#This Row],[Costo total]]</f>
        <v>11.8</v>
      </c>
      <c r="AC1611" s="94"/>
      <c r="AD1611" s="100"/>
    </row>
    <row r="1612" s="76" customFormat="1" ht="50" customHeight="1" spans="1:30">
      <c r="A1612" s="76" t="s">
        <v>3199</v>
      </c>
      <c r="B1612" s="91" t="str">
        <f>_xlfn.DISPIMG("ID_CC98686D60D34BF997D1F5A2805BB1F6",1)</f>
        <v>=DISPIMG("ID_CC98686D60D34BF997D1F5A2805BB1F6",1)</v>
      </c>
      <c r="C1612" s="76" t="s">
        <v>30</v>
      </c>
      <c r="D1612" s="76" t="s">
        <v>747</v>
      </c>
      <c r="E1612" s="76" t="s">
        <v>3198</v>
      </c>
      <c r="F1612" s="76" t="s">
        <v>60</v>
      </c>
      <c r="H1612" s="94">
        <f>STOCK[[#This Row],[Precio Final]]</f>
        <v>18</v>
      </c>
      <c r="I1612" s="98">
        <f>STOCK[[#This Row],[Precio Venta Ideal (x1.5)]]</f>
        <v>17.7</v>
      </c>
      <c r="J1612" s="91">
        <v>1</v>
      </c>
      <c r="K1612" s="96">
        <f>SUMIFS(VENTAS[Cantidad],VENTAS[Código del producto Vendido],STOCK[[#This Row],[Code]])</f>
        <v>0</v>
      </c>
      <c r="L1612" s="96">
        <f>STOCK[[#This Row],[Entradas]]-STOCK[[#This Row],[Salidas]]</f>
        <v>1</v>
      </c>
      <c r="M1612" s="94">
        <f>STOCK[[#This Row],[Precio Final]]*10%</f>
        <v>1.8</v>
      </c>
      <c r="N1612" s="77">
        <v>0</v>
      </c>
      <c r="O1612" s="94">
        <v>0</v>
      </c>
      <c r="P1612" s="76">
        <v>10</v>
      </c>
      <c r="Q1612" s="91">
        <v>0</v>
      </c>
      <c r="R1612" s="76">
        <v>0</v>
      </c>
      <c r="S1612" s="76">
        <v>0</v>
      </c>
      <c r="T1612" s="94">
        <f>STOCK[[#This Row],[Costo Unitario (USD)]]+STOCK[[#This Row],[Costo Envío (USD)]]+STOCK[[#This Row],[Comisión 10%]]</f>
        <v>11.8</v>
      </c>
      <c r="U1612" s="76">
        <f>STOCK[[#This Row],[Costo total]]*1.5</f>
        <v>17.7</v>
      </c>
      <c r="V1612" s="76">
        <v>18</v>
      </c>
      <c r="W1612" s="94">
        <f>STOCK[[#This Row],[Precio Final]]-STOCK[[#This Row],[Costo total]]</f>
        <v>6.2</v>
      </c>
      <c r="X1612" s="94">
        <f>STOCK[[#This Row],[Ganancia Unitaria]]*STOCK[[#This Row],[Salidas]]</f>
        <v>0</v>
      </c>
      <c r="Y1612" s="94"/>
      <c r="Z1612" s="94"/>
      <c r="AA1612" s="94">
        <f>STOCK[[#This Row],[Costo total]]*STOCK[[#This Row],[Entradas]]</f>
        <v>11.8</v>
      </c>
      <c r="AB1612" s="94">
        <f>STOCK[[#This Row],[Stock Actual]]*STOCK[[#This Row],[Costo total]]</f>
        <v>11.8</v>
      </c>
      <c r="AC1612" s="94"/>
      <c r="AD1612" s="100"/>
    </row>
    <row r="1613" s="76" customFormat="1" ht="50" customHeight="1" spans="1:30">
      <c r="A1613" s="76" t="s">
        <v>3200</v>
      </c>
      <c r="B1613" s="91" t="str">
        <f>_xlfn.DISPIMG("ID_CC98686D60D34BF997D1F5A2805BB1F6",1)</f>
        <v>=DISPIMG("ID_CC98686D60D34BF997D1F5A2805BB1F6",1)</v>
      </c>
      <c r="C1613" s="76" t="s">
        <v>30</v>
      </c>
      <c r="D1613" s="76" t="s">
        <v>747</v>
      </c>
      <c r="E1613" s="76" t="s">
        <v>3198</v>
      </c>
      <c r="F1613" s="76" t="s">
        <v>47</v>
      </c>
      <c r="H1613" s="94">
        <f>STOCK[[#This Row],[Precio Final]]</f>
        <v>18</v>
      </c>
      <c r="I1613" s="98">
        <f>STOCK[[#This Row],[Precio Venta Ideal (x1.5)]]</f>
        <v>17.7</v>
      </c>
      <c r="J1613" s="91">
        <v>1</v>
      </c>
      <c r="K1613" s="96">
        <f>SUMIFS(VENTAS[Cantidad],VENTAS[Código del producto Vendido],STOCK[[#This Row],[Code]])</f>
        <v>0</v>
      </c>
      <c r="L1613" s="96">
        <f>STOCK[[#This Row],[Entradas]]-STOCK[[#This Row],[Salidas]]</f>
        <v>1</v>
      </c>
      <c r="M1613" s="94">
        <f>STOCK[[#This Row],[Precio Final]]*10%</f>
        <v>1.8</v>
      </c>
      <c r="N1613" s="77">
        <v>0</v>
      </c>
      <c r="O1613" s="94">
        <v>0</v>
      </c>
      <c r="P1613" s="76">
        <v>10</v>
      </c>
      <c r="Q1613" s="91">
        <v>0</v>
      </c>
      <c r="R1613" s="77">
        <v>0</v>
      </c>
      <c r="S1613" s="77">
        <v>0</v>
      </c>
      <c r="T1613" s="94">
        <f>STOCK[[#This Row],[Costo Unitario (USD)]]+STOCK[[#This Row],[Costo Envío (USD)]]+STOCK[[#This Row],[Comisión 10%]]</f>
        <v>11.8</v>
      </c>
      <c r="U1613" s="76">
        <f>STOCK[[#This Row],[Costo total]]*1.5</f>
        <v>17.7</v>
      </c>
      <c r="V1613" s="76">
        <v>18</v>
      </c>
      <c r="W1613" s="94">
        <f>STOCK[[#This Row],[Precio Final]]-STOCK[[#This Row],[Costo total]]</f>
        <v>6.2</v>
      </c>
      <c r="X1613" s="94">
        <f>STOCK[[#This Row],[Ganancia Unitaria]]*STOCK[[#This Row],[Salidas]]</f>
        <v>0</v>
      </c>
      <c r="Y1613" s="94"/>
      <c r="Z1613" s="94"/>
      <c r="AA1613" s="94">
        <f>STOCK[[#This Row],[Costo total]]*STOCK[[#This Row],[Entradas]]</f>
        <v>11.8</v>
      </c>
      <c r="AB1613" s="94">
        <f>STOCK[[#This Row],[Stock Actual]]*STOCK[[#This Row],[Costo total]]</f>
        <v>11.8</v>
      </c>
      <c r="AC1613" s="94"/>
      <c r="AD1613" s="100"/>
    </row>
    <row r="1614" s="76" customFormat="1" ht="50" customHeight="1" spans="1:30">
      <c r="A1614" s="76" t="s">
        <v>3201</v>
      </c>
      <c r="B1614" s="91" t="str">
        <f>_xlfn.DISPIMG("ID_9D86C42268174E569F1B44CA83A94651",1)</f>
        <v>=DISPIMG("ID_9D86C42268174E569F1B44CA83A94651",1)</v>
      </c>
      <c r="C1614" s="76" t="s">
        <v>30</v>
      </c>
      <c r="D1614" s="76" t="s">
        <v>747</v>
      </c>
      <c r="E1614" s="76" t="s">
        <v>3202</v>
      </c>
      <c r="F1614" s="76" t="s">
        <v>38</v>
      </c>
      <c r="H1614" s="94">
        <f>STOCK[[#This Row],[Precio Final]]</f>
        <v>18</v>
      </c>
      <c r="I1614" s="98">
        <f>STOCK[[#This Row],[Precio Venta Ideal (x1.5)]]</f>
        <v>17.7</v>
      </c>
      <c r="J1614" s="91">
        <v>1</v>
      </c>
      <c r="K1614" s="96">
        <f>SUMIFS(VENTAS[Cantidad],VENTAS[Código del producto Vendido],STOCK[[#This Row],[Code]])</f>
        <v>0</v>
      </c>
      <c r="L1614" s="96">
        <f>STOCK[[#This Row],[Entradas]]-STOCK[[#This Row],[Salidas]]</f>
        <v>1</v>
      </c>
      <c r="M1614" s="94">
        <f>STOCK[[#This Row],[Precio Final]]*10%</f>
        <v>1.8</v>
      </c>
      <c r="N1614" s="76">
        <v>0</v>
      </c>
      <c r="O1614" s="94">
        <v>0</v>
      </c>
      <c r="P1614" s="76">
        <v>10</v>
      </c>
      <c r="Q1614" s="92">
        <v>0</v>
      </c>
      <c r="R1614" s="76">
        <v>0</v>
      </c>
      <c r="S1614" s="77">
        <v>0</v>
      </c>
      <c r="T1614" s="94">
        <f>STOCK[[#This Row],[Costo Unitario (USD)]]+STOCK[[#This Row],[Costo Envío (USD)]]+STOCK[[#This Row],[Comisión 10%]]</f>
        <v>11.8</v>
      </c>
      <c r="U1614" s="76">
        <f>STOCK[[#This Row],[Costo total]]*1.5</f>
        <v>17.7</v>
      </c>
      <c r="V1614" s="76">
        <v>18</v>
      </c>
      <c r="W1614" s="94">
        <f>STOCK[[#This Row],[Precio Final]]-STOCK[[#This Row],[Costo total]]</f>
        <v>6.2</v>
      </c>
      <c r="X1614" s="94">
        <f>STOCK[[#This Row],[Ganancia Unitaria]]*STOCK[[#This Row],[Salidas]]</f>
        <v>0</v>
      </c>
      <c r="Y1614" s="94"/>
      <c r="Z1614" s="94"/>
      <c r="AA1614" s="94">
        <f>STOCK[[#This Row],[Costo total]]*STOCK[[#This Row],[Entradas]]</f>
        <v>11.8</v>
      </c>
      <c r="AB1614" s="94">
        <f>STOCK[[#This Row],[Stock Actual]]*STOCK[[#This Row],[Costo total]]</f>
        <v>11.8</v>
      </c>
      <c r="AC1614" s="94"/>
      <c r="AD1614" s="100"/>
    </row>
    <row r="1615" s="76" customFormat="1" ht="50" customHeight="1" spans="1:30">
      <c r="A1615" s="76" t="s">
        <v>3203</v>
      </c>
      <c r="B1615" s="91" t="str">
        <f>_xlfn.DISPIMG("ID_6192ED3DEF4E40E0B9CB7A8B01908DF1",1)</f>
        <v>=DISPIMG("ID_6192ED3DEF4E40E0B9CB7A8B01908DF1",1)</v>
      </c>
      <c r="C1615" s="76" t="s">
        <v>30</v>
      </c>
      <c r="D1615" s="76" t="s">
        <v>747</v>
      </c>
      <c r="E1615" s="76" t="s">
        <v>3204</v>
      </c>
      <c r="F1615" s="76" t="s">
        <v>44</v>
      </c>
      <c r="H1615" s="94">
        <f>STOCK[[#This Row],[Precio Final]]</f>
        <v>18</v>
      </c>
      <c r="I1615" s="98">
        <f>STOCK[[#This Row],[Precio Venta Ideal (x1.5)]]</f>
        <v>17.7</v>
      </c>
      <c r="J1615" s="91">
        <v>1</v>
      </c>
      <c r="K1615" s="96">
        <f>SUMIFS(VENTAS[Cantidad],VENTAS[Código del producto Vendido],STOCK[[#This Row],[Code]])</f>
        <v>0</v>
      </c>
      <c r="L1615" s="96">
        <f>STOCK[[#This Row],[Entradas]]-STOCK[[#This Row],[Salidas]]</f>
        <v>1</v>
      </c>
      <c r="M1615" s="94">
        <f>STOCK[[#This Row],[Precio Final]]*10%</f>
        <v>1.8</v>
      </c>
      <c r="N1615" s="77">
        <v>0</v>
      </c>
      <c r="O1615" s="94">
        <v>0</v>
      </c>
      <c r="P1615" s="76">
        <v>10</v>
      </c>
      <c r="Q1615" s="91">
        <v>0</v>
      </c>
      <c r="R1615" s="77">
        <v>0</v>
      </c>
      <c r="S1615" s="76">
        <v>0</v>
      </c>
      <c r="T1615" s="94">
        <f>STOCK[[#This Row],[Costo Unitario (USD)]]+STOCK[[#This Row],[Costo Envío (USD)]]+STOCK[[#This Row],[Comisión 10%]]</f>
        <v>11.8</v>
      </c>
      <c r="U1615" s="76">
        <f>STOCK[[#This Row],[Costo total]]*1.5</f>
        <v>17.7</v>
      </c>
      <c r="V1615" s="76">
        <v>18</v>
      </c>
      <c r="W1615" s="94">
        <f>STOCK[[#This Row],[Precio Final]]-STOCK[[#This Row],[Costo total]]</f>
        <v>6.2</v>
      </c>
      <c r="X1615" s="94">
        <f>STOCK[[#This Row],[Ganancia Unitaria]]*STOCK[[#This Row],[Salidas]]</f>
        <v>0</v>
      </c>
      <c r="Y1615" s="94"/>
      <c r="Z1615" s="94"/>
      <c r="AA1615" s="94">
        <f>STOCK[[#This Row],[Costo total]]*STOCK[[#This Row],[Entradas]]</f>
        <v>11.8</v>
      </c>
      <c r="AB1615" s="94">
        <f>STOCK[[#This Row],[Stock Actual]]*STOCK[[#This Row],[Costo total]]</f>
        <v>11.8</v>
      </c>
      <c r="AC1615" s="94"/>
      <c r="AD1615" s="100"/>
    </row>
    <row r="1616" s="76" customFormat="1" ht="50" customHeight="1" spans="1:30">
      <c r="A1616" s="76" t="s">
        <v>3205</v>
      </c>
      <c r="B1616" s="91" t="str">
        <f>_xlfn.DISPIMG("ID_AA724A023AFC4FB18C89A785789FBDC6",1)</f>
        <v>=DISPIMG("ID_AA724A023AFC4FB18C89A785789FBDC6",1)</v>
      </c>
      <c r="C1616" s="76" t="s">
        <v>30</v>
      </c>
      <c r="D1616" s="76" t="s">
        <v>747</v>
      </c>
      <c r="E1616" s="76" t="s">
        <v>3206</v>
      </c>
      <c r="F1616" s="76" t="s">
        <v>60</v>
      </c>
      <c r="H1616" s="94">
        <f>STOCK[[#This Row],[Precio Final]]</f>
        <v>18</v>
      </c>
      <c r="I1616" s="98">
        <f>STOCK[[#This Row],[Precio Venta Ideal (x1.5)]]</f>
        <v>17.7</v>
      </c>
      <c r="J1616" s="91">
        <v>3</v>
      </c>
      <c r="K1616" s="96">
        <f>SUMIFS(VENTAS[Cantidad],VENTAS[Código del producto Vendido],STOCK[[#This Row],[Code]])</f>
        <v>0</v>
      </c>
      <c r="L1616" s="96">
        <f>STOCK[[#This Row],[Entradas]]-STOCK[[#This Row],[Salidas]]</f>
        <v>3</v>
      </c>
      <c r="M1616" s="94">
        <f>STOCK[[#This Row],[Precio Final]]*10%</f>
        <v>1.8</v>
      </c>
      <c r="N1616" s="77">
        <v>0</v>
      </c>
      <c r="O1616" s="94">
        <v>0</v>
      </c>
      <c r="P1616" s="76">
        <v>10</v>
      </c>
      <c r="Q1616" s="91">
        <v>0</v>
      </c>
      <c r="R1616" s="76">
        <v>0</v>
      </c>
      <c r="S1616" s="77">
        <v>0</v>
      </c>
      <c r="T1616" s="94">
        <f>STOCK[[#This Row],[Costo Unitario (USD)]]+STOCK[[#This Row],[Costo Envío (USD)]]+STOCK[[#This Row],[Comisión 10%]]</f>
        <v>11.8</v>
      </c>
      <c r="U1616" s="76">
        <f>STOCK[[#This Row],[Costo total]]*1.5</f>
        <v>17.7</v>
      </c>
      <c r="V1616" s="76">
        <v>18</v>
      </c>
      <c r="W1616" s="94">
        <f>STOCK[[#This Row],[Precio Final]]-STOCK[[#This Row],[Costo total]]</f>
        <v>6.2</v>
      </c>
      <c r="X1616" s="94">
        <f>STOCK[[#This Row],[Ganancia Unitaria]]*STOCK[[#This Row],[Salidas]]</f>
        <v>0</v>
      </c>
      <c r="Y1616" s="94"/>
      <c r="Z1616" s="94"/>
      <c r="AA1616" s="94">
        <f>STOCK[[#This Row],[Costo total]]*STOCK[[#This Row],[Entradas]]</f>
        <v>35.4</v>
      </c>
      <c r="AB1616" s="94">
        <f>STOCK[[#This Row],[Stock Actual]]*STOCK[[#This Row],[Costo total]]</f>
        <v>35.4</v>
      </c>
      <c r="AC1616" s="94"/>
      <c r="AD1616" s="100"/>
    </row>
    <row r="1617" s="76" customFormat="1" ht="50" customHeight="1" spans="1:30">
      <c r="A1617" s="76" t="s">
        <v>3207</v>
      </c>
      <c r="B1617" s="91" t="str">
        <f>_xlfn.DISPIMG("ID_8CDF2E94ACBF49349E7B534C668F72E1",1)</f>
        <v>=DISPIMG("ID_8CDF2E94ACBF49349E7B534C668F72E1",1)</v>
      </c>
      <c r="C1617" s="76" t="s">
        <v>30</v>
      </c>
      <c r="D1617" s="76" t="s">
        <v>747</v>
      </c>
      <c r="E1617" s="76" t="s">
        <v>3208</v>
      </c>
      <c r="F1617" s="76" t="s">
        <v>38</v>
      </c>
      <c r="H1617" s="94">
        <f>STOCK[[#This Row],[Precio Final]]</f>
        <v>18</v>
      </c>
      <c r="I1617" s="98">
        <f>STOCK[[#This Row],[Precio Venta Ideal (x1.5)]]</f>
        <v>17.7</v>
      </c>
      <c r="J1617" s="91">
        <v>1</v>
      </c>
      <c r="K1617" s="96">
        <f>SUMIFS(VENTAS[Cantidad],VENTAS[Código del producto Vendido],STOCK[[#This Row],[Code]])</f>
        <v>0</v>
      </c>
      <c r="L1617" s="96">
        <f>STOCK[[#This Row],[Entradas]]-STOCK[[#This Row],[Salidas]]</f>
        <v>1</v>
      </c>
      <c r="M1617" s="94">
        <f>STOCK[[#This Row],[Precio Final]]*10%</f>
        <v>1.8</v>
      </c>
      <c r="N1617" s="76">
        <v>0</v>
      </c>
      <c r="O1617" s="94">
        <v>0</v>
      </c>
      <c r="P1617" s="76">
        <v>10</v>
      </c>
      <c r="Q1617" s="92">
        <v>0</v>
      </c>
      <c r="R1617" s="77">
        <v>0</v>
      </c>
      <c r="S1617" s="77">
        <v>0</v>
      </c>
      <c r="T1617" s="94">
        <f>STOCK[[#This Row],[Costo Unitario (USD)]]+STOCK[[#This Row],[Costo Envío (USD)]]+STOCK[[#This Row],[Comisión 10%]]</f>
        <v>11.8</v>
      </c>
      <c r="U1617" s="76">
        <f>STOCK[[#This Row],[Costo total]]*1.5</f>
        <v>17.7</v>
      </c>
      <c r="V1617" s="76">
        <v>18</v>
      </c>
      <c r="W1617" s="94">
        <f>STOCK[[#This Row],[Precio Final]]-STOCK[[#This Row],[Costo total]]</f>
        <v>6.2</v>
      </c>
      <c r="X1617" s="94">
        <f>STOCK[[#This Row],[Ganancia Unitaria]]*STOCK[[#This Row],[Salidas]]</f>
        <v>0</v>
      </c>
      <c r="Y1617" s="94"/>
      <c r="Z1617" s="94"/>
      <c r="AA1617" s="94">
        <f>STOCK[[#This Row],[Costo total]]*STOCK[[#This Row],[Entradas]]</f>
        <v>11.8</v>
      </c>
      <c r="AB1617" s="94">
        <f>STOCK[[#This Row],[Stock Actual]]*STOCK[[#This Row],[Costo total]]</f>
        <v>11.8</v>
      </c>
      <c r="AC1617" s="94"/>
      <c r="AD1617" s="100"/>
    </row>
    <row r="1618" s="76" customFormat="1" ht="50" customHeight="1" spans="1:30">
      <c r="A1618" s="76" t="s">
        <v>3209</v>
      </c>
      <c r="B1618" s="91" t="str">
        <f>_xlfn.DISPIMG("ID_8CDF2E94ACBF49349E7B534C668F72E1",1)</f>
        <v>=DISPIMG("ID_8CDF2E94ACBF49349E7B534C668F72E1",1)</v>
      </c>
      <c r="C1618" s="76" t="s">
        <v>30</v>
      </c>
      <c r="D1618" s="76" t="s">
        <v>747</v>
      </c>
      <c r="E1618" s="76" t="s">
        <v>3208</v>
      </c>
      <c r="F1618" s="76" t="s">
        <v>60</v>
      </c>
      <c r="H1618" s="94">
        <f>STOCK[[#This Row],[Precio Final]]</f>
        <v>18</v>
      </c>
      <c r="I1618" s="98">
        <f>STOCK[[#This Row],[Precio Venta Ideal (x1.5)]]</f>
        <v>17.7</v>
      </c>
      <c r="J1618" s="91">
        <v>1</v>
      </c>
      <c r="K1618" s="96">
        <f>SUMIFS(VENTAS[Cantidad],VENTAS[Código del producto Vendido],STOCK[[#This Row],[Code]])</f>
        <v>0</v>
      </c>
      <c r="L1618" s="96">
        <f>STOCK[[#This Row],[Entradas]]-STOCK[[#This Row],[Salidas]]</f>
        <v>1</v>
      </c>
      <c r="M1618" s="94">
        <f>STOCK[[#This Row],[Precio Final]]*10%</f>
        <v>1.8</v>
      </c>
      <c r="N1618" s="77">
        <v>0</v>
      </c>
      <c r="O1618" s="94">
        <v>0</v>
      </c>
      <c r="P1618" s="76">
        <v>10</v>
      </c>
      <c r="Q1618" s="91">
        <v>0</v>
      </c>
      <c r="R1618" s="76">
        <v>0</v>
      </c>
      <c r="S1618" s="76">
        <v>0</v>
      </c>
      <c r="T1618" s="94">
        <f>STOCK[[#This Row],[Costo Unitario (USD)]]+STOCK[[#This Row],[Costo Envío (USD)]]+STOCK[[#This Row],[Comisión 10%]]</f>
        <v>11.8</v>
      </c>
      <c r="U1618" s="76">
        <f>STOCK[[#This Row],[Costo total]]*1.5</f>
        <v>17.7</v>
      </c>
      <c r="V1618" s="76">
        <v>18</v>
      </c>
      <c r="W1618" s="94">
        <f>STOCK[[#This Row],[Precio Final]]-STOCK[[#This Row],[Costo total]]</f>
        <v>6.2</v>
      </c>
      <c r="X1618" s="94">
        <f>STOCK[[#This Row],[Ganancia Unitaria]]*STOCK[[#This Row],[Salidas]]</f>
        <v>0</v>
      </c>
      <c r="Y1618" s="94"/>
      <c r="Z1618" s="94"/>
      <c r="AA1618" s="94">
        <f>STOCK[[#This Row],[Costo total]]*STOCK[[#This Row],[Entradas]]</f>
        <v>11.8</v>
      </c>
      <c r="AB1618" s="94">
        <f>STOCK[[#This Row],[Stock Actual]]*STOCK[[#This Row],[Costo total]]</f>
        <v>11.8</v>
      </c>
      <c r="AC1618" s="94"/>
      <c r="AD1618" s="100"/>
    </row>
    <row r="1619" s="76" customFormat="1" ht="50" customHeight="1" spans="1:30">
      <c r="A1619" s="76" t="s">
        <v>3210</v>
      </c>
      <c r="C1619" s="76" t="s">
        <v>30</v>
      </c>
      <c r="D1619" s="76" t="s">
        <v>1386</v>
      </c>
      <c r="E1619" s="76" t="s">
        <v>3163</v>
      </c>
      <c r="F1619" s="76" t="s">
        <v>47</v>
      </c>
      <c r="H1619" s="94">
        <f>STOCK[[#This Row],[Precio Final]]</f>
        <v>18</v>
      </c>
      <c r="I1619" s="98">
        <f>STOCK[[#This Row],[Precio Venta Ideal (x1.5)]]</f>
        <v>11.7</v>
      </c>
      <c r="J1619" s="91">
        <v>1</v>
      </c>
      <c r="K1619" s="96">
        <f>SUMIFS(VENTAS[Cantidad],VENTAS[Código del producto Vendido],STOCK[[#This Row],[Code]])</f>
        <v>0</v>
      </c>
      <c r="L1619" s="96">
        <f>STOCK[[#This Row],[Entradas]]-STOCK[[#This Row],[Salidas]]</f>
        <v>1</v>
      </c>
      <c r="M1619" s="94">
        <f>STOCK[[#This Row],[Precio Final]]*10%</f>
        <v>1.8</v>
      </c>
      <c r="N1619" s="77">
        <v>0</v>
      </c>
      <c r="O1619" s="94">
        <v>0</v>
      </c>
      <c r="P1619" s="76">
        <v>6</v>
      </c>
      <c r="Q1619" s="91">
        <v>0</v>
      </c>
      <c r="R1619" s="77">
        <v>0</v>
      </c>
      <c r="S1619" s="77">
        <v>0</v>
      </c>
      <c r="T1619" s="94">
        <f>STOCK[[#This Row],[Costo Unitario (USD)]]+STOCK[[#This Row],[Costo Envío (USD)]]+STOCK[[#This Row],[Comisión 10%]]</f>
        <v>7.8</v>
      </c>
      <c r="U1619" s="76">
        <f>STOCK[[#This Row],[Costo total]]*1.5</f>
        <v>11.7</v>
      </c>
      <c r="V1619" s="76">
        <v>18</v>
      </c>
      <c r="W1619" s="94">
        <f>STOCK[[#This Row],[Precio Final]]-STOCK[[#This Row],[Costo total]]</f>
        <v>10.2</v>
      </c>
      <c r="X1619" s="94">
        <f>STOCK[[#This Row],[Ganancia Unitaria]]*STOCK[[#This Row],[Salidas]]</f>
        <v>0</v>
      </c>
      <c r="Y1619" s="94"/>
      <c r="Z1619" s="94"/>
      <c r="AA1619" s="94">
        <f>STOCK[[#This Row],[Costo total]]*STOCK[[#This Row],[Entradas]]</f>
        <v>7.8</v>
      </c>
      <c r="AB1619" s="94">
        <f>STOCK[[#This Row],[Stock Actual]]*STOCK[[#This Row],[Costo total]]</f>
        <v>7.8</v>
      </c>
      <c r="AC1619" s="94"/>
      <c r="AD1619" s="100"/>
    </row>
    <row r="1620" s="76" customFormat="1" ht="50" customHeight="1" spans="1:30">
      <c r="A1620" s="76" t="s">
        <v>3211</v>
      </c>
      <c r="B1620" s="91" t="str">
        <f>_xlfn.DISPIMG("ID_32237752924347C9958963C7F053ED96",1)</f>
        <v>=DISPIMG("ID_32237752924347C9958963C7F053ED96",1)</v>
      </c>
      <c r="C1620" s="76" t="s">
        <v>30</v>
      </c>
      <c r="D1620" s="76" t="s">
        <v>747</v>
      </c>
      <c r="E1620" s="76" t="s">
        <v>3212</v>
      </c>
      <c r="F1620" s="76" t="s">
        <v>60</v>
      </c>
      <c r="H1620" s="94">
        <f>STOCK[[#This Row],[Precio Final]]</f>
        <v>22</v>
      </c>
      <c r="I1620" s="98">
        <f>STOCK[[#This Row],[Precio Venta Ideal (x1.5)]]</f>
        <v>18.3</v>
      </c>
      <c r="J1620" s="91">
        <v>2</v>
      </c>
      <c r="K1620" s="96">
        <f>SUMIFS(VENTAS[Cantidad],VENTAS[Código del producto Vendido],STOCK[[#This Row],[Code]])</f>
        <v>0</v>
      </c>
      <c r="L1620" s="96">
        <f>STOCK[[#This Row],[Entradas]]-STOCK[[#This Row],[Salidas]]</f>
        <v>2</v>
      </c>
      <c r="M1620" s="94">
        <f>STOCK[[#This Row],[Precio Final]]*10%</f>
        <v>2.2</v>
      </c>
      <c r="N1620" s="76">
        <v>0</v>
      </c>
      <c r="O1620" s="94">
        <v>0</v>
      </c>
      <c r="P1620" s="76">
        <v>10</v>
      </c>
      <c r="Q1620" s="92">
        <v>0</v>
      </c>
      <c r="R1620" s="76">
        <v>0</v>
      </c>
      <c r="S1620" s="77">
        <v>0</v>
      </c>
      <c r="T1620" s="94">
        <f>STOCK[[#This Row],[Costo Unitario (USD)]]+STOCK[[#This Row],[Costo Envío (USD)]]+STOCK[[#This Row],[Comisión 10%]]</f>
        <v>12.2</v>
      </c>
      <c r="U1620" s="76">
        <f>STOCK[[#This Row],[Costo total]]*1.5</f>
        <v>18.3</v>
      </c>
      <c r="V1620" s="76">
        <v>22</v>
      </c>
      <c r="W1620" s="94">
        <f>STOCK[[#This Row],[Precio Final]]-STOCK[[#This Row],[Costo total]]</f>
        <v>9.8</v>
      </c>
      <c r="X1620" s="94">
        <f>STOCK[[#This Row],[Ganancia Unitaria]]*STOCK[[#This Row],[Salidas]]</f>
        <v>0</v>
      </c>
      <c r="Y1620" s="94"/>
      <c r="Z1620" s="94"/>
      <c r="AA1620" s="94">
        <f>STOCK[[#This Row],[Costo total]]*STOCK[[#This Row],[Entradas]]</f>
        <v>24.4</v>
      </c>
      <c r="AB1620" s="94">
        <f>STOCK[[#This Row],[Stock Actual]]*STOCK[[#This Row],[Costo total]]</f>
        <v>24.4</v>
      </c>
      <c r="AC1620" s="94"/>
      <c r="AD1620" s="100"/>
    </row>
    <row r="1621" s="76" customFormat="1" ht="50" customHeight="1" spans="1:30">
      <c r="A1621" s="76" t="s">
        <v>3213</v>
      </c>
      <c r="B1621" s="76" t="s">
        <v>1343</v>
      </c>
      <c r="C1621" s="76" t="s">
        <v>30</v>
      </c>
      <c r="D1621" s="76" t="s">
        <v>747</v>
      </c>
      <c r="E1621" s="76" t="s">
        <v>3214</v>
      </c>
      <c r="F1621" s="76" t="s">
        <v>60</v>
      </c>
      <c r="H1621" s="94">
        <f>STOCK[[#This Row],[Precio Final]]</f>
        <v>25</v>
      </c>
      <c r="I1621" s="98">
        <f>STOCK[[#This Row],[Precio Venta Ideal (x1.5)]]</f>
        <v>18.75</v>
      </c>
      <c r="J1621" s="91">
        <v>1</v>
      </c>
      <c r="K1621" s="96">
        <f>SUMIFS(VENTAS[Cantidad],VENTAS[Código del producto Vendido],STOCK[[#This Row],[Code]])</f>
        <v>0</v>
      </c>
      <c r="L1621" s="96">
        <f>STOCK[[#This Row],[Entradas]]-STOCK[[#This Row],[Salidas]]</f>
        <v>1</v>
      </c>
      <c r="M1621" s="94">
        <f>STOCK[[#This Row],[Precio Final]]*10%</f>
        <v>2.5</v>
      </c>
      <c r="N1621" s="77">
        <v>0</v>
      </c>
      <c r="O1621" s="94">
        <v>0</v>
      </c>
      <c r="P1621" s="76">
        <v>10</v>
      </c>
      <c r="Q1621" s="91">
        <v>0</v>
      </c>
      <c r="R1621" s="77">
        <v>0</v>
      </c>
      <c r="S1621" s="76">
        <v>0</v>
      </c>
      <c r="T1621" s="94">
        <f>STOCK[[#This Row],[Costo Unitario (USD)]]+STOCK[[#This Row],[Costo Envío (USD)]]+STOCK[[#This Row],[Comisión 10%]]</f>
        <v>12.5</v>
      </c>
      <c r="U1621" s="76">
        <f>STOCK[[#This Row],[Costo total]]*1.5</f>
        <v>18.75</v>
      </c>
      <c r="V1621" s="76">
        <v>25</v>
      </c>
      <c r="W1621" s="94">
        <f>STOCK[[#This Row],[Precio Final]]-STOCK[[#This Row],[Costo total]]</f>
        <v>12.5</v>
      </c>
      <c r="X1621" s="94">
        <f>STOCK[[#This Row],[Ganancia Unitaria]]*STOCK[[#This Row],[Salidas]]</f>
        <v>0</v>
      </c>
      <c r="Y1621" s="94"/>
      <c r="Z1621" s="94"/>
      <c r="AA1621" s="94">
        <f>STOCK[[#This Row],[Costo total]]*STOCK[[#This Row],[Entradas]]</f>
        <v>12.5</v>
      </c>
      <c r="AB1621" s="94">
        <f>STOCK[[#This Row],[Stock Actual]]*STOCK[[#This Row],[Costo total]]</f>
        <v>12.5</v>
      </c>
      <c r="AC1621" s="94"/>
      <c r="AD1621" s="100"/>
    </row>
    <row r="1622" s="76" customFormat="1" ht="50" customHeight="1" spans="1:30">
      <c r="A1622" s="76" t="s">
        <v>3215</v>
      </c>
      <c r="B1622" s="91" t="str">
        <f>_xlfn.DISPIMG("ID_EBBCEBED0DC34FFB89EBAF2545A36AD1",1)</f>
        <v>=DISPIMG("ID_EBBCEBED0DC34FFB89EBAF2545A36AD1",1)</v>
      </c>
      <c r="C1622" s="76" t="s">
        <v>30</v>
      </c>
      <c r="D1622" s="76" t="s">
        <v>747</v>
      </c>
      <c r="E1622" s="76" t="s">
        <v>3216</v>
      </c>
      <c r="F1622" s="76" t="s">
        <v>47</v>
      </c>
      <c r="H1622" s="94">
        <f>STOCK[[#This Row],[Precio Final]]</f>
        <v>25</v>
      </c>
      <c r="I1622" s="98">
        <f>STOCK[[#This Row],[Precio Venta Ideal (x1.5)]]</f>
        <v>18.75</v>
      </c>
      <c r="J1622" s="91">
        <v>1</v>
      </c>
      <c r="K1622" s="96">
        <f>SUMIFS(VENTAS[Cantidad],VENTAS[Código del producto Vendido],STOCK[[#This Row],[Code]])</f>
        <v>0</v>
      </c>
      <c r="L1622" s="96">
        <f>STOCK[[#This Row],[Entradas]]-STOCK[[#This Row],[Salidas]]</f>
        <v>1</v>
      </c>
      <c r="M1622" s="94">
        <f>STOCK[[#This Row],[Precio Final]]*10%</f>
        <v>2.5</v>
      </c>
      <c r="N1622" s="77">
        <v>0</v>
      </c>
      <c r="O1622" s="94">
        <v>0</v>
      </c>
      <c r="P1622" s="76">
        <v>10</v>
      </c>
      <c r="Q1622" s="91">
        <v>0</v>
      </c>
      <c r="R1622" s="76">
        <v>0</v>
      </c>
      <c r="S1622" s="77">
        <v>0</v>
      </c>
      <c r="T1622" s="94">
        <f>STOCK[[#This Row],[Costo Unitario (USD)]]+STOCK[[#This Row],[Costo Envío (USD)]]+STOCK[[#This Row],[Comisión 10%]]</f>
        <v>12.5</v>
      </c>
      <c r="U1622" s="76">
        <f>STOCK[[#This Row],[Costo total]]*1.5</f>
        <v>18.75</v>
      </c>
      <c r="V1622" s="76">
        <v>25</v>
      </c>
      <c r="W1622" s="94">
        <f>STOCK[[#This Row],[Precio Final]]-STOCK[[#This Row],[Costo total]]</f>
        <v>12.5</v>
      </c>
      <c r="X1622" s="94">
        <f>STOCK[[#This Row],[Ganancia Unitaria]]*STOCK[[#This Row],[Salidas]]</f>
        <v>0</v>
      </c>
      <c r="Y1622" s="94"/>
      <c r="Z1622" s="94"/>
      <c r="AA1622" s="94">
        <f>STOCK[[#This Row],[Costo total]]*STOCK[[#This Row],[Entradas]]</f>
        <v>12.5</v>
      </c>
      <c r="AB1622" s="94">
        <f>STOCK[[#This Row],[Stock Actual]]*STOCK[[#This Row],[Costo total]]</f>
        <v>12.5</v>
      </c>
      <c r="AC1622" s="94"/>
      <c r="AD1622" s="100"/>
    </row>
    <row r="1623" s="76" customFormat="1" ht="50" customHeight="1" spans="8:30">
      <c r="H1623" s="94"/>
      <c r="I1623" s="98"/>
      <c r="J1623" s="91"/>
      <c r="K1623" s="96"/>
      <c r="L1623" s="96"/>
      <c r="M1623" s="94"/>
      <c r="O1623" s="94"/>
      <c r="Q1623" s="92"/>
      <c r="S1623" s="77"/>
      <c r="T1623" s="94"/>
      <c r="W1623" s="94"/>
      <c r="X1623" s="94"/>
      <c r="Y1623" s="94"/>
      <c r="Z1623" s="94"/>
      <c r="AA1623" s="94"/>
      <c r="AB1623" s="94"/>
      <c r="AC1623" s="94"/>
      <c r="AD1623" s="100"/>
    </row>
    <row r="1624" s="76" customFormat="1" ht="50" customHeight="1" spans="8:30">
      <c r="H1624" s="94"/>
      <c r="I1624" s="98"/>
      <c r="J1624" s="91"/>
      <c r="K1624" s="96"/>
      <c r="L1624" s="96"/>
      <c r="M1624" s="94"/>
      <c r="N1624" s="77"/>
      <c r="O1624" s="94"/>
      <c r="Q1624" s="91"/>
      <c r="T1624" s="94"/>
      <c r="W1624" s="94"/>
      <c r="X1624" s="94"/>
      <c r="Y1624" s="94"/>
      <c r="Z1624" s="94"/>
      <c r="AA1624" s="94"/>
      <c r="AB1624" s="94"/>
      <c r="AC1624" s="94"/>
      <c r="AD1624" s="100"/>
    </row>
    <row r="1625" s="76" customFormat="1" ht="50" customHeight="1" spans="8:30">
      <c r="H1625" s="94"/>
      <c r="I1625" s="98"/>
      <c r="J1625" s="91"/>
      <c r="K1625" s="96"/>
      <c r="L1625" s="96"/>
      <c r="M1625" s="94"/>
      <c r="N1625" s="77"/>
      <c r="O1625" s="94"/>
      <c r="Q1625" s="91"/>
      <c r="S1625" s="77"/>
      <c r="T1625" s="94"/>
      <c r="W1625" s="94"/>
      <c r="X1625" s="94"/>
      <c r="Y1625" s="94"/>
      <c r="Z1625" s="94"/>
      <c r="AA1625" s="94"/>
      <c r="AB1625" s="94"/>
      <c r="AC1625" s="94"/>
      <c r="AD1625" s="100"/>
    </row>
    <row r="1626" s="76" customFormat="1" ht="50" customHeight="1" spans="8:30">
      <c r="H1626" s="94"/>
      <c r="I1626" s="98"/>
      <c r="J1626" s="91"/>
      <c r="K1626" s="96"/>
      <c r="L1626" s="96"/>
      <c r="M1626" s="94"/>
      <c r="O1626" s="94"/>
      <c r="Q1626" s="92"/>
      <c r="S1626" s="77"/>
      <c r="T1626" s="94"/>
      <c r="W1626" s="94"/>
      <c r="X1626" s="94"/>
      <c r="Y1626" s="94"/>
      <c r="Z1626" s="94"/>
      <c r="AA1626" s="94"/>
      <c r="AB1626" s="94"/>
      <c r="AC1626" s="94"/>
      <c r="AD1626" s="100"/>
    </row>
    <row r="1627" s="76" customFormat="1" ht="50" customHeight="1" spans="8:30">
      <c r="H1627" s="94"/>
      <c r="I1627" s="98"/>
      <c r="J1627" s="91"/>
      <c r="K1627" s="96"/>
      <c r="L1627" s="96"/>
      <c r="M1627" s="94"/>
      <c r="N1627" s="77"/>
      <c r="O1627" s="94"/>
      <c r="Q1627" s="91"/>
      <c r="T1627" s="94"/>
      <c r="W1627" s="94"/>
      <c r="X1627" s="94"/>
      <c r="Y1627" s="94"/>
      <c r="Z1627" s="94"/>
      <c r="AA1627" s="94"/>
      <c r="AB1627" s="94"/>
      <c r="AC1627" s="94"/>
      <c r="AD1627" s="100"/>
    </row>
    <row r="1628" s="76" customFormat="1" ht="50" customHeight="1" spans="8:30">
      <c r="H1628" s="94"/>
      <c r="I1628" s="98"/>
      <c r="J1628" s="91"/>
      <c r="K1628" s="96"/>
      <c r="L1628" s="96"/>
      <c r="M1628" s="94"/>
      <c r="N1628" s="77"/>
      <c r="O1628" s="94"/>
      <c r="Q1628" s="91"/>
      <c r="S1628" s="77"/>
      <c r="T1628" s="94"/>
      <c r="W1628" s="94"/>
      <c r="X1628" s="94"/>
      <c r="Y1628" s="94"/>
      <c r="Z1628" s="94"/>
      <c r="AA1628" s="94"/>
      <c r="AB1628" s="94"/>
      <c r="AC1628" s="94"/>
      <c r="AD1628" s="100"/>
    </row>
    <row r="1629" s="76" customFormat="1" ht="50" customHeight="1" spans="8:30">
      <c r="H1629" s="94"/>
      <c r="I1629" s="98"/>
      <c r="J1629" s="91"/>
      <c r="K1629" s="96"/>
      <c r="L1629" s="96"/>
      <c r="M1629" s="94"/>
      <c r="O1629" s="94"/>
      <c r="Q1629" s="92"/>
      <c r="S1629" s="77"/>
      <c r="T1629" s="94"/>
      <c r="W1629" s="94"/>
      <c r="X1629" s="94"/>
      <c r="Y1629" s="94"/>
      <c r="Z1629" s="94"/>
      <c r="AA1629" s="94"/>
      <c r="AB1629" s="94"/>
      <c r="AC1629" s="94"/>
      <c r="AD1629" s="100"/>
    </row>
    <row r="1630" s="76" customFormat="1" ht="50" customHeight="1" spans="1:30">
      <c r="A1630" s="76" t="s">
        <v>3217</v>
      </c>
      <c r="B1630" s="91" t="str">
        <f>_xlfn.DISPIMG("ID_21BE528AF4714D5CB2946E28AE2B61F6",1)</f>
        <v>=DISPIMG("ID_21BE528AF4714D5CB2946E28AE2B61F6",1)</v>
      </c>
      <c r="C1630" s="76" t="s">
        <v>30</v>
      </c>
      <c r="D1630" s="76" t="s">
        <v>747</v>
      </c>
      <c r="E1630" s="76" t="s">
        <v>3218</v>
      </c>
      <c r="F1630" s="76" t="s">
        <v>3219</v>
      </c>
      <c r="H1630" s="94">
        <f>STOCK[[#This Row],[Precio Final]]</f>
        <v>25</v>
      </c>
      <c r="I1630" s="98">
        <f>STOCK[[#This Row],[Precio Venta Ideal (x1.5)]]</f>
        <v>21.75</v>
      </c>
      <c r="J1630" s="91">
        <v>1</v>
      </c>
      <c r="K1630" s="96">
        <f>SUMIFS(VENTAS[Cantidad],VENTAS[Código del producto Vendido],STOCK[[#This Row],[Code]])</f>
        <v>0</v>
      </c>
      <c r="L1630" s="96">
        <f>STOCK[[#This Row],[Entradas]]-STOCK[[#This Row],[Salidas]]</f>
        <v>1</v>
      </c>
      <c r="M1630" s="94">
        <f>STOCK[[#This Row],[Precio Final]]*10%</f>
        <v>2.5</v>
      </c>
      <c r="N1630" s="77">
        <v>0</v>
      </c>
      <c r="O1630" s="94">
        <v>0</v>
      </c>
      <c r="P1630" s="76">
        <v>12</v>
      </c>
      <c r="Q1630" s="91">
        <v>0</v>
      </c>
      <c r="R1630" s="76">
        <v>0</v>
      </c>
      <c r="S1630" s="76">
        <v>0</v>
      </c>
      <c r="T1630" s="94">
        <f>STOCK[[#This Row],[Costo Unitario (USD)]]+STOCK[[#This Row],[Costo Envío (USD)]]+STOCK[[#This Row],[Comisión 10%]]</f>
        <v>14.5</v>
      </c>
      <c r="U1630" s="76">
        <f>STOCK[[#This Row],[Costo total]]*1.5</f>
        <v>21.75</v>
      </c>
      <c r="V1630" s="76">
        <v>25</v>
      </c>
      <c r="W1630" s="94">
        <f>STOCK[[#This Row],[Precio Final]]-STOCK[[#This Row],[Costo total]]</f>
        <v>10.5</v>
      </c>
      <c r="X1630" s="94">
        <f>STOCK[[#This Row],[Ganancia Unitaria]]*STOCK[[#This Row],[Salidas]]</f>
        <v>0</v>
      </c>
      <c r="Y1630" s="94"/>
      <c r="Z1630" s="94"/>
      <c r="AA1630" s="94">
        <f>STOCK[[#This Row],[Costo total]]*STOCK[[#This Row],[Entradas]]</f>
        <v>14.5</v>
      </c>
      <c r="AB1630" s="94">
        <f>STOCK[[#This Row],[Stock Actual]]*STOCK[[#This Row],[Costo total]]</f>
        <v>14.5</v>
      </c>
      <c r="AC1630" s="94"/>
      <c r="AD1630" s="100"/>
    </row>
    <row r="1631" s="76" customFormat="1" ht="50" customHeight="1" spans="1:30">
      <c r="A1631" s="76" t="s">
        <v>3220</v>
      </c>
      <c r="B1631" s="91" t="str">
        <f>_xlfn.DISPIMG("ID_0A7224B17DBC46D78E3CFBA92FF16148",1)</f>
        <v>=DISPIMG("ID_0A7224B17DBC46D78E3CFBA92FF16148",1)</v>
      </c>
      <c r="C1631" s="76" t="s">
        <v>30</v>
      </c>
      <c r="D1631" s="76" t="s">
        <v>747</v>
      </c>
      <c r="E1631" s="76" t="s">
        <v>3221</v>
      </c>
      <c r="F1631" s="76" t="s">
        <v>3222</v>
      </c>
      <c r="H1631" s="94">
        <f>STOCK[[#This Row],[Precio Final]]</f>
        <v>30</v>
      </c>
      <c r="I1631" s="98">
        <f>STOCK[[#This Row],[Precio Venta Ideal (x1.5)]]</f>
        <v>22.5</v>
      </c>
      <c r="J1631" s="91">
        <v>1</v>
      </c>
      <c r="K1631" s="96">
        <f>SUMIFS(VENTAS[Cantidad],VENTAS[Código del producto Vendido],STOCK[[#This Row],[Code]])</f>
        <v>0</v>
      </c>
      <c r="L1631" s="96">
        <f>STOCK[[#This Row],[Entradas]]-STOCK[[#This Row],[Salidas]]</f>
        <v>1</v>
      </c>
      <c r="M1631" s="94">
        <f>STOCK[[#This Row],[Precio Final]]*10%</f>
        <v>3</v>
      </c>
      <c r="N1631" s="77">
        <v>0</v>
      </c>
      <c r="O1631" s="94">
        <v>0</v>
      </c>
      <c r="P1631" s="76">
        <v>12</v>
      </c>
      <c r="Q1631" s="91">
        <v>0</v>
      </c>
      <c r="R1631" s="76">
        <v>0</v>
      </c>
      <c r="S1631" s="77">
        <v>0</v>
      </c>
      <c r="T1631" s="94">
        <f>STOCK[[#This Row],[Costo Unitario (USD)]]+STOCK[[#This Row],[Costo Envío (USD)]]+STOCK[[#This Row],[Comisión 10%]]</f>
        <v>15</v>
      </c>
      <c r="U1631" s="76">
        <f>STOCK[[#This Row],[Costo total]]*1.5</f>
        <v>22.5</v>
      </c>
      <c r="V1631" s="76">
        <v>30</v>
      </c>
      <c r="W1631" s="94">
        <f>STOCK[[#This Row],[Precio Final]]-STOCK[[#This Row],[Costo total]]</f>
        <v>15</v>
      </c>
      <c r="X1631" s="94">
        <f>STOCK[[#This Row],[Ganancia Unitaria]]*STOCK[[#This Row],[Salidas]]</f>
        <v>0</v>
      </c>
      <c r="Y1631" s="94"/>
      <c r="Z1631" s="94"/>
      <c r="AA1631" s="94">
        <f>STOCK[[#This Row],[Costo total]]*STOCK[[#This Row],[Entradas]]</f>
        <v>15</v>
      </c>
      <c r="AB1631" s="94">
        <f>STOCK[[#This Row],[Stock Actual]]*STOCK[[#This Row],[Costo total]]</f>
        <v>15</v>
      </c>
      <c r="AC1631" s="94"/>
      <c r="AD1631" s="100"/>
    </row>
    <row r="1632" s="76" customFormat="1" ht="50" customHeight="1" spans="1:30">
      <c r="A1632" s="76" t="s">
        <v>3223</v>
      </c>
      <c r="B1632" s="91" t="str">
        <f>_xlfn.DISPIMG("ID_10BC08E7CE7C4BF4BAFC2397BD828897",1)</f>
        <v>=DISPIMG("ID_10BC08E7CE7C4BF4BAFC2397BD828897",1)</v>
      </c>
      <c r="C1632" s="76" t="s">
        <v>30</v>
      </c>
      <c r="D1632" s="76" t="s">
        <v>747</v>
      </c>
      <c r="E1632" s="76" t="s">
        <v>3224</v>
      </c>
      <c r="F1632" s="76" t="s">
        <v>3225</v>
      </c>
      <c r="H1632" s="94">
        <f>STOCK[[#This Row],[Precio Final]]</f>
        <v>25</v>
      </c>
      <c r="I1632" s="98">
        <f>STOCK[[#This Row],[Precio Venta Ideal (x1.5)]]</f>
        <v>21.75</v>
      </c>
      <c r="J1632" s="91">
        <v>1</v>
      </c>
      <c r="K1632" s="96">
        <f>SUMIFS(VENTAS[Cantidad],VENTAS[Código del producto Vendido],STOCK[[#This Row],[Code]])</f>
        <v>0</v>
      </c>
      <c r="L1632" s="96">
        <f>STOCK[[#This Row],[Entradas]]-STOCK[[#This Row],[Salidas]]</f>
        <v>1</v>
      </c>
      <c r="M1632" s="94">
        <f>STOCK[[#This Row],[Precio Final]]*10%</f>
        <v>2.5</v>
      </c>
      <c r="N1632" s="76">
        <v>0</v>
      </c>
      <c r="O1632" s="94">
        <v>0</v>
      </c>
      <c r="P1632" s="76">
        <v>12</v>
      </c>
      <c r="Q1632" s="92">
        <v>0</v>
      </c>
      <c r="R1632" s="76">
        <v>0</v>
      </c>
      <c r="S1632" s="77">
        <v>0</v>
      </c>
      <c r="T1632" s="94">
        <f>STOCK[[#This Row],[Costo Unitario (USD)]]+STOCK[[#This Row],[Costo Envío (USD)]]+STOCK[[#This Row],[Comisión 10%]]</f>
        <v>14.5</v>
      </c>
      <c r="U1632" s="76">
        <f>STOCK[[#This Row],[Costo total]]*1.5</f>
        <v>21.75</v>
      </c>
      <c r="V1632" s="76">
        <v>25</v>
      </c>
      <c r="W1632" s="94">
        <f>STOCK[[#This Row],[Precio Final]]-STOCK[[#This Row],[Costo total]]</f>
        <v>10.5</v>
      </c>
      <c r="X1632" s="94">
        <f>STOCK[[#This Row],[Ganancia Unitaria]]*STOCK[[#This Row],[Salidas]]</f>
        <v>0</v>
      </c>
      <c r="Y1632" s="94"/>
      <c r="Z1632" s="94"/>
      <c r="AA1632" s="94">
        <f>STOCK[[#This Row],[Costo total]]*STOCK[[#This Row],[Entradas]]</f>
        <v>14.5</v>
      </c>
      <c r="AB1632" s="94">
        <f>STOCK[[#This Row],[Stock Actual]]*STOCK[[#This Row],[Costo total]]</f>
        <v>14.5</v>
      </c>
      <c r="AC1632" s="94"/>
      <c r="AD1632" s="100"/>
    </row>
    <row r="1633" s="76" customFormat="1" ht="50" customHeight="1" spans="1:30">
      <c r="A1633" s="76" t="s">
        <v>3226</v>
      </c>
      <c r="B1633" s="91" t="str">
        <f>_xlfn.DISPIMG("ID_10D057D68DAE4E4B8C0E6236A387883F",1)</f>
        <v>=DISPIMG("ID_10D057D68DAE4E4B8C0E6236A387883F",1)</v>
      </c>
      <c r="C1633" s="76" t="s">
        <v>30</v>
      </c>
      <c r="D1633" s="76" t="s">
        <v>747</v>
      </c>
      <c r="E1633" s="76" t="s">
        <v>3227</v>
      </c>
      <c r="F1633" s="76" t="s">
        <v>2106</v>
      </c>
      <c r="H1633" s="94">
        <f>STOCK[[#This Row],[Precio Final]]</f>
        <v>35</v>
      </c>
      <c r="I1633" s="98">
        <f>STOCK[[#This Row],[Precio Venta Ideal (x1.5)]]</f>
        <v>23.25</v>
      </c>
      <c r="J1633" s="91">
        <v>1</v>
      </c>
      <c r="K1633" s="96">
        <f>SUMIFS(VENTAS[Cantidad],VENTAS[Código del producto Vendido],STOCK[[#This Row],[Code]])</f>
        <v>0</v>
      </c>
      <c r="L1633" s="96">
        <f>STOCK[[#This Row],[Entradas]]-STOCK[[#This Row],[Salidas]]</f>
        <v>1</v>
      </c>
      <c r="M1633" s="94">
        <f>STOCK[[#This Row],[Precio Final]]*10%</f>
        <v>3.5</v>
      </c>
      <c r="N1633" s="77">
        <v>0</v>
      </c>
      <c r="O1633" s="94">
        <v>0</v>
      </c>
      <c r="P1633" s="76">
        <v>12</v>
      </c>
      <c r="Q1633" s="91">
        <v>0</v>
      </c>
      <c r="R1633" s="76">
        <v>0</v>
      </c>
      <c r="S1633" s="76">
        <v>0</v>
      </c>
      <c r="T1633" s="94">
        <f>STOCK[[#This Row],[Costo Unitario (USD)]]+STOCK[[#This Row],[Costo Envío (USD)]]+STOCK[[#This Row],[Comisión 10%]]</f>
        <v>15.5</v>
      </c>
      <c r="U1633" s="76">
        <f>STOCK[[#This Row],[Costo total]]*1.5</f>
        <v>23.25</v>
      </c>
      <c r="V1633" s="76">
        <v>35</v>
      </c>
      <c r="W1633" s="94">
        <f>STOCK[[#This Row],[Precio Final]]-STOCK[[#This Row],[Costo total]]</f>
        <v>19.5</v>
      </c>
      <c r="X1633" s="94">
        <f>STOCK[[#This Row],[Ganancia Unitaria]]*STOCK[[#This Row],[Salidas]]</f>
        <v>0</v>
      </c>
      <c r="Y1633" s="94"/>
      <c r="Z1633" s="94"/>
      <c r="AA1633" s="94">
        <f>STOCK[[#This Row],[Costo total]]*STOCK[[#This Row],[Entradas]]</f>
        <v>15.5</v>
      </c>
      <c r="AB1633" s="94">
        <f>STOCK[[#This Row],[Stock Actual]]*STOCK[[#This Row],[Costo total]]</f>
        <v>15.5</v>
      </c>
      <c r="AC1633" s="94"/>
      <c r="AD1633" s="100"/>
    </row>
    <row r="1634" s="76" customFormat="1" ht="50" customHeight="1" spans="1:30">
      <c r="A1634" s="76" t="s">
        <v>3228</v>
      </c>
      <c r="B1634" s="76" t="s">
        <v>3229</v>
      </c>
      <c r="C1634" s="76" t="s">
        <v>30</v>
      </c>
      <c r="D1634" s="76" t="s">
        <v>747</v>
      </c>
      <c r="E1634" s="76" t="s">
        <v>3230</v>
      </c>
      <c r="F1634" s="76" t="s">
        <v>47</v>
      </c>
      <c r="H1634" s="94">
        <f>STOCK[[#This Row],[Precio Final]]</f>
        <v>25</v>
      </c>
      <c r="I1634" s="98">
        <f>STOCK[[#This Row],[Precio Venta Ideal (x1.5)]]</f>
        <v>21.75</v>
      </c>
      <c r="J1634" s="91">
        <v>1</v>
      </c>
      <c r="K1634" s="96">
        <f>SUMIFS(VENTAS[Cantidad],VENTAS[Código del producto Vendido],STOCK[[#This Row],[Code]])</f>
        <v>1</v>
      </c>
      <c r="L1634" s="96">
        <f>STOCK[[#This Row],[Entradas]]-STOCK[[#This Row],[Salidas]]</f>
        <v>0</v>
      </c>
      <c r="M1634" s="94">
        <f>STOCK[[#This Row],[Precio Final]]*10%</f>
        <v>2.5</v>
      </c>
      <c r="N1634" s="77">
        <v>0</v>
      </c>
      <c r="O1634" s="94">
        <v>0</v>
      </c>
      <c r="P1634" s="76">
        <v>12</v>
      </c>
      <c r="Q1634" s="91">
        <v>0</v>
      </c>
      <c r="R1634" s="76">
        <v>0</v>
      </c>
      <c r="S1634" s="77">
        <v>0</v>
      </c>
      <c r="T1634" s="94">
        <f>STOCK[[#This Row],[Costo Unitario (USD)]]+STOCK[[#This Row],[Costo Envío (USD)]]+STOCK[[#This Row],[Comisión 10%]]</f>
        <v>14.5</v>
      </c>
      <c r="U1634" s="76">
        <f>STOCK[[#This Row],[Costo total]]*1.5</f>
        <v>21.75</v>
      </c>
      <c r="V1634" s="76">
        <v>25</v>
      </c>
      <c r="W1634" s="94">
        <f>STOCK[[#This Row],[Precio Final]]-STOCK[[#This Row],[Costo total]]</f>
        <v>10.5</v>
      </c>
      <c r="X1634" s="94">
        <f>STOCK[[#This Row],[Ganancia Unitaria]]*STOCK[[#This Row],[Salidas]]</f>
        <v>10.5</v>
      </c>
      <c r="Y1634" s="94"/>
      <c r="Z1634" s="94"/>
      <c r="AA1634" s="94">
        <f>STOCK[[#This Row],[Costo total]]*STOCK[[#This Row],[Entradas]]</f>
        <v>14.5</v>
      </c>
      <c r="AB1634" s="94">
        <f>STOCK[[#This Row],[Stock Actual]]*STOCK[[#This Row],[Costo total]]</f>
        <v>0</v>
      </c>
      <c r="AC1634" s="94"/>
      <c r="AD1634" s="100"/>
    </row>
    <row r="1635" s="76" customFormat="1" ht="50" customHeight="1" spans="1:30">
      <c r="A1635" s="76" t="s">
        <v>3231</v>
      </c>
      <c r="C1635" s="76" t="s">
        <v>30</v>
      </c>
      <c r="D1635" s="76" t="s">
        <v>747</v>
      </c>
      <c r="E1635" s="76" t="s">
        <v>3232</v>
      </c>
      <c r="F1635" s="76" t="s">
        <v>47</v>
      </c>
      <c r="H1635" s="94">
        <f>STOCK[[#This Row],[Precio Final]]</f>
        <v>0</v>
      </c>
      <c r="I1635" s="98">
        <f>STOCK[[#This Row],[Precio Venta Ideal (x1.5)]]</f>
        <v>18</v>
      </c>
      <c r="J1635" s="91">
        <v>1</v>
      </c>
      <c r="K1635" s="96">
        <f>SUMIFS(VENTAS[Cantidad],VENTAS[Código del producto Vendido],STOCK[[#This Row],[Code]])</f>
        <v>0</v>
      </c>
      <c r="L1635" s="96">
        <f>STOCK[[#This Row],[Entradas]]-STOCK[[#This Row],[Salidas]]</f>
        <v>1</v>
      </c>
      <c r="M1635" s="94">
        <f>STOCK[[#This Row],[Precio Final]]*10%</f>
        <v>0</v>
      </c>
      <c r="N1635" s="76">
        <v>0</v>
      </c>
      <c r="O1635" s="94">
        <v>0</v>
      </c>
      <c r="P1635" s="76">
        <v>12</v>
      </c>
      <c r="Q1635" s="92">
        <v>0</v>
      </c>
      <c r="R1635" s="76">
        <v>0</v>
      </c>
      <c r="S1635" s="77">
        <v>0</v>
      </c>
      <c r="T1635" s="94">
        <f>STOCK[[#This Row],[Costo Unitario (USD)]]+STOCK[[#This Row],[Costo Envío (USD)]]+STOCK[[#This Row],[Comisión 10%]]</f>
        <v>12</v>
      </c>
      <c r="U1635" s="76">
        <f>STOCK[[#This Row],[Costo total]]*1.5</f>
        <v>18</v>
      </c>
      <c r="W1635" s="94">
        <f>STOCK[[#This Row],[Precio Final]]-STOCK[[#This Row],[Costo total]]</f>
        <v>-12</v>
      </c>
      <c r="X1635" s="94">
        <f>STOCK[[#This Row],[Ganancia Unitaria]]*STOCK[[#This Row],[Salidas]]</f>
        <v>0</v>
      </c>
      <c r="Y1635" s="94"/>
      <c r="Z1635" s="94"/>
      <c r="AA1635" s="94">
        <f>STOCK[[#This Row],[Costo total]]*STOCK[[#This Row],[Entradas]]</f>
        <v>12</v>
      </c>
      <c r="AB1635" s="94">
        <f>STOCK[[#This Row],[Stock Actual]]*STOCK[[#This Row],[Costo total]]</f>
        <v>12</v>
      </c>
      <c r="AC1635" s="94"/>
      <c r="AD1635" s="100"/>
    </row>
    <row r="1636" s="76" customFormat="1" ht="50" customHeight="1" spans="1:30">
      <c r="A1636" s="76" t="s">
        <v>3233</v>
      </c>
      <c r="B1636" s="76" t="s">
        <v>3234</v>
      </c>
      <c r="C1636" s="76" t="s">
        <v>30</v>
      </c>
      <c r="D1636" s="76" t="s">
        <v>741</v>
      </c>
      <c r="E1636" s="76" t="s">
        <v>3235</v>
      </c>
      <c r="H1636" s="94">
        <f>STOCK[[#This Row],[Precio Final]]</f>
        <v>0</v>
      </c>
      <c r="I1636" s="98">
        <f>STOCK[[#This Row],[Precio Venta Ideal (x1.5)]]</f>
        <v>12</v>
      </c>
      <c r="J1636" s="91">
        <v>2</v>
      </c>
      <c r="K1636" s="96">
        <f>SUMIFS(VENTAS[Cantidad],VENTAS[Código del producto Vendido],STOCK[[#This Row],[Code]])</f>
        <v>2</v>
      </c>
      <c r="L1636" s="96">
        <f>STOCK[[#This Row],[Entradas]]-STOCK[[#This Row],[Salidas]]</f>
        <v>0</v>
      </c>
      <c r="M1636" s="94">
        <f>STOCK[[#This Row],[Precio Final]]*10%</f>
        <v>0</v>
      </c>
      <c r="N1636" s="77">
        <v>0</v>
      </c>
      <c r="O1636" s="94">
        <v>0</v>
      </c>
      <c r="P1636" s="76">
        <v>8</v>
      </c>
      <c r="Q1636" s="91">
        <v>0</v>
      </c>
      <c r="R1636" s="76">
        <v>0</v>
      </c>
      <c r="S1636" s="76">
        <v>0</v>
      </c>
      <c r="T1636" s="94">
        <f>STOCK[[#This Row],[Costo Unitario (USD)]]+STOCK[[#This Row],[Costo Envío (USD)]]+STOCK[[#This Row],[Comisión 10%]]</f>
        <v>8</v>
      </c>
      <c r="U1636" s="76">
        <f>STOCK[[#This Row],[Costo total]]*1.5</f>
        <v>12</v>
      </c>
      <c r="W1636" s="94">
        <f>STOCK[[#This Row],[Precio Final]]-STOCK[[#This Row],[Costo total]]</f>
        <v>-8</v>
      </c>
      <c r="X1636" s="94">
        <f>STOCK[[#This Row],[Ganancia Unitaria]]*STOCK[[#This Row],[Salidas]]</f>
        <v>-16</v>
      </c>
      <c r="Y1636" s="94"/>
      <c r="Z1636" s="94"/>
      <c r="AA1636" s="94">
        <f>STOCK[[#This Row],[Costo total]]*STOCK[[#This Row],[Entradas]]</f>
        <v>16</v>
      </c>
      <c r="AB1636" s="94">
        <f>STOCK[[#This Row],[Stock Actual]]*STOCK[[#This Row],[Costo total]]</f>
        <v>0</v>
      </c>
      <c r="AC1636" s="94"/>
      <c r="AD1636" s="100"/>
    </row>
    <row r="1637" s="76" customFormat="1" ht="50" customHeight="1" spans="1:30">
      <c r="A1637" s="76" t="s">
        <v>3236</v>
      </c>
      <c r="B1637" s="91" t="str">
        <f>_xlfn.DISPIMG("ID_2D0D706DB7AE40C6B6E6EC219AB5C027",1)</f>
        <v>=DISPIMG("ID_2D0D706DB7AE40C6B6E6EC219AB5C027",1)</v>
      </c>
      <c r="C1637" s="76" t="s">
        <v>30</v>
      </c>
      <c r="D1637" s="76" t="s">
        <v>3237</v>
      </c>
      <c r="E1637" s="76" t="s">
        <v>3238</v>
      </c>
      <c r="F1637" s="76" t="s">
        <v>2106</v>
      </c>
      <c r="H1637" s="94">
        <f>STOCK[[#This Row],[Precio Final]]</f>
        <v>35</v>
      </c>
      <c r="I1637" s="98">
        <f>STOCK[[#This Row],[Precio Venta Ideal (x1.5)]]</f>
        <v>23.25</v>
      </c>
      <c r="J1637" s="91">
        <v>1</v>
      </c>
      <c r="K1637" s="96">
        <f>SUMIFS(VENTAS[Cantidad],VENTAS[Código del producto Vendido],STOCK[[#This Row],[Code]])</f>
        <v>1</v>
      </c>
      <c r="L1637" s="96">
        <f>STOCK[[#This Row],[Entradas]]-STOCK[[#This Row],[Salidas]]</f>
        <v>0</v>
      </c>
      <c r="M1637" s="94">
        <f>STOCK[[#This Row],[Precio Final]]*10%</f>
        <v>3.5</v>
      </c>
      <c r="N1637" s="77">
        <v>0</v>
      </c>
      <c r="O1637" s="94">
        <v>0</v>
      </c>
      <c r="P1637" s="76">
        <v>12</v>
      </c>
      <c r="Q1637" s="91">
        <v>0</v>
      </c>
      <c r="R1637" s="76">
        <v>0</v>
      </c>
      <c r="S1637" s="77">
        <v>0</v>
      </c>
      <c r="T1637" s="94">
        <f>STOCK[[#This Row],[Costo Unitario (USD)]]+STOCK[[#This Row],[Costo Envío (USD)]]+STOCK[[#This Row],[Comisión 10%]]</f>
        <v>15.5</v>
      </c>
      <c r="U1637" s="76">
        <f>STOCK[[#This Row],[Costo total]]*1.5</f>
        <v>23.25</v>
      </c>
      <c r="V1637" s="76">
        <v>35</v>
      </c>
      <c r="W1637" s="94">
        <f>STOCK[[#This Row],[Precio Final]]-STOCK[[#This Row],[Costo total]]</f>
        <v>19.5</v>
      </c>
      <c r="X1637" s="94">
        <f>STOCK[[#This Row],[Ganancia Unitaria]]*STOCK[[#This Row],[Salidas]]</f>
        <v>19.5</v>
      </c>
      <c r="Y1637" s="94"/>
      <c r="Z1637" s="94"/>
      <c r="AA1637" s="94">
        <f>STOCK[[#This Row],[Costo total]]*STOCK[[#This Row],[Entradas]]</f>
        <v>15.5</v>
      </c>
      <c r="AB1637" s="94">
        <f>STOCK[[#This Row],[Stock Actual]]*STOCK[[#This Row],[Costo total]]</f>
        <v>0</v>
      </c>
      <c r="AC1637" s="94"/>
      <c r="AD1637" s="100"/>
    </row>
    <row r="1638" s="76" customFormat="1" ht="50" customHeight="1" spans="1:30">
      <c r="A1638" s="76" t="s">
        <v>3239</v>
      </c>
      <c r="B1638" s="91" t="str">
        <f>_xlfn.DISPIMG("ID_27B5E98B571C49E7944C572ACCBD5B70",1)</f>
        <v>=DISPIMG("ID_27B5E98B571C49E7944C572ACCBD5B70",1)</v>
      </c>
      <c r="C1638" s="76" t="s">
        <v>30</v>
      </c>
      <c r="D1638" s="76" t="s">
        <v>3237</v>
      </c>
      <c r="E1638" s="76" t="s">
        <v>3240</v>
      </c>
      <c r="F1638" s="76" t="s">
        <v>3052</v>
      </c>
      <c r="H1638" s="94">
        <f>STOCK[[#This Row],[Precio Final]]</f>
        <v>30</v>
      </c>
      <c r="I1638" s="98">
        <f>STOCK[[#This Row],[Precio Venta Ideal (x1.5)]]</f>
        <v>22.5</v>
      </c>
      <c r="J1638" s="91">
        <v>1</v>
      </c>
      <c r="K1638" s="96">
        <f>SUMIFS(VENTAS[Cantidad],VENTAS[Código del producto Vendido],STOCK[[#This Row],[Code]])</f>
        <v>0</v>
      </c>
      <c r="L1638" s="96">
        <f>STOCK[[#This Row],[Entradas]]-STOCK[[#This Row],[Salidas]]</f>
        <v>1</v>
      </c>
      <c r="M1638" s="94">
        <f>STOCK[[#This Row],[Precio Final]]*10%</f>
        <v>3</v>
      </c>
      <c r="N1638" s="76">
        <v>0</v>
      </c>
      <c r="O1638" s="94">
        <v>0</v>
      </c>
      <c r="P1638" s="76">
        <v>12</v>
      </c>
      <c r="Q1638" s="92">
        <v>0</v>
      </c>
      <c r="R1638" s="76">
        <v>0</v>
      </c>
      <c r="S1638" s="77">
        <v>0</v>
      </c>
      <c r="T1638" s="94">
        <f>STOCK[[#This Row],[Costo Unitario (USD)]]+STOCK[[#This Row],[Costo Envío (USD)]]+STOCK[[#This Row],[Comisión 10%]]</f>
        <v>15</v>
      </c>
      <c r="U1638" s="76">
        <f>STOCK[[#This Row],[Costo total]]*1.5</f>
        <v>22.5</v>
      </c>
      <c r="V1638" s="76">
        <v>30</v>
      </c>
      <c r="W1638" s="94">
        <f>STOCK[[#This Row],[Precio Final]]-STOCK[[#This Row],[Costo total]]</f>
        <v>15</v>
      </c>
      <c r="X1638" s="94">
        <f>STOCK[[#This Row],[Ganancia Unitaria]]*STOCK[[#This Row],[Salidas]]</f>
        <v>0</v>
      </c>
      <c r="Y1638" s="94"/>
      <c r="Z1638" s="94"/>
      <c r="AA1638" s="94">
        <f>STOCK[[#This Row],[Costo total]]*STOCK[[#This Row],[Entradas]]</f>
        <v>15</v>
      </c>
      <c r="AB1638" s="94">
        <f>STOCK[[#This Row],[Stock Actual]]*STOCK[[#This Row],[Costo total]]</f>
        <v>15</v>
      </c>
      <c r="AC1638" s="94"/>
      <c r="AD1638" s="100"/>
    </row>
    <row r="1639" s="76" customFormat="1" ht="50" customHeight="1" spans="1:30">
      <c r="A1639" s="76" t="s">
        <v>3241</v>
      </c>
      <c r="B1639" s="91" t="str">
        <f>_xlfn.DISPIMG("ID_E78F5D080EDD475DAA7CB176C965852E",1)</f>
        <v>=DISPIMG("ID_E78F5D080EDD475DAA7CB176C965852E",1)</v>
      </c>
      <c r="C1639" s="76" t="s">
        <v>30</v>
      </c>
      <c r="D1639" s="76" t="s">
        <v>3237</v>
      </c>
      <c r="E1639" s="76" t="s">
        <v>3242</v>
      </c>
      <c r="F1639" s="76" t="s">
        <v>1532</v>
      </c>
      <c r="H1639" s="94">
        <f>STOCK[[#This Row],[Precio Final]]</f>
        <v>35</v>
      </c>
      <c r="I1639" s="98">
        <f>STOCK[[#This Row],[Precio Venta Ideal (x1.5)]]</f>
        <v>23.25</v>
      </c>
      <c r="J1639" s="91">
        <v>1</v>
      </c>
      <c r="K1639" s="96">
        <f>SUMIFS(VENTAS[Cantidad],VENTAS[Código del producto Vendido],STOCK[[#This Row],[Code]])</f>
        <v>0</v>
      </c>
      <c r="L1639" s="96">
        <f>STOCK[[#This Row],[Entradas]]-STOCK[[#This Row],[Salidas]]</f>
        <v>1</v>
      </c>
      <c r="M1639" s="94">
        <f>STOCK[[#This Row],[Precio Final]]*10%</f>
        <v>3.5</v>
      </c>
      <c r="N1639" s="77">
        <v>0</v>
      </c>
      <c r="O1639" s="94">
        <v>0</v>
      </c>
      <c r="P1639" s="76">
        <v>12</v>
      </c>
      <c r="Q1639" s="91">
        <v>0</v>
      </c>
      <c r="R1639" s="76">
        <v>0</v>
      </c>
      <c r="S1639" s="76">
        <v>0</v>
      </c>
      <c r="T1639" s="94">
        <f>STOCK[[#This Row],[Costo Unitario (USD)]]+STOCK[[#This Row],[Costo Envío (USD)]]+STOCK[[#This Row],[Comisión 10%]]</f>
        <v>15.5</v>
      </c>
      <c r="U1639" s="76">
        <f>STOCK[[#This Row],[Costo total]]*1.5</f>
        <v>23.25</v>
      </c>
      <c r="V1639" s="76">
        <v>35</v>
      </c>
      <c r="W1639" s="94">
        <f>STOCK[[#This Row],[Precio Final]]-STOCK[[#This Row],[Costo total]]</f>
        <v>19.5</v>
      </c>
      <c r="X1639" s="94">
        <f>STOCK[[#This Row],[Ganancia Unitaria]]*STOCK[[#This Row],[Salidas]]</f>
        <v>0</v>
      </c>
      <c r="Y1639" s="94"/>
      <c r="Z1639" s="94"/>
      <c r="AA1639" s="94">
        <f>STOCK[[#This Row],[Costo total]]*STOCK[[#This Row],[Entradas]]</f>
        <v>15.5</v>
      </c>
      <c r="AB1639" s="94">
        <f>STOCK[[#This Row],[Stock Actual]]*STOCK[[#This Row],[Costo total]]</f>
        <v>15.5</v>
      </c>
      <c r="AC1639" s="94"/>
      <c r="AD1639" s="100"/>
    </row>
    <row r="1640" s="76" customFormat="1" ht="50" customHeight="1" spans="1:30">
      <c r="A1640" s="76" t="s">
        <v>3243</v>
      </c>
      <c r="B1640" s="91" t="str">
        <f>_xlfn.DISPIMG("ID_F0D76E3F1A9C42489C4E2DA0176D3388",1)</f>
        <v>=DISPIMG("ID_F0D76E3F1A9C42489C4E2DA0176D3388",1)</v>
      </c>
      <c r="C1640" s="76" t="s">
        <v>30</v>
      </c>
      <c r="D1640" s="76" t="s">
        <v>3237</v>
      </c>
      <c r="E1640" s="76" t="s">
        <v>3244</v>
      </c>
      <c r="F1640" s="76" t="s">
        <v>3052</v>
      </c>
      <c r="H1640" s="94">
        <f>STOCK[[#This Row],[Precio Final]]</f>
        <v>30</v>
      </c>
      <c r="I1640" s="98">
        <f>STOCK[[#This Row],[Precio Venta Ideal (x1.5)]]</f>
        <v>22.5</v>
      </c>
      <c r="J1640" s="91">
        <v>1</v>
      </c>
      <c r="K1640" s="96">
        <f>SUMIFS(VENTAS[Cantidad],VENTAS[Código del producto Vendido],STOCK[[#This Row],[Code]])</f>
        <v>0</v>
      </c>
      <c r="L1640" s="96">
        <f>STOCK[[#This Row],[Entradas]]-STOCK[[#This Row],[Salidas]]</f>
        <v>1</v>
      </c>
      <c r="M1640" s="94">
        <f>STOCK[[#This Row],[Precio Final]]*10%</f>
        <v>3</v>
      </c>
      <c r="N1640" s="77">
        <v>0</v>
      </c>
      <c r="O1640" s="94">
        <v>0</v>
      </c>
      <c r="P1640" s="76">
        <v>12</v>
      </c>
      <c r="Q1640" s="91">
        <v>0</v>
      </c>
      <c r="R1640" s="76">
        <v>0</v>
      </c>
      <c r="S1640" s="77">
        <v>0</v>
      </c>
      <c r="T1640" s="94">
        <f>STOCK[[#This Row],[Costo Unitario (USD)]]+STOCK[[#This Row],[Costo Envío (USD)]]+STOCK[[#This Row],[Comisión 10%]]</f>
        <v>15</v>
      </c>
      <c r="U1640" s="76">
        <f>STOCK[[#This Row],[Costo total]]*1.5</f>
        <v>22.5</v>
      </c>
      <c r="V1640" s="76">
        <v>30</v>
      </c>
      <c r="W1640" s="94">
        <f>STOCK[[#This Row],[Precio Final]]-STOCK[[#This Row],[Costo total]]</f>
        <v>15</v>
      </c>
      <c r="X1640" s="94">
        <f>STOCK[[#This Row],[Ganancia Unitaria]]*STOCK[[#This Row],[Salidas]]</f>
        <v>0</v>
      </c>
      <c r="Y1640" s="94"/>
      <c r="Z1640" s="94"/>
      <c r="AA1640" s="94">
        <f>STOCK[[#This Row],[Costo total]]*STOCK[[#This Row],[Entradas]]</f>
        <v>15</v>
      </c>
      <c r="AB1640" s="94">
        <f>STOCK[[#This Row],[Stock Actual]]*STOCK[[#This Row],[Costo total]]</f>
        <v>15</v>
      </c>
      <c r="AC1640" s="94"/>
      <c r="AD1640" s="100"/>
    </row>
    <row r="1641" s="76" customFormat="1" ht="50" customHeight="1" spans="1:30">
      <c r="A1641" s="76" t="s">
        <v>3245</v>
      </c>
      <c r="B1641" s="91" t="str">
        <f>_xlfn.DISPIMG("ID_252A756DF14448CB950ADF167E6B2F36",1)</f>
        <v>=DISPIMG("ID_252A756DF14448CB950ADF167E6B2F36",1)</v>
      </c>
      <c r="C1641" s="76" t="s">
        <v>30</v>
      </c>
      <c r="D1641" s="76" t="s">
        <v>3237</v>
      </c>
      <c r="E1641" s="76" t="s">
        <v>3246</v>
      </c>
      <c r="F1641" s="76" t="s">
        <v>1532</v>
      </c>
      <c r="H1641" s="94">
        <f>STOCK[[#This Row],[Precio Final]]</f>
        <v>30</v>
      </c>
      <c r="I1641" s="98">
        <f>STOCK[[#This Row],[Precio Venta Ideal (x1.5)]]</f>
        <v>22.5</v>
      </c>
      <c r="J1641" s="91">
        <v>1</v>
      </c>
      <c r="K1641" s="96">
        <f>SUMIFS(VENTAS[Cantidad],VENTAS[Código del producto Vendido],STOCK[[#This Row],[Code]])</f>
        <v>0</v>
      </c>
      <c r="L1641" s="96">
        <f>STOCK[[#This Row],[Entradas]]-STOCK[[#This Row],[Salidas]]</f>
        <v>1</v>
      </c>
      <c r="M1641" s="94">
        <f>STOCK[[#This Row],[Precio Final]]*10%</f>
        <v>3</v>
      </c>
      <c r="N1641" s="76">
        <v>0</v>
      </c>
      <c r="O1641" s="94">
        <v>0</v>
      </c>
      <c r="P1641" s="76">
        <v>12</v>
      </c>
      <c r="Q1641" s="92">
        <v>0</v>
      </c>
      <c r="R1641" s="76">
        <v>0</v>
      </c>
      <c r="S1641" s="77">
        <v>0</v>
      </c>
      <c r="T1641" s="94">
        <f>STOCK[[#This Row],[Costo Unitario (USD)]]+STOCK[[#This Row],[Costo Envío (USD)]]+STOCK[[#This Row],[Comisión 10%]]</f>
        <v>15</v>
      </c>
      <c r="U1641" s="76">
        <f>STOCK[[#This Row],[Costo total]]*1.5</f>
        <v>22.5</v>
      </c>
      <c r="V1641" s="76">
        <v>30</v>
      </c>
      <c r="W1641" s="94">
        <f>STOCK[[#This Row],[Precio Final]]-STOCK[[#This Row],[Costo total]]</f>
        <v>15</v>
      </c>
      <c r="X1641" s="94">
        <f>STOCK[[#This Row],[Ganancia Unitaria]]*STOCK[[#This Row],[Salidas]]</f>
        <v>0</v>
      </c>
      <c r="Y1641" s="94"/>
      <c r="Z1641" s="94"/>
      <c r="AA1641" s="94">
        <f>STOCK[[#This Row],[Costo total]]*STOCK[[#This Row],[Entradas]]</f>
        <v>15</v>
      </c>
      <c r="AB1641" s="94">
        <f>STOCK[[#This Row],[Stock Actual]]*STOCK[[#This Row],[Costo total]]</f>
        <v>15</v>
      </c>
      <c r="AC1641" s="94"/>
      <c r="AD1641" s="100"/>
    </row>
    <row r="1642" s="76" customFormat="1" ht="50" customHeight="1" spans="1:30">
      <c r="A1642" s="76" t="s">
        <v>3247</v>
      </c>
      <c r="B1642" s="91" t="str">
        <f>_xlfn.DISPIMG("ID_BE20E88A6FB349A6927548A6F0EDC81B",1)</f>
        <v>=DISPIMG("ID_BE20E88A6FB349A6927548A6F0EDC81B",1)</v>
      </c>
      <c r="C1642" s="76" t="s">
        <v>30</v>
      </c>
      <c r="D1642" s="76" t="s">
        <v>3237</v>
      </c>
      <c r="E1642" s="76" t="s">
        <v>3246</v>
      </c>
      <c r="F1642" s="76" t="s">
        <v>3052</v>
      </c>
      <c r="H1642" s="94">
        <f>STOCK[[#This Row],[Precio Final]]</f>
        <v>0</v>
      </c>
      <c r="I1642" s="98">
        <f>STOCK[[#This Row],[Precio Venta Ideal (x1.5)]]</f>
        <v>18</v>
      </c>
      <c r="J1642" s="91">
        <v>1</v>
      </c>
      <c r="K1642" s="96">
        <f>SUMIFS(VENTAS[Cantidad],VENTAS[Código del producto Vendido],STOCK[[#This Row],[Code]])</f>
        <v>1</v>
      </c>
      <c r="L1642" s="96">
        <f>STOCK[[#This Row],[Entradas]]-STOCK[[#This Row],[Salidas]]</f>
        <v>0</v>
      </c>
      <c r="M1642" s="94">
        <f>STOCK[[#This Row],[Precio Final]]*10%</f>
        <v>0</v>
      </c>
      <c r="N1642" s="77">
        <v>0</v>
      </c>
      <c r="O1642" s="94">
        <v>0</v>
      </c>
      <c r="P1642" s="76">
        <v>12</v>
      </c>
      <c r="Q1642" s="91">
        <v>0</v>
      </c>
      <c r="R1642" s="76">
        <v>0</v>
      </c>
      <c r="S1642" s="76">
        <v>0</v>
      </c>
      <c r="T1642" s="94">
        <f>STOCK[[#This Row],[Costo Unitario (USD)]]+STOCK[[#This Row],[Costo Envío (USD)]]+STOCK[[#This Row],[Comisión 10%]]</f>
        <v>12</v>
      </c>
      <c r="U1642" s="76">
        <f>STOCK[[#This Row],[Costo total]]*1.5</f>
        <v>18</v>
      </c>
      <c r="W1642" s="94">
        <f>STOCK[[#This Row],[Precio Final]]-STOCK[[#This Row],[Costo total]]</f>
        <v>-12</v>
      </c>
      <c r="X1642" s="94">
        <f>STOCK[[#This Row],[Ganancia Unitaria]]*STOCK[[#This Row],[Salidas]]</f>
        <v>-12</v>
      </c>
      <c r="Y1642" s="94"/>
      <c r="Z1642" s="94"/>
      <c r="AA1642" s="94">
        <f>STOCK[[#This Row],[Costo total]]*STOCK[[#This Row],[Entradas]]</f>
        <v>12</v>
      </c>
      <c r="AB1642" s="94">
        <f>STOCK[[#This Row],[Stock Actual]]*STOCK[[#This Row],[Costo total]]</f>
        <v>0</v>
      </c>
      <c r="AC1642" s="94"/>
      <c r="AD1642" s="100"/>
    </row>
    <row r="1643" s="76" customFormat="1" ht="50" customHeight="1" spans="1:30">
      <c r="A1643" s="76" t="s">
        <v>3248</v>
      </c>
      <c r="B1643" s="76" t="s">
        <v>3249</v>
      </c>
      <c r="C1643" s="76" t="s">
        <v>30</v>
      </c>
      <c r="D1643" s="76" t="s">
        <v>1114</v>
      </c>
      <c r="E1643" s="76" t="s">
        <v>3250</v>
      </c>
      <c r="F1643" s="76" t="s">
        <v>3052</v>
      </c>
      <c r="H1643" s="94">
        <f>STOCK[[#This Row],[Precio Final]]</f>
        <v>0</v>
      </c>
      <c r="I1643" s="98">
        <f>STOCK[[#This Row],[Precio Venta Ideal (x1.5)]]</f>
        <v>4.5</v>
      </c>
      <c r="J1643" s="91">
        <v>1</v>
      </c>
      <c r="K1643" s="96">
        <f>SUMIFS(VENTAS[Cantidad],VENTAS[Código del producto Vendido],STOCK[[#This Row],[Code]])</f>
        <v>1</v>
      </c>
      <c r="L1643" s="96">
        <f>STOCK[[#This Row],[Entradas]]-STOCK[[#This Row],[Salidas]]</f>
        <v>0</v>
      </c>
      <c r="M1643" s="94">
        <f>STOCK[[#This Row],[Precio Final]]*10%</f>
        <v>0</v>
      </c>
      <c r="N1643" s="77">
        <v>0</v>
      </c>
      <c r="O1643" s="94">
        <v>0</v>
      </c>
      <c r="P1643" s="76">
        <v>3</v>
      </c>
      <c r="Q1643" s="91">
        <v>0</v>
      </c>
      <c r="R1643" s="76">
        <v>0</v>
      </c>
      <c r="S1643" s="77">
        <v>0</v>
      </c>
      <c r="T1643" s="94">
        <f>STOCK[[#This Row],[Costo Unitario (USD)]]+STOCK[[#This Row],[Costo Envío (USD)]]+STOCK[[#This Row],[Comisión 10%]]</f>
        <v>3</v>
      </c>
      <c r="U1643" s="76">
        <f>STOCK[[#This Row],[Costo total]]*1.5</f>
        <v>4.5</v>
      </c>
      <c r="W1643" s="94">
        <f>STOCK[[#This Row],[Precio Final]]-STOCK[[#This Row],[Costo total]]</f>
        <v>-3</v>
      </c>
      <c r="X1643" s="94">
        <f>STOCK[[#This Row],[Ganancia Unitaria]]*STOCK[[#This Row],[Salidas]]</f>
        <v>-3</v>
      </c>
      <c r="Y1643" s="94"/>
      <c r="Z1643" s="94"/>
      <c r="AA1643" s="94">
        <f>STOCK[[#This Row],[Costo total]]*STOCK[[#This Row],[Entradas]]</f>
        <v>3</v>
      </c>
      <c r="AB1643" s="94">
        <f>STOCK[[#This Row],[Stock Actual]]*STOCK[[#This Row],[Costo total]]</f>
        <v>0</v>
      </c>
      <c r="AC1643" s="94"/>
      <c r="AD1643" s="100"/>
    </row>
    <row r="1644" s="76" customFormat="1" ht="50" customHeight="1" spans="1:30">
      <c r="A1644" s="76" t="s">
        <v>3251</v>
      </c>
      <c r="B1644" s="76" t="s">
        <v>3252</v>
      </c>
      <c r="C1644" s="76" t="s">
        <v>30</v>
      </c>
      <c r="D1644" s="76" t="s">
        <v>1114</v>
      </c>
      <c r="E1644" s="76" t="s">
        <v>3253</v>
      </c>
      <c r="F1644" s="76" t="s">
        <v>3052</v>
      </c>
      <c r="H1644" s="94">
        <f>STOCK[[#This Row],[Precio Final]]</f>
        <v>0</v>
      </c>
      <c r="I1644" s="98">
        <f>STOCK[[#This Row],[Precio Venta Ideal (x1.5)]]</f>
        <v>4.5</v>
      </c>
      <c r="J1644" s="91">
        <v>1</v>
      </c>
      <c r="K1644" s="96">
        <f>SUMIFS(VENTAS[Cantidad],VENTAS[Código del producto Vendido],STOCK[[#This Row],[Code]])</f>
        <v>1</v>
      </c>
      <c r="L1644" s="96">
        <f>STOCK[[#This Row],[Entradas]]-STOCK[[#This Row],[Salidas]]</f>
        <v>0</v>
      </c>
      <c r="M1644" s="94">
        <f>STOCK[[#This Row],[Precio Final]]*10%</f>
        <v>0</v>
      </c>
      <c r="N1644" s="76">
        <v>0</v>
      </c>
      <c r="O1644" s="94">
        <v>0</v>
      </c>
      <c r="P1644" s="76">
        <v>3</v>
      </c>
      <c r="Q1644" s="92">
        <v>0</v>
      </c>
      <c r="R1644" s="76">
        <v>0</v>
      </c>
      <c r="S1644" s="77">
        <v>0</v>
      </c>
      <c r="T1644" s="94">
        <f>STOCK[[#This Row],[Costo Unitario (USD)]]+STOCK[[#This Row],[Costo Envío (USD)]]+STOCK[[#This Row],[Comisión 10%]]</f>
        <v>3</v>
      </c>
      <c r="U1644" s="76">
        <f>STOCK[[#This Row],[Costo total]]*1.5</f>
        <v>4.5</v>
      </c>
      <c r="W1644" s="94">
        <f>STOCK[[#This Row],[Precio Final]]-STOCK[[#This Row],[Costo total]]</f>
        <v>-3</v>
      </c>
      <c r="X1644" s="94">
        <f>STOCK[[#This Row],[Ganancia Unitaria]]*STOCK[[#This Row],[Salidas]]</f>
        <v>-3</v>
      </c>
      <c r="Y1644" s="94"/>
      <c r="Z1644" s="94"/>
      <c r="AA1644" s="94">
        <f>STOCK[[#This Row],[Costo total]]*STOCK[[#This Row],[Entradas]]</f>
        <v>3</v>
      </c>
      <c r="AB1644" s="94">
        <f>STOCK[[#This Row],[Stock Actual]]*STOCK[[#This Row],[Costo total]]</f>
        <v>0</v>
      </c>
      <c r="AC1644" s="94"/>
      <c r="AD1644" s="100"/>
    </row>
    <row r="1645" s="76" customFormat="1" ht="50" customHeight="1" spans="1:30">
      <c r="A1645" s="76" t="s">
        <v>3254</v>
      </c>
      <c r="B1645" s="91" t="str">
        <f>_xlfn.DISPIMG("ID_CA59C52944AC4C77A7772C624B61C434",1)</f>
        <v>=DISPIMG("ID_CA59C52944AC4C77A7772C624B61C434",1)</v>
      </c>
      <c r="C1645" s="76" t="s">
        <v>30</v>
      </c>
      <c r="D1645" s="76" t="s">
        <v>747</v>
      </c>
      <c r="E1645" s="76" t="s">
        <v>3255</v>
      </c>
      <c r="F1645" s="76" t="s">
        <v>3225</v>
      </c>
      <c r="H1645" s="94">
        <f>STOCK[[#This Row],[Precio Final]]</f>
        <v>4</v>
      </c>
      <c r="I1645" s="98">
        <f>STOCK[[#This Row],[Precio Venta Ideal (x1.5)]]</f>
        <v>3.6</v>
      </c>
      <c r="J1645" s="91">
        <v>3</v>
      </c>
      <c r="K1645" s="96">
        <f>SUMIFS(VENTAS[Cantidad],VENTAS[Código del producto Vendido],STOCK[[#This Row],[Code]])</f>
        <v>0</v>
      </c>
      <c r="L1645" s="96">
        <f>STOCK[[#This Row],[Entradas]]-STOCK[[#This Row],[Salidas]]</f>
        <v>3</v>
      </c>
      <c r="M1645" s="94">
        <f>STOCK[[#This Row],[Precio Final]]*10%</f>
        <v>0.4</v>
      </c>
      <c r="N1645" s="77">
        <v>0</v>
      </c>
      <c r="O1645" s="94">
        <v>0</v>
      </c>
      <c r="P1645" s="76">
        <v>2</v>
      </c>
      <c r="Q1645" s="91">
        <v>0</v>
      </c>
      <c r="R1645" s="76">
        <v>0</v>
      </c>
      <c r="S1645" s="76">
        <v>0</v>
      </c>
      <c r="T1645" s="94">
        <f>STOCK[[#This Row],[Costo Unitario (USD)]]+STOCK[[#This Row],[Costo Envío (USD)]]+STOCK[[#This Row],[Comisión 10%]]</f>
        <v>2.4</v>
      </c>
      <c r="U1645" s="76">
        <f>STOCK[[#This Row],[Costo total]]*1.5</f>
        <v>3.6</v>
      </c>
      <c r="V1645" s="76">
        <v>4</v>
      </c>
      <c r="W1645" s="94">
        <f>STOCK[[#This Row],[Precio Final]]-STOCK[[#This Row],[Costo total]]</f>
        <v>1.6</v>
      </c>
      <c r="X1645" s="94">
        <f>STOCK[[#This Row],[Ganancia Unitaria]]*STOCK[[#This Row],[Salidas]]</f>
        <v>0</v>
      </c>
      <c r="Y1645" s="94"/>
      <c r="Z1645" s="94"/>
      <c r="AA1645" s="94">
        <f>STOCK[[#This Row],[Costo total]]*STOCK[[#This Row],[Entradas]]</f>
        <v>7.2</v>
      </c>
      <c r="AB1645" s="94">
        <f>STOCK[[#This Row],[Stock Actual]]*STOCK[[#This Row],[Costo total]]</f>
        <v>7.2</v>
      </c>
      <c r="AC1645" s="94"/>
      <c r="AD1645" s="100"/>
    </row>
    <row r="1646" s="76" customFormat="1" ht="50" customHeight="1" spans="1:30">
      <c r="A1646" s="76" t="s">
        <v>3256</v>
      </c>
      <c r="B1646" s="91" t="str">
        <f>_xlfn.DISPIMG("ID_0505384F87244B17A5F12EC5E5CE6025",1)</f>
        <v>=DISPIMG("ID_0505384F87244B17A5F12EC5E5CE6025",1)</v>
      </c>
      <c r="C1646" s="76" t="s">
        <v>30</v>
      </c>
      <c r="D1646" s="76" t="s">
        <v>747</v>
      </c>
      <c r="E1646" s="76" t="s">
        <v>3257</v>
      </c>
      <c r="F1646" s="76" t="s">
        <v>2106</v>
      </c>
      <c r="H1646" s="94">
        <f>STOCK[[#This Row],[Precio Final]]</f>
        <v>4</v>
      </c>
      <c r="I1646" s="98">
        <f>STOCK[[#This Row],[Precio Venta Ideal (x1.5)]]</f>
        <v>3.6</v>
      </c>
      <c r="J1646" s="91">
        <v>3</v>
      </c>
      <c r="K1646" s="96">
        <f>SUMIFS(VENTAS[Cantidad],VENTAS[Código del producto Vendido],STOCK[[#This Row],[Code]])</f>
        <v>0</v>
      </c>
      <c r="L1646" s="96">
        <f>STOCK[[#This Row],[Entradas]]-STOCK[[#This Row],[Salidas]]</f>
        <v>3</v>
      </c>
      <c r="M1646" s="94">
        <f>STOCK[[#This Row],[Precio Final]]*10%</f>
        <v>0.4</v>
      </c>
      <c r="N1646" s="77">
        <v>0</v>
      </c>
      <c r="O1646" s="94">
        <v>0</v>
      </c>
      <c r="P1646" s="76">
        <v>2</v>
      </c>
      <c r="Q1646" s="91">
        <v>0</v>
      </c>
      <c r="R1646" s="76">
        <v>0</v>
      </c>
      <c r="S1646" s="76">
        <v>0</v>
      </c>
      <c r="T1646" s="94">
        <f>STOCK[[#This Row],[Costo Unitario (USD)]]+STOCK[[#This Row],[Costo Envío (USD)]]+STOCK[[#This Row],[Comisión 10%]]</f>
        <v>2.4</v>
      </c>
      <c r="U1646" s="76">
        <f>STOCK[[#This Row],[Costo total]]*1.5</f>
        <v>3.6</v>
      </c>
      <c r="V1646" s="76">
        <v>4</v>
      </c>
      <c r="W1646" s="94">
        <f>STOCK[[#This Row],[Precio Final]]-STOCK[[#This Row],[Costo total]]</f>
        <v>1.6</v>
      </c>
      <c r="X1646" s="94">
        <f>STOCK[[#This Row],[Ganancia Unitaria]]*STOCK[[#This Row],[Salidas]]</f>
        <v>0</v>
      </c>
      <c r="Y1646" s="94"/>
      <c r="Z1646" s="94"/>
      <c r="AA1646" s="94">
        <f>STOCK[[#This Row],[Costo total]]*STOCK[[#This Row],[Entradas]]</f>
        <v>7.2</v>
      </c>
      <c r="AB1646" s="94">
        <f>STOCK[[#This Row],[Stock Actual]]*STOCK[[#This Row],[Costo total]]</f>
        <v>7.2</v>
      </c>
      <c r="AC1646" s="94"/>
      <c r="AD1646" s="100"/>
    </row>
    <row r="1647" s="76" customFormat="1" ht="50" customHeight="1" spans="1:30">
      <c r="A1647" s="76" t="s">
        <v>3258</v>
      </c>
      <c r="B1647" s="91" t="str">
        <f>_xlfn.DISPIMG("ID_55313014813345A0B08CAA51D07E216F",1)</f>
        <v>=DISPIMG("ID_55313014813345A0B08CAA51D07E216F",1)</v>
      </c>
      <c r="C1647" s="76" t="s">
        <v>30</v>
      </c>
      <c r="D1647" s="76" t="s">
        <v>3259</v>
      </c>
      <c r="E1647" s="76" t="s">
        <v>3260</v>
      </c>
      <c r="F1647" s="76" t="s">
        <v>524</v>
      </c>
      <c r="H1647" s="94">
        <f>STOCK[[#This Row],[Precio Final]]</f>
        <v>3</v>
      </c>
      <c r="I1647" s="98">
        <f>STOCK[[#This Row],[Precio Venta Ideal (x1.5)]]</f>
        <v>1.74</v>
      </c>
      <c r="J1647" s="91">
        <v>4</v>
      </c>
      <c r="K1647" s="96">
        <f>SUMIFS(VENTAS[Cantidad],VENTAS[Código del producto Vendido],STOCK[[#This Row],[Code]])</f>
        <v>2</v>
      </c>
      <c r="L1647" s="96">
        <f>STOCK[[#This Row],[Entradas]]-STOCK[[#This Row],[Salidas]]</f>
        <v>2</v>
      </c>
      <c r="M1647" s="94">
        <f>STOCK[[#This Row],[Precio Final]]*10%</f>
        <v>0.3</v>
      </c>
      <c r="N1647" s="77">
        <v>0</v>
      </c>
      <c r="O1647" s="94">
        <v>0</v>
      </c>
      <c r="P1647" s="76">
        <v>0.86</v>
      </c>
      <c r="Q1647" s="91">
        <v>0</v>
      </c>
      <c r="R1647" s="76">
        <v>0</v>
      </c>
      <c r="S1647" s="76">
        <v>0</v>
      </c>
      <c r="T1647" s="94">
        <f>STOCK[[#This Row],[Costo Unitario (USD)]]+STOCK[[#This Row],[Costo Envío (USD)]]+STOCK[[#This Row],[Comisión 10%]]</f>
        <v>1.16</v>
      </c>
      <c r="U1647" s="76">
        <f>STOCK[[#This Row],[Costo total]]*1.5</f>
        <v>1.74</v>
      </c>
      <c r="V1647" s="76">
        <v>3</v>
      </c>
      <c r="W1647" s="94">
        <f>STOCK[[#This Row],[Precio Final]]-STOCK[[#This Row],[Costo total]]</f>
        <v>1.84</v>
      </c>
      <c r="X1647" s="94">
        <f>STOCK[[#This Row],[Ganancia Unitaria]]*STOCK[[#This Row],[Salidas]]</f>
        <v>3.68</v>
      </c>
      <c r="Y1647" s="94"/>
      <c r="Z1647" s="94"/>
      <c r="AA1647" s="94">
        <f>STOCK[[#This Row],[Costo total]]*STOCK[[#This Row],[Entradas]]</f>
        <v>4.64</v>
      </c>
      <c r="AB1647" s="94">
        <f>STOCK[[#This Row],[Stock Actual]]*STOCK[[#This Row],[Costo total]]</f>
        <v>2.32</v>
      </c>
      <c r="AC1647" s="94"/>
      <c r="AD1647" s="100"/>
    </row>
    <row r="1648" s="76" customFormat="1" ht="50" customHeight="1" spans="1:30">
      <c r="A1648" s="76" t="s">
        <v>3261</v>
      </c>
      <c r="B1648" s="91" t="str">
        <f>_xlfn.DISPIMG("ID_55313014813345A0B08CAA51D07E216F",1)</f>
        <v>=DISPIMG("ID_55313014813345A0B08CAA51D07E216F",1)</v>
      </c>
      <c r="C1648" s="76" t="s">
        <v>30</v>
      </c>
      <c r="D1648" s="76" t="s">
        <v>3259</v>
      </c>
      <c r="E1648" s="76" t="s">
        <v>3262</v>
      </c>
      <c r="F1648" s="76" t="s">
        <v>524</v>
      </c>
      <c r="H1648" s="94">
        <f>STOCK[[#This Row],[Precio Final]]</f>
        <v>3</v>
      </c>
      <c r="I1648" s="98">
        <f>STOCK[[#This Row],[Precio Venta Ideal (x1.5)]]</f>
        <v>1.74</v>
      </c>
      <c r="J1648" s="91">
        <v>3</v>
      </c>
      <c r="K1648" s="96">
        <f>SUMIFS(VENTAS[Cantidad],VENTAS[Código del producto Vendido],STOCK[[#This Row],[Code]])</f>
        <v>1</v>
      </c>
      <c r="L1648" s="96">
        <f>STOCK[[#This Row],[Entradas]]-STOCK[[#This Row],[Salidas]]</f>
        <v>2</v>
      </c>
      <c r="M1648" s="94">
        <f>STOCK[[#This Row],[Precio Final]]*10%</f>
        <v>0.3</v>
      </c>
      <c r="N1648" s="77">
        <v>0</v>
      </c>
      <c r="O1648" s="94">
        <v>0</v>
      </c>
      <c r="P1648" s="76">
        <v>0.86</v>
      </c>
      <c r="Q1648" s="91">
        <v>0</v>
      </c>
      <c r="R1648" s="76">
        <v>0</v>
      </c>
      <c r="S1648" s="76">
        <v>0</v>
      </c>
      <c r="T1648" s="94">
        <f>STOCK[[#This Row],[Costo Unitario (USD)]]+STOCK[[#This Row],[Costo Envío (USD)]]+STOCK[[#This Row],[Comisión 10%]]</f>
        <v>1.16</v>
      </c>
      <c r="U1648" s="76">
        <f>STOCK[[#This Row],[Costo total]]*1.5</f>
        <v>1.74</v>
      </c>
      <c r="V1648" s="76">
        <v>3</v>
      </c>
      <c r="W1648" s="94">
        <f>STOCK[[#This Row],[Precio Final]]-STOCK[[#This Row],[Costo total]]</f>
        <v>1.84</v>
      </c>
      <c r="X1648" s="94">
        <f>STOCK[[#This Row],[Ganancia Unitaria]]*STOCK[[#This Row],[Salidas]]</f>
        <v>1.84</v>
      </c>
      <c r="Y1648" s="94"/>
      <c r="Z1648" s="94"/>
      <c r="AA1648" s="94">
        <f>STOCK[[#This Row],[Costo total]]*STOCK[[#This Row],[Entradas]]</f>
        <v>3.48</v>
      </c>
      <c r="AB1648" s="94">
        <f>STOCK[[#This Row],[Stock Actual]]*STOCK[[#This Row],[Costo total]]</f>
        <v>2.32</v>
      </c>
      <c r="AC1648" s="94"/>
      <c r="AD1648" s="100"/>
    </row>
    <row r="1649" s="76" customFormat="1" ht="50" customHeight="1" spans="1:30">
      <c r="A1649" s="76" t="s">
        <v>3263</v>
      </c>
      <c r="B1649" s="76" t="s">
        <v>1343</v>
      </c>
      <c r="C1649" s="76" t="s">
        <v>30</v>
      </c>
      <c r="D1649" s="76" t="s">
        <v>3259</v>
      </c>
      <c r="E1649" s="76" t="s">
        <v>3264</v>
      </c>
      <c r="F1649" s="76" t="s">
        <v>60</v>
      </c>
      <c r="H1649" s="94">
        <f>STOCK[[#This Row],[Precio Final]]</f>
        <v>2.5</v>
      </c>
      <c r="I1649" s="98">
        <f>STOCK[[#This Row],[Precio Venta Ideal (x1.5)]]</f>
        <v>1.665</v>
      </c>
      <c r="J1649" s="91">
        <v>2</v>
      </c>
      <c r="K1649" s="96">
        <f>SUMIFS(VENTAS[Cantidad],VENTAS[Código del producto Vendido],STOCK[[#This Row],[Code]])</f>
        <v>0</v>
      </c>
      <c r="L1649" s="96">
        <f>STOCK[[#This Row],[Entradas]]-STOCK[[#This Row],[Salidas]]</f>
        <v>2</v>
      </c>
      <c r="M1649" s="94">
        <f>STOCK[[#This Row],[Precio Final]]*10%</f>
        <v>0.25</v>
      </c>
      <c r="N1649" s="77">
        <v>0</v>
      </c>
      <c r="O1649" s="94">
        <v>0</v>
      </c>
      <c r="P1649" s="76">
        <v>0.86</v>
      </c>
      <c r="Q1649" s="91">
        <v>0</v>
      </c>
      <c r="R1649" s="76">
        <v>0</v>
      </c>
      <c r="S1649" s="76">
        <v>0</v>
      </c>
      <c r="T1649" s="94">
        <f>STOCK[[#This Row],[Costo Unitario (USD)]]+STOCK[[#This Row],[Costo Envío (USD)]]+STOCK[[#This Row],[Comisión 10%]]</f>
        <v>1.11</v>
      </c>
      <c r="U1649" s="76">
        <f>STOCK[[#This Row],[Costo total]]*1.5</f>
        <v>1.665</v>
      </c>
      <c r="V1649" s="76">
        <v>2.5</v>
      </c>
      <c r="W1649" s="94">
        <f>STOCK[[#This Row],[Precio Final]]-STOCK[[#This Row],[Costo total]]</f>
        <v>1.39</v>
      </c>
      <c r="X1649" s="94">
        <f>STOCK[[#This Row],[Ganancia Unitaria]]*STOCK[[#This Row],[Salidas]]</f>
        <v>0</v>
      </c>
      <c r="Y1649" s="94"/>
      <c r="Z1649" s="94"/>
      <c r="AA1649" s="94">
        <f>STOCK[[#This Row],[Costo total]]*STOCK[[#This Row],[Entradas]]</f>
        <v>2.22</v>
      </c>
      <c r="AB1649" s="94">
        <f>STOCK[[#This Row],[Stock Actual]]*STOCK[[#This Row],[Costo total]]</f>
        <v>2.22</v>
      </c>
      <c r="AC1649" s="94"/>
      <c r="AD1649" s="100"/>
    </row>
    <row r="1650" s="76" customFormat="1" ht="50" customHeight="1" spans="1:30">
      <c r="A1650" s="76" t="s">
        <v>3265</v>
      </c>
      <c r="B1650" s="76" t="s">
        <v>1343</v>
      </c>
      <c r="C1650" s="76" t="s">
        <v>30</v>
      </c>
      <c r="D1650" s="76" t="s">
        <v>3259</v>
      </c>
      <c r="E1650" s="76" t="s">
        <v>3266</v>
      </c>
      <c r="F1650" s="76" t="s">
        <v>60</v>
      </c>
      <c r="H1650" s="94">
        <f>STOCK[[#This Row],[Precio Final]]</f>
        <v>2.5</v>
      </c>
      <c r="I1650" s="98">
        <f>STOCK[[#This Row],[Precio Venta Ideal (x1.5)]]</f>
        <v>1.665</v>
      </c>
      <c r="J1650" s="91">
        <v>2</v>
      </c>
      <c r="K1650" s="96">
        <f>SUMIFS(VENTAS[Cantidad],VENTAS[Código del producto Vendido],STOCK[[#This Row],[Code]])</f>
        <v>0</v>
      </c>
      <c r="L1650" s="96">
        <f>STOCK[[#This Row],[Entradas]]-STOCK[[#This Row],[Salidas]]</f>
        <v>2</v>
      </c>
      <c r="M1650" s="94">
        <f>STOCK[[#This Row],[Precio Final]]*10%</f>
        <v>0.25</v>
      </c>
      <c r="N1650" s="77">
        <v>0</v>
      </c>
      <c r="O1650" s="94">
        <v>0</v>
      </c>
      <c r="P1650" s="76">
        <v>0.86</v>
      </c>
      <c r="Q1650" s="91">
        <v>0</v>
      </c>
      <c r="R1650" s="76">
        <v>0</v>
      </c>
      <c r="S1650" s="76">
        <v>0</v>
      </c>
      <c r="T1650" s="94">
        <f>STOCK[[#This Row],[Costo Unitario (USD)]]+STOCK[[#This Row],[Costo Envío (USD)]]+STOCK[[#This Row],[Comisión 10%]]</f>
        <v>1.11</v>
      </c>
      <c r="U1650" s="76">
        <f>STOCK[[#This Row],[Costo total]]*1.5</f>
        <v>1.665</v>
      </c>
      <c r="V1650" s="76">
        <v>2.5</v>
      </c>
      <c r="W1650" s="94">
        <f>STOCK[[#This Row],[Precio Final]]-STOCK[[#This Row],[Costo total]]</f>
        <v>1.39</v>
      </c>
      <c r="X1650" s="94">
        <f>STOCK[[#This Row],[Ganancia Unitaria]]*STOCK[[#This Row],[Salidas]]</f>
        <v>0</v>
      </c>
      <c r="Y1650" s="94"/>
      <c r="Z1650" s="94"/>
      <c r="AA1650" s="94">
        <f>STOCK[[#This Row],[Costo total]]*STOCK[[#This Row],[Entradas]]</f>
        <v>2.22</v>
      </c>
      <c r="AB1650" s="94">
        <f>STOCK[[#This Row],[Stock Actual]]*STOCK[[#This Row],[Costo total]]</f>
        <v>2.22</v>
      </c>
      <c r="AC1650" s="94"/>
      <c r="AD1650" s="100"/>
    </row>
    <row r="1651" s="76" customFormat="1" ht="50" customHeight="1" spans="1:30">
      <c r="A1651" s="76" t="s">
        <v>3267</v>
      </c>
      <c r="B1651" s="76" t="s">
        <v>1343</v>
      </c>
      <c r="C1651" s="76" t="s">
        <v>30</v>
      </c>
      <c r="D1651" s="76" t="s">
        <v>3259</v>
      </c>
      <c r="E1651" s="76" t="s">
        <v>3268</v>
      </c>
      <c r="F1651" s="76" t="s">
        <v>60</v>
      </c>
      <c r="H1651" s="94">
        <f>STOCK[[#This Row],[Precio Final]]</f>
        <v>2.5</v>
      </c>
      <c r="I1651" s="98">
        <f>STOCK[[#This Row],[Precio Venta Ideal (x1.5)]]</f>
        <v>1.665</v>
      </c>
      <c r="J1651" s="91">
        <v>1</v>
      </c>
      <c r="K1651" s="96">
        <f>SUMIFS(VENTAS[Cantidad],VENTAS[Código del producto Vendido],STOCK[[#This Row],[Code]])</f>
        <v>0</v>
      </c>
      <c r="L1651" s="96">
        <f>STOCK[[#This Row],[Entradas]]-STOCK[[#This Row],[Salidas]]</f>
        <v>1</v>
      </c>
      <c r="M1651" s="94">
        <f>STOCK[[#This Row],[Precio Final]]*10%</f>
        <v>0.25</v>
      </c>
      <c r="N1651" s="77">
        <v>0</v>
      </c>
      <c r="O1651" s="94">
        <v>0</v>
      </c>
      <c r="P1651" s="76">
        <v>0.86</v>
      </c>
      <c r="Q1651" s="91">
        <v>0</v>
      </c>
      <c r="R1651" s="76">
        <v>0</v>
      </c>
      <c r="S1651" s="76">
        <v>0</v>
      </c>
      <c r="T1651" s="94">
        <f>STOCK[[#This Row],[Costo Unitario (USD)]]+STOCK[[#This Row],[Costo Envío (USD)]]+STOCK[[#This Row],[Comisión 10%]]</f>
        <v>1.11</v>
      </c>
      <c r="U1651" s="76">
        <f>STOCK[[#This Row],[Costo total]]*1.5</f>
        <v>1.665</v>
      </c>
      <c r="V1651" s="76">
        <v>2.5</v>
      </c>
      <c r="W1651" s="94">
        <f>STOCK[[#This Row],[Precio Final]]-STOCK[[#This Row],[Costo total]]</f>
        <v>1.39</v>
      </c>
      <c r="X1651" s="94">
        <f>STOCK[[#This Row],[Ganancia Unitaria]]*STOCK[[#This Row],[Salidas]]</f>
        <v>0</v>
      </c>
      <c r="Y1651" s="94"/>
      <c r="Z1651" s="94"/>
      <c r="AA1651" s="94">
        <f>STOCK[[#This Row],[Costo total]]*STOCK[[#This Row],[Entradas]]</f>
        <v>1.11</v>
      </c>
      <c r="AB1651" s="94">
        <f>STOCK[[#This Row],[Stock Actual]]*STOCK[[#This Row],[Costo total]]</f>
        <v>1.11</v>
      </c>
      <c r="AC1651" s="94"/>
      <c r="AD1651" s="100"/>
    </row>
    <row r="1652" s="76" customFormat="1" ht="50" customHeight="1" spans="1:30">
      <c r="A1652" s="76" t="s">
        <v>3269</v>
      </c>
      <c r="B1652" s="91" t="str">
        <f>_xlfn.DISPIMG("ID_3D450F2A6B7C47C59B1BC9781F1455B8",1)</f>
        <v>=DISPIMG("ID_3D450F2A6B7C47C59B1BC9781F1455B8",1)</v>
      </c>
      <c r="C1652" s="76" t="s">
        <v>30</v>
      </c>
      <c r="D1652" s="76" t="s">
        <v>3270</v>
      </c>
      <c r="E1652" s="76" t="s">
        <v>3271</v>
      </c>
      <c r="F1652" s="76" t="s">
        <v>524</v>
      </c>
      <c r="H1652" s="94">
        <f>STOCK[[#This Row],[Precio Final]]</f>
        <v>3.5</v>
      </c>
      <c r="I1652" s="98">
        <f>STOCK[[#This Row],[Precio Venta Ideal (x1.5)]]</f>
        <v>3.525</v>
      </c>
      <c r="J1652" s="91">
        <v>1</v>
      </c>
      <c r="K1652" s="96">
        <f>SUMIFS(VENTAS[Cantidad],VENTAS[Código del producto Vendido],STOCK[[#This Row],[Code]])</f>
        <v>0</v>
      </c>
      <c r="L1652" s="96">
        <f>STOCK[[#This Row],[Entradas]]-STOCK[[#This Row],[Salidas]]</f>
        <v>1</v>
      </c>
      <c r="M1652" s="94">
        <f>STOCK[[#This Row],[Precio Final]]*10%</f>
        <v>0.35</v>
      </c>
      <c r="N1652" s="77">
        <v>0</v>
      </c>
      <c r="O1652" s="94">
        <v>0</v>
      </c>
      <c r="P1652" s="76">
        <v>2</v>
      </c>
      <c r="Q1652" s="91">
        <v>0</v>
      </c>
      <c r="R1652" s="76">
        <v>0</v>
      </c>
      <c r="S1652" s="76">
        <v>0</v>
      </c>
      <c r="T1652" s="94">
        <f>STOCK[[#This Row],[Costo Unitario (USD)]]+STOCK[[#This Row],[Costo Envío (USD)]]+STOCK[[#This Row],[Comisión 10%]]</f>
        <v>2.35</v>
      </c>
      <c r="U1652" s="76">
        <f>STOCK[[#This Row],[Costo total]]*1.5</f>
        <v>3.525</v>
      </c>
      <c r="V1652" s="76">
        <v>3.5</v>
      </c>
      <c r="W1652" s="94">
        <f>STOCK[[#This Row],[Precio Final]]-STOCK[[#This Row],[Costo total]]</f>
        <v>1.15</v>
      </c>
      <c r="X1652" s="94">
        <f>STOCK[[#This Row],[Ganancia Unitaria]]*STOCK[[#This Row],[Salidas]]</f>
        <v>0</v>
      </c>
      <c r="Y1652" s="94"/>
      <c r="Z1652" s="94"/>
      <c r="AA1652" s="94">
        <f>STOCK[[#This Row],[Costo total]]*STOCK[[#This Row],[Entradas]]</f>
        <v>2.35</v>
      </c>
      <c r="AB1652" s="94">
        <f>STOCK[[#This Row],[Stock Actual]]*STOCK[[#This Row],[Costo total]]</f>
        <v>2.35</v>
      </c>
      <c r="AC1652" s="94"/>
      <c r="AD1652" s="100"/>
    </row>
    <row r="1653" s="76" customFormat="1" ht="50" customHeight="1" spans="1:30">
      <c r="A1653" s="76" t="s">
        <v>3272</v>
      </c>
      <c r="B1653" s="91" t="str">
        <f>_xlfn.DISPIMG("ID_FEA31DA4C4624707BACE85D4A3AE66F3",1)</f>
        <v>=DISPIMG("ID_FEA31DA4C4624707BACE85D4A3AE66F3",1)</v>
      </c>
      <c r="C1653" s="76" t="s">
        <v>30</v>
      </c>
      <c r="D1653" s="76" t="s">
        <v>3270</v>
      </c>
      <c r="E1653" s="76" t="s">
        <v>3273</v>
      </c>
      <c r="F1653" s="76" t="s">
        <v>524</v>
      </c>
      <c r="H1653" s="94">
        <f>STOCK[[#This Row],[Precio Final]]</f>
        <v>5</v>
      </c>
      <c r="I1653" s="98">
        <f>STOCK[[#This Row],[Precio Venta Ideal (x1.5)]]</f>
        <v>3.75</v>
      </c>
      <c r="J1653" s="91">
        <v>2</v>
      </c>
      <c r="K1653" s="96">
        <f>SUMIFS(VENTAS[Cantidad],VENTAS[Código del producto Vendido],STOCK[[#This Row],[Code]])</f>
        <v>0</v>
      </c>
      <c r="L1653" s="96">
        <f>STOCK[[#This Row],[Entradas]]-STOCK[[#This Row],[Salidas]]</f>
        <v>2</v>
      </c>
      <c r="M1653" s="94">
        <f>STOCK[[#This Row],[Precio Final]]*10%</f>
        <v>0.5</v>
      </c>
      <c r="N1653" s="77">
        <v>0</v>
      </c>
      <c r="O1653" s="94">
        <v>0</v>
      </c>
      <c r="P1653" s="76">
        <v>2</v>
      </c>
      <c r="Q1653" s="91">
        <v>0</v>
      </c>
      <c r="R1653" s="76">
        <v>0</v>
      </c>
      <c r="S1653" s="76">
        <v>0</v>
      </c>
      <c r="T1653" s="94">
        <f>STOCK[[#This Row],[Costo Unitario (USD)]]+STOCK[[#This Row],[Costo Envío (USD)]]+STOCK[[#This Row],[Comisión 10%]]</f>
        <v>2.5</v>
      </c>
      <c r="U1653" s="76">
        <f>STOCK[[#This Row],[Costo total]]*1.5</f>
        <v>3.75</v>
      </c>
      <c r="V1653" s="76">
        <v>5</v>
      </c>
      <c r="W1653" s="94">
        <f>STOCK[[#This Row],[Precio Final]]-STOCK[[#This Row],[Costo total]]</f>
        <v>2.5</v>
      </c>
      <c r="X1653" s="94">
        <f>STOCK[[#This Row],[Ganancia Unitaria]]*STOCK[[#This Row],[Salidas]]</f>
        <v>0</v>
      </c>
      <c r="Y1653" s="94"/>
      <c r="Z1653" s="94"/>
      <c r="AA1653" s="94">
        <f>STOCK[[#This Row],[Costo total]]*STOCK[[#This Row],[Entradas]]</f>
        <v>5</v>
      </c>
      <c r="AB1653" s="94">
        <f>STOCK[[#This Row],[Stock Actual]]*STOCK[[#This Row],[Costo total]]</f>
        <v>5</v>
      </c>
      <c r="AC1653" s="94"/>
      <c r="AD1653" s="100"/>
    </row>
    <row r="1654" s="76" customFormat="1" ht="50" customHeight="1" spans="1:30">
      <c r="A1654" s="76" t="s">
        <v>3274</v>
      </c>
      <c r="B1654" s="91" t="str">
        <f>_xlfn.DISPIMG("ID_22CAB55638B04FF8A0B296359D1A0FC6",1)</f>
        <v>=DISPIMG("ID_22CAB55638B04FF8A0B296359D1A0FC6",1)</v>
      </c>
      <c r="C1654" s="76" t="s">
        <v>30</v>
      </c>
      <c r="D1654" s="76" t="s">
        <v>3270</v>
      </c>
      <c r="E1654" s="76" t="s">
        <v>3275</v>
      </c>
      <c r="F1654" s="76" t="s">
        <v>524</v>
      </c>
      <c r="H1654" s="94">
        <f>STOCK[[#This Row],[Precio Final]]</f>
        <v>5</v>
      </c>
      <c r="I1654" s="98">
        <f>STOCK[[#This Row],[Precio Venta Ideal (x1.5)]]</f>
        <v>3.75</v>
      </c>
      <c r="J1654" s="91">
        <v>1</v>
      </c>
      <c r="K1654" s="96">
        <f>SUMIFS(VENTAS[Cantidad],VENTAS[Código del producto Vendido],STOCK[[#This Row],[Code]])</f>
        <v>0</v>
      </c>
      <c r="L1654" s="96">
        <f>STOCK[[#This Row],[Entradas]]-STOCK[[#This Row],[Salidas]]</f>
        <v>1</v>
      </c>
      <c r="M1654" s="94">
        <f>STOCK[[#This Row],[Precio Final]]*10%</f>
        <v>0.5</v>
      </c>
      <c r="N1654" s="77">
        <v>0</v>
      </c>
      <c r="O1654" s="94">
        <v>0</v>
      </c>
      <c r="P1654" s="76">
        <v>2</v>
      </c>
      <c r="Q1654" s="91">
        <v>0</v>
      </c>
      <c r="R1654" s="76">
        <v>0</v>
      </c>
      <c r="S1654" s="76">
        <v>0</v>
      </c>
      <c r="T1654" s="94">
        <f>STOCK[[#This Row],[Costo Unitario (USD)]]+STOCK[[#This Row],[Costo Envío (USD)]]+STOCK[[#This Row],[Comisión 10%]]</f>
        <v>2.5</v>
      </c>
      <c r="U1654" s="76">
        <f>STOCK[[#This Row],[Costo total]]*1.5</f>
        <v>3.75</v>
      </c>
      <c r="V1654" s="76">
        <v>5</v>
      </c>
      <c r="W1654" s="94">
        <f>STOCK[[#This Row],[Precio Final]]-STOCK[[#This Row],[Costo total]]</f>
        <v>2.5</v>
      </c>
      <c r="X1654" s="94">
        <f>STOCK[[#This Row],[Ganancia Unitaria]]*STOCK[[#This Row],[Salidas]]</f>
        <v>0</v>
      </c>
      <c r="Y1654" s="94"/>
      <c r="Z1654" s="94"/>
      <c r="AA1654" s="94">
        <f>STOCK[[#This Row],[Costo total]]*STOCK[[#This Row],[Entradas]]</f>
        <v>2.5</v>
      </c>
      <c r="AB1654" s="94">
        <f>STOCK[[#This Row],[Stock Actual]]*STOCK[[#This Row],[Costo total]]</f>
        <v>2.5</v>
      </c>
      <c r="AC1654" s="94"/>
      <c r="AD1654" s="100"/>
    </row>
    <row r="1655" s="76" customFormat="1" ht="50" customHeight="1" spans="1:30">
      <c r="A1655" s="76" t="s">
        <v>3276</v>
      </c>
      <c r="C1655" s="76" t="s">
        <v>30</v>
      </c>
      <c r="D1655" s="76" t="s">
        <v>3277</v>
      </c>
      <c r="E1655" s="76" t="s">
        <v>3275</v>
      </c>
      <c r="F1655" s="76" t="s">
        <v>60</v>
      </c>
      <c r="H1655" s="94">
        <f>STOCK[[#This Row],[Precio Final]]</f>
        <v>6</v>
      </c>
      <c r="I1655" s="98">
        <f>STOCK[[#This Row],[Precio Venta Ideal (x1.5)]]</f>
        <v>12.9</v>
      </c>
      <c r="J1655" s="91">
        <v>1</v>
      </c>
      <c r="K1655" s="96">
        <f>SUMIFS(VENTAS[Cantidad],VENTAS[Código del producto Vendido],STOCK[[#This Row],[Code]])</f>
        <v>0</v>
      </c>
      <c r="L1655" s="96">
        <f>STOCK[[#This Row],[Entradas]]-STOCK[[#This Row],[Salidas]]</f>
        <v>1</v>
      </c>
      <c r="M1655" s="94">
        <f>STOCK[[#This Row],[Precio Final]]*10%</f>
        <v>0.6</v>
      </c>
      <c r="N1655" s="77">
        <v>0</v>
      </c>
      <c r="O1655" s="94">
        <v>0</v>
      </c>
      <c r="P1655" s="76">
        <v>8</v>
      </c>
      <c r="Q1655" s="91">
        <v>0</v>
      </c>
      <c r="R1655" s="76">
        <v>0</v>
      </c>
      <c r="S1655" s="76">
        <v>0</v>
      </c>
      <c r="T1655" s="94">
        <f>STOCK[[#This Row],[Costo Unitario (USD)]]+STOCK[[#This Row],[Costo Envío (USD)]]+STOCK[[#This Row],[Comisión 10%]]</f>
        <v>8.6</v>
      </c>
      <c r="U1655" s="76">
        <f>STOCK[[#This Row],[Costo total]]*1.5</f>
        <v>12.9</v>
      </c>
      <c r="V1655" s="76">
        <v>6</v>
      </c>
      <c r="W1655" s="94">
        <f>STOCK[[#This Row],[Precio Final]]-STOCK[[#This Row],[Costo total]]</f>
        <v>-2.6</v>
      </c>
      <c r="X1655" s="94">
        <f>STOCK[[#This Row],[Ganancia Unitaria]]*STOCK[[#This Row],[Salidas]]</f>
        <v>0</v>
      </c>
      <c r="Y1655" s="94"/>
      <c r="Z1655" s="94"/>
      <c r="AA1655" s="94">
        <f>STOCK[[#This Row],[Costo total]]*STOCK[[#This Row],[Entradas]]</f>
        <v>8.6</v>
      </c>
      <c r="AB1655" s="94">
        <f>STOCK[[#This Row],[Stock Actual]]*STOCK[[#This Row],[Costo total]]</f>
        <v>8.6</v>
      </c>
      <c r="AC1655" s="94"/>
      <c r="AD1655" s="100"/>
    </row>
    <row r="1656" s="76" customFormat="1" ht="50" customHeight="1" spans="8:30">
      <c r="H1656" s="94">
        <f>STOCK[[#This Row],[Precio Final]]</f>
        <v>0</v>
      </c>
      <c r="I1656" s="98">
        <f>STOCK[[#This Row],[Precio Venta Ideal (x1.5)]]</f>
        <v>0</v>
      </c>
      <c r="J1656" s="91"/>
      <c r="K1656" s="96">
        <f>SUMIFS(VENTAS[Cantidad],VENTAS[Código del producto Vendido],STOCK[[#This Row],[Code]])</f>
        <v>0</v>
      </c>
      <c r="L1656" s="96">
        <f>STOCK[[#This Row],[Entradas]]-STOCK[[#This Row],[Salidas]]</f>
        <v>0</v>
      </c>
      <c r="M1656" s="94">
        <f>STOCK[[#This Row],[Precio Final]]*10%</f>
        <v>0</v>
      </c>
      <c r="N1656" s="77">
        <v>0</v>
      </c>
      <c r="O1656" s="94">
        <v>0</v>
      </c>
      <c r="Q1656" s="91">
        <v>0</v>
      </c>
      <c r="R1656" s="76">
        <v>0</v>
      </c>
      <c r="S1656" s="76">
        <v>0</v>
      </c>
      <c r="T1656" s="94">
        <f>STOCK[[#This Row],[Costo Unitario (USD)]]+STOCK[[#This Row],[Costo Envío (USD)]]+STOCK[[#This Row],[Comisión 10%]]</f>
        <v>0</v>
      </c>
      <c r="U1656" s="76">
        <f>STOCK[[#This Row],[Costo total]]*1.5</f>
        <v>0</v>
      </c>
      <c r="W1656" s="94">
        <f>STOCK[[#This Row],[Precio Final]]-STOCK[[#This Row],[Costo total]]</f>
        <v>0</v>
      </c>
      <c r="X1656" s="94">
        <f>STOCK[[#This Row],[Ganancia Unitaria]]*STOCK[[#This Row],[Salidas]]</f>
        <v>0</v>
      </c>
      <c r="Y1656" s="94"/>
      <c r="Z1656" s="94"/>
      <c r="AA1656" s="94">
        <f>STOCK[[#This Row],[Costo total]]*STOCK[[#This Row],[Entradas]]</f>
        <v>0</v>
      </c>
      <c r="AB1656" s="94">
        <f>STOCK[[#This Row],[Stock Actual]]*STOCK[[#This Row],[Costo total]]</f>
        <v>0</v>
      </c>
      <c r="AC1656" s="94"/>
      <c r="AD1656" s="100"/>
    </row>
    <row r="1657" s="76" customFormat="1" ht="50" customHeight="1" spans="8:30">
      <c r="H1657" s="94">
        <f>STOCK[[#This Row],[Precio Final]]</f>
        <v>0</v>
      </c>
      <c r="I1657" s="98">
        <f>STOCK[[#This Row],[Precio Venta Ideal (x1.5)]]</f>
        <v>0</v>
      </c>
      <c r="J1657" s="91"/>
      <c r="K1657" s="96">
        <f>SUMIFS(VENTAS[Cantidad],VENTAS[Código del producto Vendido],STOCK[[#This Row],[Code]])</f>
        <v>0</v>
      </c>
      <c r="L1657" s="96">
        <f>STOCK[[#This Row],[Entradas]]-STOCK[[#This Row],[Salidas]]</f>
        <v>0</v>
      </c>
      <c r="M1657" s="94">
        <f>STOCK[[#This Row],[Precio Final]]*10%</f>
        <v>0</v>
      </c>
      <c r="N1657" s="77">
        <v>0</v>
      </c>
      <c r="O1657" s="94">
        <v>0</v>
      </c>
      <c r="Q1657" s="91">
        <v>0</v>
      </c>
      <c r="R1657" s="76">
        <v>0</v>
      </c>
      <c r="S1657" s="76">
        <v>0</v>
      </c>
      <c r="T1657" s="94">
        <f>STOCK[[#This Row],[Costo Unitario (USD)]]+STOCK[[#This Row],[Costo Envío (USD)]]+STOCK[[#This Row],[Comisión 10%]]</f>
        <v>0</v>
      </c>
      <c r="U1657" s="76">
        <f>STOCK[[#This Row],[Costo total]]*1.5</f>
        <v>0</v>
      </c>
      <c r="W1657" s="94">
        <f>STOCK[[#This Row],[Precio Final]]-STOCK[[#This Row],[Costo total]]</f>
        <v>0</v>
      </c>
      <c r="X1657" s="94">
        <f>STOCK[[#This Row],[Ganancia Unitaria]]*STOCK[[#This Row],[Salidas]]</f>
        <v>0</v>
      </c>
      <c r="Y1657" s="94"/>
      <c r="Z1657" s="94"/>
      <c r="AA1657" s="94">
        <f>STOCK[[#This Row],[Costo total]]*STOCK[[#This Row],[Entradas]]</f>
        <v>0</v>
      </c>
      <c r="AB1657" s="94">
        <f>STOCK[[#This Row],[Stock Actual]]*STOCK[[#This Row],[Costo total]]</f>
        <v>0</v>
      </c>
      <c r="AC1657" s="94"/>
      <c r="AD1657" s="100"/>
    </row>
    <row r="1658" s="76" customFormat="1" ht="50" customHeight="1" spans="8:30">
      <c r="H1658" s="94">
        <f>STOCK[[#This Row],[Precio Final]]</f>
        <v>0</v>
      </c>
      <c r="I1658" s="98">
        <f>STOCK[[#This Row],[Precio Venta Ideal (x1.5)]]</f>
        <v>0</v>
      </c>
      <c r="J1658" s="91"/>
      <c r="K1658" s="96">
        <f>SUMIFS(VENTAS[Cantidad],VENTAS[Código del producto Vendido],STOCK[[#This Row],[Code]])</f>
        <v>0</v>
      </c>
      <c r="L1658" s="96">
        <f>STOCK[[#This Row],[Entradas]]-STOCK[[#This Row],[Salidas]]</f>
        <v>0</v>
      </c>
      <c r="M1658" s="94">
        <f>STOCK[[#This Row],[Precio Final]]*10%</f>
        <v>0</v>
      </c>
      <c r="N1658" s="77">
        <v>0</v>
      </c>
      <c r="O1658" s="94">
        <v>0</v>
      </c>
      <c r="Q1658" s="91">
        <v>0</v>
      </c>
      <c r="R1658" s="76">
        <v>0</v>
      </c>
      <c r="S1658" s="76">
        <v>0</v>
      </c>
      <c r="T1658" s="94">
        <f>STOCK[[#This Row],[Costo Unitario (USD)]]+STOCK[[#This Row],[Costo Envío (USD)]]+STOCK[[#This Row],[Comisión 10%]]</f>
        <v>0</v>
      </c>
      <c r="U1658" s="76">
        <f>STOCK[[#This Row],[Costo total]]*1.5</f>
        <v>0</v>
      </c>
      <c r="W1658" s="94">
        <f>STOCK[[#This Row],[Precio Final]]-STOCK[[#This Row],[Costo total]]</f>
        <v>0</v>
      </c>
      <c r="X1658" s="94">
        <f>STOCK[[#This Row],[Ganancia Unitaria]]*STOCK[[#This Row],[Salidas]]</f>
        <v>0</v>
      </c>
      <c r="Y1658" s="94"/>
      <c r="Z1658" s="94"/>
      <c r="AA1658" s="94">
        <f>STOCK[[#This Row],[Costo total]]*STOCK[[#This Row],[Entradas]]</f>
        <v>0</v>
      </c>
      <c r="AB1658" s="94">
        <f>STOCK[[#This Row],[Stock Actual]]*STOCK[[#This Row],[Costo total]]</f>
        <v>0</v>
      </c>
      <c r="AC1658" s="94"/>
      <c r="AD1658" s="100"/>
    </row>
    <row r="1659" s="76" customFormat="1" ht="50" customHeight="1" spans="8:30">
      <c r="H1659" s="94">
        <f>STOCK[[#This Row],[Precio Final]]</f>
        <v>0</v>
      </c>
      <c r="I1659" s="98">
        <f>STOCK[[#This Row],[Precio Venta Ideal (x1.5)]]</f>
        <v>0</v>
      </c>
      <c r="J1659" s="91"/>
      <c r="K1659" s="96">
        <f>SUMIFS(VENTAS[Cantidad],VENTAS[Código del producto Vendido],STOCK[[#This Row],[Code]])</f>
        <v>0</v>
      </c>
      <c r="L1659" s="96">
        <f>STOCK[[#This Row],[Entradas]]-STOCK[[#This Row],[Salidas]]</f>
        <v>0</v>
      </c>
      <c r="M1659" s="94">
        <f>STOCK[[#This Row],[Precio Final]]*10%</f>
        <v>0</v>
      </c>
      <c r="N1659" s="77">
        <v>0</v>
      </c>
      <c r="O1659" s="94">
        <v>0</v>
      </c>
      <c r="Q1659" s="91">
        <v>0</v>
      </c>
      <c r="R1659" s="76">
        <v>0</v>
      </c>
      <c r="S1659" s="76">
        <v>0</v>
      </c>
      <c r="T1659" s="94">
        <f>STOCK[[#This Row],[Costo Unitario (USD)]]+STOCK[[#This Row],[Costo Envío (USD)]]+STOCK[[#This Row],[Comisión 10%]]</f>
        <v>0</v>
      </c>
      <c r="U1659" s="76">
        <f>STOCK[[#This Row],[Costo total]]*1.5</f>
        <v>0</v>
      </c>
      <c r="W1659" s="94">
        <f>STOCK[[#This Row],[Precio Final]]-STOCK[[#This Row],[Costo total]]</f>
        <v>0</v>
      </c>
      <c r="X1659" s="94">
        <f>STOCK[[#This Row],[Ganancia Unitaria]]*STOCK[[#This Row],[Salidas]]</f>
        <v>0</v>
      </c>
      <c r="Y1659" s="94"/>
      <c r="Z1659" s="94"/>
      <c r="AA1659" s="94">
        <f>STOCK[[#This Row],[Costo total]]*STOCK[[#This Row],[Entradas]]</f>
        <v>0</v>
      </c>
      <c r="AB1659" s="94">
        <f>STOCK[[#This Row],[Stock Actual]]*STOCK[[#This Row],[Costo total]]</f>
        <v>0</v>
      </c>
      <c r="AC1659" s="94"/>
      <c r="AD1659" s="100"/>
    </row>
    <row r="1660" s="76" customFormat="1" ht="50" customHeight="1" spans="8:30">
      <c r="H1660" s="94">
        <f>STOCK[[#This Row],[Precio Final]]</f>
        <v>0</v>
      </c>
      <c r="I1660" s="98">
        <f>STOCK[[#This Row],[Precio Venta Ideal (x1.5)]]</f>
        <v>0</v>
      </c>
      <c r="J1660" s="91"/>
      <c r="K1660" s="96">
        <f>SUMIFS(VENTAS[Cantidad],VENTAS[Código del producto Vendido],STOCK[[#This Row],[Code]])</f>
        <v>0</v>
      </c>
      <c r="L1660" s="96">
        <f>STOCK[[#This Row],[Entradas]]-STOCK[[#This Row],[Salidas]]</f>
        <v>0</v>
      </c>
      <c r="M1660" s="94">
        <f>STOCK[[#This Row],[Precio Final]]*10%</f>
        <v>0</v>
      </c>
      <c r="N1660" s="77">
        <v>0</v>
      </c>
      <c r="O1660" s="94">
        <v>0</v>
      </c>
      <c r="Q1660" s="91">
        <v>0</v>
      </c>
      <c r="R1660" s="76">
        <v>0</v>
      </c>
      <c r="S1660" s="76">
        <v>0</v>
      </c>
      <c r="T1660" s="94">
        <f>STOCK[[#This Row],[Costo Unitario (USD)]]+STOCK[[#This Row],[Costo Envío (USD)]]+STOCK[[#This Row],[Comisión 10%]]</f>
        <v>0</v>
      </c>
      <c r="U1660" s="76">
        <f>STOCK[[#This Row],[Costo total]]*1.5</f>
        <v>0</v>
      </c>
      <c r="W1660" s="94">
        <f>STOCK[[#This Row],[Precio Final]]-STOCK[[#This Row],[Costo total]]</f>
        <v>0</v>
      </c>
      <c r="X1660" s="94">
        <f>STOCK[[#This Row],[Ganancia Unitaria]]*STOCK[[#This Row],[Salidas]]</f>
        <v>0</v>
      </c>
      <c r="Y1660" s="94"/>
      <c r="Z1660" s="94"/>
      <c r="AA1660" s="94">
        <f>STOCK[[#This Row],[Costo total]]*STOCK[[#This Row],[Entradas]]</f>
        <v>0</v>
      </c>
      <c r="AB1660" s="94">
        <f>STOCK[[#This Row],[Stock Actual]]*STOCK[[#This Row],[Costo total]]</f>
        <v>0</v>
      </c>
      <c r="AC1660" s="94"/>
      <c r="AD1660" s="100"/>
    </row>
    <row r="1661" s="76" customFormat="1" ht="50" customHeight="1" spans="8:30">
      <c r="H1661" s="94">
        <f>STOCK[[#This Row],[Precio Final]]</f>
        <v>0</v>
      </c>
      <c r="I1661" s="98">
        <f>STOCK[[#This Row],[Precio Venta Ideal (x1.5)]]</f>
        <v>0</v>
      </c>
      <c r="J1661" s="91"/>
      <c r="K1661" s="96">
        <f>SUMIFS(VENTAS[Cantidad],VENTAS[Código del producto Vendido],STOCK[[#This Row],[Code]])</f>
        <v>0</v>
      </c>
      <c r="L1661" s="96">
        <f>STOCK[[#This Row],[Entradas]]-STOCK[[#This Row],[Salidas]]</f>
        <v>0</v>
      </c>
      <c r="M1661" s="94">
        <f>STOCK[[#This Row],[Precio Final]]*10%</f>
        <v>0</v>
      </c>
      <c r="N1661" s="77">
        <v>0</v>
      </c>
      <c r="O1661" s="94">
        <v>0</v>
      </c>
      <c r="Q1661" s="91">
        <v>0</v>
      </c>
      <c r="R1661" s="76">
        <v>0</v>
      </c>
      <c r="S1661" s="76">
        <v>0</v>
      </c>
      <c r="T1661" s="94">
        <f>STOCK[[#This Row],[Costo Unitario (USD)]]+STOCK[[#This Row],[Costo Envío (USD)]]+STOCK[[#This Row],[Comisión 10%]]</f>
        <v>0</v>
      </c>
      <c r="U1661" s="76">
        <f>STOCK[[#This Row],[Costo total]]*1.5</f>
        <v>0</v>
      </c>
      <c r="W1661" s="94">
        <f>STOCK[[#This Row],[Precio Final]]-STOCK[[#This Row],[Costo total]]</f>
        <v>0</v>
      </c>
      <c r="X1661" s="94">
        <f>STOCK[[#This Row],[Ganancia Unitaria]]*STOCK[[#This Row],[Salidas]]</f>
        <v>0</v>
      </c>
      <c r="Y1661" s="94"/>
      <c r="Z1661" s="94"/>
      <c r="AA1661" s="94">
        <f>STOCK[[#This Row],[Costo total]]*STOCK[[#This Row],[Entradas]]</f>
        <v>0</v>
      </c>
      <c r="AB1661" s="94">
        <f>STOCK[[#This Row],[Stock Actual]]*STOCK[[#This Row],[Costo total]]</f>
        <v>0</v>
      </c>
      <c r="AC1661" s="94"/>
      <c r="AD1661" s="100"/>
    </row>
    <row r="1662" s="76" customFormat="1" ht="50" customHeight="1" spans="8:30">
      <c r="H1662" s="94">
        <f>STOCK[[#This Row],[Precio Final]]</f>
        <v>0</v>
      </c>
      <c r="I1662" s="98">
        <f>STOCK[[#This Row],[Precio Venta Ideal (x1.5)]]</f>
        <v>0</v>
      </c>
      <c r="J1662" s="91"/>
      <c r="K1662" s="96">
        <f>SUMIFS(VENTAS[Cantidad],VENTAS[Código del producto Vendido],STOCK[[#This Row],[Code]])</f>
        <v>0</v>
      </c>
      <c r="L1662" s="96">
        <f>STOCK[[#This Row],[Entradas]]-STOCK[[#This Row],[Salidas]]</f>
        <v>0</v>
      </c>
      <c r="M1662" s="94">
        <f>STOCK[[#This Row],[Precio Final]]*10%</f>
        <v>0</v>
      </c>
      <c r="N1662" s="77">
        <v>0</v>
      </c>
      <c r="O1662" s="94">
        <v>0</v>
      </c>
      <c r="Q1662" s="91">
        <v>0</v>
      </c>
      <c r="R1662" s="76">
        <v>0</v>
      </c>
      <c r="S1662" s="76">
        <v>0</v>
      </c>
      <c r="T1662" s="94">
        <f>STOCK[[#This Row],[Costo Unitario (USD)]]+STOCK[[#This Row],[Costo Envío (USD)]]+STOCK[[#This Row],[Comisión 10%]]</f>
        <v>0</v>
      </c>
      <c r="U1662" s="76">
        <f>STOCK[[#This Row],[Costo total]]*1.5</f>
        <v>0</v>
      </c>
      <c r="W1662" s="94">
        <f>STOCK[[#This Row],[Precio Final]]-STOCK[[#This Row],[Costo total]]</f>
        <v>0</v>
      </c>
      <c r="X1662" s="94">
        <f>STOCK[[#This Row],[Ganancia Unitaria]]*STOCK[[#This Row],[Salidas]]</f>
        <v>0</v>
      </c>
      <c r="Y1662" s="94"/>
      <c r="Z1662" s="94"/>
      <c r="AA1662" s="94">
        <f>STOCK[[#This Row],[Costo total]]*STOCK[[#This Row],[Entradas]]</f>
        <v>0</v>
      </c>
      <c r="AB1662" s="94">
        <f>STOCK[[#This Row],[Stock Actual]]*STOCK[[#This Row],[Costo total]]</f>
        <v>0</v>
      </c>
      <c r="AC1662" s="94"/>
      <c r="AD1662" s="100"/>
    </row>
    <row r="1663" s="76" customFormat="1" ht="50" customHeight="1" spans="8:30">
      <c r="H1663" s="94">
        <f>STOCK[[#This Row],[Precio Final]]</f>
        <v>0</v>
      </c>
      <c r="I1663" s="98">
        <f>STOCK[[#This Row],[Precio Venta Ideal (x1.5)]]</f>
        <v>0</v>
      </c>
      <c r="J1663" s="91"/>
      <c r="K1663" s="96">
        <f>SUMIFS(VENTAS[Cantidad],VENTAS[Código del producto Vendido],STOCK[[#This Row],[Code]])</f>
        <v>0</v>
      </c>
      <c r="L1663" s="96">
        <f>STOCK[[#This Row],[Entradas]]-STOCK[[#This Row],[Salidas]]</f>
        <v>0</v>
      </c>
      <c r="M1663" s="94">
        <f>STOCK[[#This Row],[Precio Final]]*10%</f>
        <v>0</v>
      </c>
      <c r="N1663" s="77">
        <v>0</v>
      </c>
      <c r="O1663" s="94">
        <v>0</v>
      </c>
      <c r="Q1663" s="91">
        <v>0</v>
      </c>
      <c r="R1663" s="76">
        <v>0</v>
      </c>
      <c r="S1663" s="76">
        <v>0</v>
      </c>
      <c r="T1663" s="94">
        <f>STOCK[[#This Row],[Costo Unitario (USD)]]+STOCK[[#This Row],[Costo Envío (USD)]]+STOCK[[#This Row],[Comisión 10%]]</f>
        <v>0</v>
      </c>
      <c r="U1663" s="76">
        <f>STOCK[[#This Row],[Costo total]]*1.5</f>
        <v>0</v>
      </c>
      <c r="W1663" s="94">
        <f>STOCK[[#This Row],[Precio Final]]-STOCK[[#This Row],[Costo total]]</f>
        <v>0</v>
      </c>
      <c r="X1663" s="94">
        <f>STOCK[[#This Row],[Ganancia Unitaria]]*STOCK[[#This Row],[Salidas]]</f>
        <v>0</v>
      </c>
      <c r="Y1663" s="94"/>
      <c r="Z1663" s="94"/>
      <c r="AA1663" s="94">
        <f>STOCK[[#This Row],[Costo total]]*STOCK[[#This Row],[Entradas]]</f>
        <v>0</v>
      </c>
      <c r="AB1663" s="94">
        <f>STOCK[[#This Row],[Stock Actual]]*STOCK[[#This Row],[Costo total]]</f>
        <v>0</v>
      </c>
      <c r="AC1663" s="94"/>
      <c r="AD1663" s="100"/>
    </row>
    <row r="1664" s="76" customFormat="1" ht="50" customHeight="1" spans="8:30">
      <c r="H1664" s="94">
        <f>STOCK[[#This Row],[Precio Final]]</f>
        <v>0</v>
      </c>
      <c r="I1664" s="98">
        <f>STOCK[[#This Row],[Precio Venta Ideal (x1.5)]]</f>
        <v>0</v>
      </c>
      <c r="J1664" s="91"/>
      <c r="K1664" s="96">
        <f>SUMIFS(VENTAS[Cantidad],VENTAS[Código del producto Vendido],STOCK[[#This Row],[Code]])</f>
        <v>0</v>
      </c>
      <c r="L1664" s="96">
        <f>STOCK[[#This Row],[Entradas]]-STOCK[[#This Row],[Salidas]]</f>
        <v>0</v>
      </c>
      <c r="M1664" s="94">
        <f>STOCK[[#This Row],[Precio Final]]*10%</f>
        <v>0</v>
      </c>
      <c r="N1664" s="77">
        <v>0</v>
      </c>
      <c r="O1664" s="94">
        <v>0</v>
      </c>
      <c r="Q1664" s="91">
        <v>0</v>
      </c>
      <c r="R1664" s="76">
        <v>0</v>
      </c>
      <c r="S1664" s="76">
        <v>0</v>
      </c>
      <c r="T1664" s="94">
        <f>STOCK[[#This Row],[Costo Unitario (USD)]]+STOCK[[#This Row],[Costo Envío (USD)]]+STOCK[[#This Row],[Comisión 10%]]</f>
        <v>0</v>
      </c>
      <c r="U1664" s="76">
        <f>STOCK[[#This Row],[Costo total]]*1.5</f>
        <v>0</v>
      </c>
      <c r="W1664" s="94">
        <f>STOCK[[#This Row],[Precio Final]]-STOCK[[#This Row],[Costo total]]</f>
        <v>0</v>
      </c>
      <c r="X1664" s="94">
        <f>STOCK[[#This Row],[Ganancia Unitaria]]*STOCK[[#This Row],[Salidas]]</f>
        <v>0</v>
      </c>
      <c r="Y1664" s="94"/>
      <c r="Z1664" s="94"/>
      <c r="AA1664" s="94">
        <f>STOCK[[#This Row],[Costo total]]*STOCK[[#This Row],[Entradas]]</f>
        <v>0</v>
      </c>
      <c r="AB1664" s="94">
        <f>STOCK[[#This Row],[Stock Actual]]*STOCK[[#This Row],[Costo total]]</f>
        <v>0</v>
      </c>
      <c r="AC1664" s="94"/>
      <c r="AD1664" s="100"/>
    </row>
    <row r="1665" s="76" customFormat="1" ht="50" customHeight="1" spans="8:30">
      <c r="H1665" s="94">
        <f>STOCK[[#This Row],[Precio Final]]</f>
        <v>0</v>
      </c>
      <c r="I1665" s="98">
        <f>STOCK[[#This Row],[Precio Venta Ideal (x1.5)]]</f>
        <v>0</v>
      </c>
      <c r="J1665" s="91"/>
      <c r="K1665" s="96">
        <f>SUMIFS(VENTAS[Cantidad],VENTAS[Código del producto Vendido],STOCK[[#This Row],[Code]])</f>
        <v>0</v>
      </c>
      <c r="L1665" s="96">
        <f>STOCK[[#This Row],[Entradas]]-STOCK[[#This Row],[Salidas]]</f>
        <v>0</v>
      </c>
      <c r="M1665" s="94">
        <f>STOCK[[#This Row],[Precio Final]]*10%</f>
        <v>0</v>
      </c>
      <c r="N1665" s="77">
        <v>0</v>
      </c>
      <c r="O1665" s="94">
        <v>0</v>
      </c>
      <c r="Q1665" s="91">
        <v>0</v>
      </c>
      <c r="R1665" s="76">
        <v>0</v>
      </c>
      <c r="S1665" s="76">
        <v>0</v>
      </c>
      <c r="T1665" s="94">
        <f>STOCK[[#This Row],[Costo Unitario (USD)]]+STOCK[[#This Row],[Costo Envío (USD)]]+STOCK[[#This Row],[Comisión 10%]]</f>
        <v>0</v>
      </c>
      <c r="U1665" s="76">
        <f>STOCK[[#This Row],[Costo total]]*1.5</f>
        <v>0</v>
      </c>
      <c r="W1665" s="94">
        <f>STOCK[[#This Row],[Precio Final]]-STOCK[[#This Row],[Costo total]]</f>
        <v>0</v>
      </c>
      <c r="X1665" s="94">
        <f>STOCK[[#This Row],[Ganancia Unitaria]]*STOCK[[#This Row],[Salidas]]</f>
        <v>0</v>
      </c>
      <c r="Y1665" s="94"/>
      <c r="Z1665" s="94"/>
      <c r="AA1665" s="94">
        <f>STOCK[[#This Row],[Costo total]]*STOCK[[#This Row],[Entradas]]</f>
        <v>0</v>
      </c>
      <c r="AB1665" s="94">
        <f>STOCK[[#This Row],[Stock Actual]]*STOCK[[#This Row],[Costo total]]</f>
        <v>0</v>
      </c>
      <c r="AC1665" s="94"/>
      <c r="AD1665" s="100"/>
    </row>
    <row r="1666" s="76" customFormat="1" ht="50" customHeight="1" spans="8:30">
      <c r="H1666" s="94">
        <f>STOCK[[#This Row],[Precio Final]]</f>
        <v>0</v>
      </c>
      <c r="I1666" s="98">
        <f>STOCK[[#This Row],[Precio Venta Ideal (x1.5)]]</f>
        <v>0</v>
      </c>
      <c r="J1666" s="91"/>
      <c r="K1666" s="96">
        <f>SUMIFS(VENTAS[Cantidad],VENTAS[Código del producto Vendido],STOCK[[#This Row],[Code]])</f>
        <v>0</v>
      </c>
      <c r="L1666" s="96">
        <f>STOCK[[#This Row],[Entradas]]-STOCK[[#This Row],[Salidas]]</f>
        <v>0</v>
      </c>
      <c r="M1666" s="94">
        <f>STOCK[[#This Row],[Precio Final]]*10%</f>
        <v>0</v>
      </c>
      <c r="N1666" s="77">
        <v>0</v>
      </c>
      <c r="O1666" s="94">
        <v>0</v>
      </c>
      <c r="Q1666" s="91">
        <v>0</v>
      </c>
      <c r="R1666" s="76">
        <v>0</v>
      </c>
      <c r="S1666" s="76">
        <v>0</v>
      </c>
      <c r="T1666" s="94">
        <f>STOCK[[#This Row],[Costo Unitario (USD)]]+STOCK[[#This Row],[Costo Envío (USD)]]+STOCK[[#This Row],[Comisión 10%]]</f>
        <v>0</v>
      </c>
      <c r="U1666" s="76">
        <f>STOCK[[#This Row],[Costo total]]*1.5</f>
        <v>0</v>
      </c>
      <c r="W1666" s="94">
        <f>STOCK[[#This Row],[Precio Final]]-STOCK[[#This Row],[Costo total]]</f>
        <v>0</v>
      </c>
      <c r="X1666" s="94">
        <f>STOCK[[#This Row],[Ganancia Unitaria]]*STOCK[[#This Row],[Salidas]]</f>
        <v>0</v>
      </c>
      <c r="Y1666" s="94"/>
      <c r="Z1666" s="94"/>
      <c r="AA1666" s="94">
        <f>STOCK[[#This Row],[Costo total]]*STOCK[[#This Row],[Entradas]]</f>
        <v>0</v>
      </c>
      <c r="AB1666" s="94">
        <f>STOCK[[#This Row],[Stock Actual]]*STOCK[[#This Row],[Costo total]]</f>
        <v>0</v>
      </c>
      <c r="AC1666" s="94"/>
      <c r="AD1666" s="100"/>
    </row>
    <row r="1667" s="76" customFormat="1" ht="50" customHeight="1" spans="8:30">
      <c r="H1667" s="94">
        <f>STOCK[[#This Row],[Precio Final]]</f>
        <v>0</v>
      </c>
      <c r="I1667" s="98">
        <f>STOCK[[#This Row],[Precio Venta Ideal (x1.5)]]</f>
        <v>0</v>
      </c>
      <c r="J1667" s="91"/>
      <c r="K1667" s="96">
        <f>SUMIFS(VENTAS[Cantidad],VENTAS[Código del producto Vendido],STOCK[[#This Row],[Code]])</f>
        <v>0</v>
      </c>
      <c r="L1667" s="96">
        <f>STOCK[[#This Row],[Entradas]]-STOCK[[#This Row],[Salidas]]</f>
        <v>0</v>
      </c>
      <c r="M1667" s="94">
        <f>STOCK[[#This Row],[Precio Final]]*10%</f>
        <v>0</v>
      </c>
      <c r="N1667" s="77">
        <v>0</v>
      </c>
      <c r="O1667" s="94">
        <v>0</v>
      </c>
      <c r="Q1667" s="91">
        <v>0</v>
      </c>
      <c r="R1667" s="76">
        <v>0</v>
      </c>
      <c r="S1667" s="76">
        <v>0</v>
      </c>
      <c r="T1667" s="94">
        <f>STOCK[[#This Row],[Costo Unitario (USD)]]+STOCK[[#This Row],[Costo Envío (USD)]]+STOCK[[#This Row],[Comisión 10%]]</f>
        <v>0</v>
      </c>
      <c r="U1667" s="76">
        <f>STOCK[[#This Row],[Costo total]]*1.5</f>
        <v>0</v>
      </c>
      <c r="W1667" s="94">
        <f>STOCK[[#This Row],[Precio Final]]-STOCK[[#This Row],[Costo total]]</f>
        <v>0</v>
      </c>
      <c r="X1667" s="94">
        <f>STOCK[[#This Row],[Ganancia Unitaria]]*STOCK[[#This Row],[Salidas]]</f>
        <v>0</v>
      </c>
      <c r="Y1667" s="94"/>
      <c r="Z1667" s="94"/>
      <c r="AA1667" s="94">
        <f>STOCK[[#This Row],[Costo total]]*STOCK[[#This Row],[Entradas]]</f>
        <v>0</v>
      </c>
      <c r="AB1667" s="94">
        <f>STOCK[[#This Row],[Stock Actual]]*STOCK[[#This Row],[Costo total]]</f>
        <v>0</v>
      </c>
      <c r="AC1667" s="94"/>
      <c r="AD1667" s="100"/>
    </row>
    <row r="1668" s="76" customFormat="1" ht="50" customHeight="1" spans="8:30">
      <c r="H1668" s="94">
        <f>STOCK[[#This Row],[Precio Final]]</f>
        <v>0</v>
      </c>
      <c r="I1668" s="98">
        <f>STOCK[[#This Row],[Precio Venta Ideal (x1.5)]]</f>
        <v>0</v>
      </c>
      <c r="J1668" s="91"/>
      <c r="K1668" s="96">
        <f>SUMIFS(VENTAS[Cantidad],VENTAS[Código del producto Vendido],STOCK[[#This Row],[Code]])</f>
        <v>0</v>
      </c>
      <c r="L1668" s="96">
        <f>STOCK[[#This Row],[Entradas]]-STOCK[[#This Row],[Salidas]]</f>
        <v>0</v>
      </c>
      <c r="M1668" s="94">
        <f>STOCK[[#This Row],[Precio Final]]*10%</f>
        <v>0</v>
      </c>
      <c r="N1668" s="77">
        <v>0</v>
      </c>
      <c r="O1668" s="94">
        <v>0</v>
      </c>
      <c r="Q1668" s="91">
        <v>0</v>
      </c>
      <c r="R1668" s="76">
        <v>0</v>
      </c>
      <c r="S1668" s="76">
        <v>0</v>
      </c>
      <c r="T1668" s="94">
        <f>STOCK[[#This Row],[Costo Unitario (USD)]]+STOCK[[#This Row],[Costo Envío (USD)]]+STOCK[[#This Row],[Comisión 10%]]</f>
        <v>0</v>
      </c>
      <c r="U1668" s="76">
        <f>STOCK[[#This Row],[Costo total]]*1.5</f>
        <v>0</v>
      </c>
      <c r="W1668" s="94">
        <f>STOCK[[#This Row],[Precio Final]]-STOCK[[#This Row],[Costo total]]</f>
        <v>0</v>
      </c>
      <c r="X1668" s="94">
        <f>STOCK[[#This Row],[Ganancia Unitaria]]*STOCK[[#This Row],[Salidas]]</f>
        <v>0</v>
      </c>
      <c r="Y1668" s="94"/>
      <c r="Z1668" s="94"/>
      <c r="AA1668" s="94">
        <f>STOCK[[#This Row],[Costo total]]*STOCK[[#This Row],[Entradas]]</f>
        <v>0</v>
      </c>
      <c r="AB1668" s="94">
        <f>STOCK[[#This Row],[Stock Actual]]*STOCK[[#This Row],[Costo total]]</f>
        <v>0</v>
      </c>
      <c r="AC1668" s="94"/>
      <c r="AD1668" s="100"/>
    </row>
    <row r="1669" s="76" customFormat="1" ht="50" customHeight="1" spans="8:30">
      <c r="H1669" s="94">
        <f>STOCK[[#This Row],[Precio Final]]</f>
        <v>0</v>
      </c>
      <c r="I1669" s="98">
        <f>STOCK[[#This Row],[Precio Venta Ideal (x1.5)]]</f>
        <v>0</v>
      </c>
      <c r="J1669" s="91"/>
      <c r="K1669" s="96">
        <f>SUMIFS(VENTAS[Cantidad],VENTAS[Código del producto Vendido],STOCK[[#This Row],[Code]])</f>
        <v>0</v>
      </c>
      <c r="L1669" s="96">
        <f>STOCK[[#This Row],[Entradas]]-STOCK[[#This Row],[Salidas]]</f>
        <v>0</v>
      </c>
      <c r="M1669" s="94">
        <f>STOCK[[#This Row],[Precio Final]]*10%</f>
        <v>0</v>
      </c>
      <c r="N1669" s="77">
        <v>0</v>
      </c>
      <c r="O1669" s="94">
        <v>0</v>
      </c>
      <c r="Q1669" s="91">
        <v>0</v>
      </c>
      <c r="R1669" s="76">
        <v>0</v>
      </c>
      <c r="S1669" s="76">
        <v>0</v>
      </c>
      <c r="T1669" s="94">
        <f>STOCK[[#This Row],[Costo Unitario (USD)]]+STOCK[[#This Row],[Costo Envío (USD)]]+STOCK[[#This Row],[Comisión 10%]]</f>
        <v>0</v>
      </c>
      <c r="U1669" s="76">
        <f>STOCK[[#This Row],[Costo total]]*1.5</f>
        <v>0</v>
      </c>
      <c r="W1669" s="94">
        <f>STOCK[[#This Row],[Precio Final]]-STOCK[[#This Row],[Costo total]]</f>
        <v>0</v>
      </c>
      <c r="X1669" s="94">
        <f>STOCK[[#This Row],[Ganancia Unitaria]]*STOCK[[#This Row],[Salidas]]</f>
        <v>0</v>
      </c>
      <c r="Y1669" s="94"/>
      <c r="Z1669" s="94"/>
      <c r="AA1669" s="94">
        <f>STOCK[[#This Row],[Costo total]]*STOCK[[#This Row],[Entradas]]</f>
        <v>0</v>
      </c>
      <c r="AB1669" s="94">
        <f>STOCK[[#This Row],[Stock Actual]]*STOCK[[#This Row],[Costo total]]</f>
        <v>0</v>
      </c>
      <c r="AC1669" s="94"/>
      <c r="AD1669" s="100"/>
    </row>
    <row r="1670" s="76" customFormat="1" ht="50" customHeight="1" spans="8:30">
      <c r="H1670" s="94">
        <f>STOCK[[#This Row],[Precio Final]]</f>
        <v>0</v>
      </c>
      <c r="I1670" s="98">
        <f>STOCK[[#This Row],[Precio Venta Ideal (x1.5)]]</f>
        <v>0</v>
      </c>
      <c r="J1670" s="91"/>
      <c r="K1670" s="96">
        <f>SUMIFS(VENTAS[Cantidad],VENTAS[Código del producto Vendido],STOCK[[#This Row],[Code]])</f>
        <v>0</v>
      </c>
      <c r="L1670" s="96">
        <f>STOCK[[#This Row],[Entradas]]-STOCK[[#This Row],[Salidas]]</f>
        <v>0</v>
      </c>
      <c r="M1670" s="94">
        <f>STOCK[[#This Row],[Precio Final]]*10%</f>
        <v>0</v>
      </c>
      <c r="N1670" s="77">
        <v>0</v>
      </c>
      <c r="O1670" s="94">
        <v>0</v>
      </c>
      <c r="Q1670" s="91">
        <v>0</v>
      </c>
      <c r="R1670" s="76">
        <v>0</v>
      </c>
      <c r="S1670" s="76">
        <v>0</v>
      </c>
      <c r="T1670" s="94">
        <f>STOCK[[#This Row],[Costo Unitario (USD)]]+STOCK[[#This Row],[Costo Envío (USD)]]+STOCK[[#This Row],[Comisión 10%]]</f>
        <v>0</v>
      </c>
      <c r="U1670" s="76">
        <f>STOCK[[#This Row],[Costo total]]*1.5</f>
        <v>0</v>
      </c>
      <c r="W1670" s="94">
        <f>STOCK[[#This Row],[Precio Final]]-STOCK[[#This Row],[Costo total]]</f>
        <v>0</v>
      </c>
      <c r="X1670" s="94">
        <f>STOCK[[#This Row],[Ganancia Unitaria]]*STOCK[[#This Row],[Salidas]]</f>
        <v>0</v>
      </c>
      <c r="Y1670" s="94"/>
      <c r="Z1670" s="94"/>
      <c r="AA1670" s="94">
        <f>STOCK[[#This Row],[Costo total]]*STOCK[[#This Row],[Entradas]]</f>
        <v>0</v>
      </c>
      <c r="AB1670" s="94">
        <f>STOCK[[#This Row],[Stock Actual]]*STOCK[[#This Row],[Costo total]]</f>
        <v>0</v>
      </c>
      <c r="AC1670" s="94"/>
      <c r="AD1670" s="100"/>
    </row>
    <row r="1671" s="76" customFormat="1" ht="50" customHeight="1" spans="8:30">
      <c r="H1671" s="94">
        <f>STOCK[[#This Row],[Precio Final]]</f>
        <v>0</v>
      </c>
      <c r="I1671" s="98">
        <f>STOCK[[#This Row],[Precio Venta Ideal (x1.5)]]</f>
        <v>0</v>
      </c>
      <c r="J1671" s="91"/>
      <c r="K1671" s="96">
        <f>SUMIFS(VENTAS[Cantidad],VENTAS[Código del producto Vendido],STOCK[[#This Row],[Code]])</f>
        <v>0</v>
      </c>
      <c r="L1671" s="96">
        <f>STOCK[[#This Row],[Entradas]]-STOCK[[#This Row],[Salidas]]</f>
        <v>0</v>
      </c>
      <c r="M1671" s="94">
        <f>STOCK[[#This Row],[Precio Final]]*10%</f>
        <v>0</v>
      </c>
      <c r="N1671" s="77">
        <v>0</v>
      </c>
      <c r="O1671" s="94">
        <v>0</v>
      </c>
      <c r="Q1671" s="91">
        <v>0</v>
      </c>
      <c r="R1671" s="76">
        <v>0</v>
      </c>
      <c r="S1671" s="76">
        <v>0</v>
      </c>
      <c r="T1671" s="94">
        <f>STOCK[[#This Row],[Costo Unitario (USD)]]+STOCK[[#This Row],[Costo Envío (USD)]]+STOCK[[#This Row],[Comisión 10%]]</f>
        <v>0</v>
      </c>
      <c r="U1671" s="76">
        <f>STOCK[[#This Row],[Costo total]]*1.5</f>
        <v>0</v>
      </c>
      <c r="W1671" s="94">
        <f>STOCK[[#This Row],[Precio Final]]-STOCK[[#This Row],[Costo total]]</f>
        <v>0</v>
      </c>
      <c r="X1671" s="94">
        <f>STOCK[[#This Row],[Ganancia Unitaria]]*STOCK[[#This Row],[Salidas]]</f>
        <v>0</v>
      </c>
      <c r="Y1671" s="94"/>
      <c r="Z1671" s="94"/>
      <c r="AA1671" s="94">
        <f>STOCK[[#This Row],[Costo total]]*STOCK[[#This Row],[Entradas]]</f>
        <v>0</v>
      </c>
      <c r="AB1671" s="94">
        <f>STOCK[[#This Row],[Stock Actual]]*STOCK[[#This Row],[Costo total]]</f>
        <v>0</v>
      </c>
      <c r="AC1671" s="94"/>
      <c r="AD1671" s="100"/>
    </row>
    <row r="1672" s="76" customFormat="1" ht="50" customHeight="1" spans="8:30">
      <c r="H1672" s="94">
        <f>STOCK[[#This Row],[Precio Final]]</f>
        <v>0</v>
      </c>
      <c r="I1672" s="98">
        <f>STOCK[[#This Row],[Precio Venta Ideal (x1.5)]]</f>
        <v>0</v>
      </c>
      <c r="J1672" s="91"/>
      <c r="K1672" s="96">
        <f>SUMIFS(VENTAS[Cantidad],VENTAS[Código del producto Vendido],STOCK[[#This Row],[Code]])</f>
        <v>0</v>
      </c>
      <c r="L1672" s="96">
        <f>STOCK[[#This Row],[Entradas]]-STOCK[[#This Row],[Salidas]]</f>
        <v>0</v>
      </c>
      <c r="M1672" s="94">
        <f>STOCK[[#This Row],[Precio Final]]*10%</f>
        <v>0</v>
      </c>
      <c r="N1672" s="77">
        <v>0</v>
      </c>
      <c r="O1672" s="94">
        <v>0</v>
      </c>
      <c r="Q1672" s="91">
        <v>0</v>
      </c>
      <c r="R1672" s="76">
        <v>0</v>
      </c>
      <c r="S1672" s="76">
        <v>0</v>
      </c>
      <c r="T1672" s="94">
        <f>STOCK[[#This Row],[Costo Unitario (USD)]]+STOCK[[#This Row],[Costo Envío (USD)]]+STOCK[[#This Row],[Comisión 10%]]</f>
        <v>0</v>
      </c>
      <c r="U1672" s="76">
        <f>STOCK[[#This Row],[Costo total]]*1.5</f>
        <v>0</v>
      </c>
      <c r="W1672" s="94">
        <f>STOCK[[#This Row],[Precio Final]]-STOCK[[#This Row],[Costo total]]</f>
        <v>0</v>
      </c>
      <c r="X1672" s="94">
        <f>STOCK[[#This Row],[Ganancia Unitaria]]*STOCK[[#This Row],[Salidas]]</f>
        <v>0</v>
      </c>
      <c r="Y1672" s="94"/>
      <c r="Z1672" s="94"/>
      <c r="AA1672" s="94">
        <f>STOCK[[#This Row],[Costo total]]*STOCK[[#This Row],[Entradas]]</f>
        <v>0</v>
      </c>
      <c r="AB1672" s="94">
        <f>STOCK[[#This Row],[Stock Actual]]*STOCK[[#This Row],[Costo total]]</f>
        <v>0</v>
      </c>
      <c r="AC1672" s="94"/>
      <c r="AD1672" s="100"/>
    </row>
    <row r="1673" s="76" customFormat="1" ht="204" customHeight="1" spans="1:30">
      <c r="A1673" s="101" t="s">
        <v>3278</v>
      </c>
      <c r="B1673" s="102" t="s">
        <v>3279</v>
      </c>
      <c r="C1673" s="102" t="s">
        <v>3279</v>
      </c>
      <c r="D1673" s="101" t="s">
        <v>3278</v>
      </c>
      <c r="E1673" s="101" t="s">
        <v>3278</v>
      </c>
      <c r="F1673" s="101" t="s">
        <v>3278</v>
      </c>
      <c r="G1673" s="103"/>
      <c r="H1673" s="102" t="s">
        <v>3279</v>
      </c>
      <c r="I1673" s="102" t="s">
        <v>3279</v>
      </c>
      <c r="J1673" s="101">
        <v>2</v>
      </c>
      <c r="K1673" s="102" t="s">
        <v>3279</v>
      </c>
      <c r="L1673" s="102" t="s">
        <v>3279</v>
      </c>
      <c r="M1673" s="102" t="s">
        <v>3279</v>
      </c>
      <c r="N1673" s="103"/>
      <c r="O1673" s="103"/>
      <c r="P1673" s="101" t="s">
        <v>3278</v>
      </c>
      <c r="Q1673" s="103"/>
      <c r="R1673" s="103"/>
      <c r="S1673" s="101" t="s">
        <v>3278</v>
      </c>
      <c r="T1673" s="102" t="s">
        <v>3279</v>
      </c>
      <c r="U1673" s="102" t="s">
        <v>3279</v>
      </c>
      <c r="V1673" s="101" t="s">
        <v>3278</v>
      </c>
      <c r="W1673" s="102" t="s">
        <v>3279</v>
      </c>
      <c r="X1673" s="102" t="s">
        <v>3279</v>
      </c>
      <c r="Y1673" s="104"/>
      <c r="Z1673" s="103"/>
      <c r="AA1673" s="102" t="s">
        <v>3279</v>
      </c>
      <c r="AB1673" s="102" t="s">
        <v>3279</v>
      </c>
      <c r="AC1673" s="103"/>
      <c r="AD1673" s="100"/>
    </row>
    <row r="1674" s="78" customFormat="1" ht="50" customHeight="1" spans="1:29">
      <c r="A1674" s="80"/>
      <c r="B1674" s="80"/>
      <c r="C1674" s="80"/>
      <c r="D1674" s="81"/>
      <c r="E1674" s="82"/>
      <c r="F1674" s="82"/>
      <c r="G1674" s="80"/>
      <c r="H1674" s="80"/>
      <c r="I1674" s="80"/>
      <c r="J1674" s="80"/>
      <c r="K1674" s="80"/>
      <c r="L1674" s="80"/>
      <c r="M1674" s="80"/>
      <c r="N1674" s="80"/>
      <c r="O1674" s="83"/>
      <c r="P1674" s="83"/>
      <c r="Q1674" s="80"/>
      <c r="R1674" s="80"/>
      <c r="S1674" s="83"/>
      <c r="T1674" s="83"/>
      <c r="U1674" s="84"/>
      <c r="V1674" s="83"/>
      <c r="W1674" s="83"/>
      <c r="X1674" s="83"/>
      <c r="Y1674" s="85"/>
      <c r="Z1674" s="80"/>
      <c r="AA1674" s="80"/>
      <c r="AB1674" s="80"/>
      <c r="AC1674" s="80"/>
    </row>
    <row r="1675" s="78" customFormat="1" ht="50" customHeight="1" spans="1:29">
      <c r="A1675" s="80"/>
      <c r="B1675" s="80"/>
      <c r="C1675" s="80"/>
      <c r="D1675" s="81"/>
      <c r="E1675" s="82"/>
      <c r="F1675" s="82"/>
      <c r="G1675" s="80"/>
      <c r="H1675" s="80"/>
      <c r="I1675" s="80"/>
      <c r="J1675" s="80"/>
      <c r="K1675" s="80"/>
      <c r="L1675" s="80"/>
      <c r="M1675" s="80"/>
      <c r="N1675" s="80"/>
      <c r="O1675" s="83"/>
      <c r="P1675" s="83"/>
      <c r="Q1675" s="80"/>
      <c r="R1675" s="80"/>
      <c r="S1675" s="83"/>
      <c r="T1675" s="83"/>
      <c r="U1675" s="84"/>
      <c r="V1675" s="83"/>
      <c r="W1675" s="83"/>
      <c r="X1675" s="83"/>
      <c r="Y1675" s="85"/>
      <c r="Z1675" s="80"/>
      <c r="AA1675" s="80"/>
      <c r="AB1675" s="80"/>
      <c r="AC1675" s="80"/>
    </row>
    <row r="1676" s="78" customFormat="1" ht="50" customHeight="1" spans="1:29">
      <c r="A1676" s="80"/>
      <c r="B1676" s="80"/>
      <c r="C1676" s="80"/>
      <c r="D1676" s="81"/>
      <c r="E1676" s="82"/>
      <c r="F1676" s="82"/>
      <c r="G1676" s="80"/>
      <c r="H1676" s="80"/>
      <c r="I1676" s="80"/>
      <c r="J1676" s="80"/>
      <c r="K1676" s="80"/>
      <c r="L1676" s="80"/>
      <c r="M1676" s="80"/>
      <c r="N1676" s="80"/>
      <c r="O1676" s="83"/>
      <c r="P1676" s="83"/>
      <c r="Q1676" s="80"/>
      <c r="R1676" s="80"/>
      <c r="S1676" s="83"/>
      <c r="T1676" s="83"/>
      <c r="U1676" s="84"/>
      <c r="V1676" s="83"/>
      <c r="W1676" s="83"/>
      <c r="X1676" s="83"/>
      <c r="Y1676" s="85"/>
      <c r="Z1676" s="80"/>
      <c r="AA1676" s="80"/>
      <c r="AB1676" s="80"/>
      <c r="AC1676" s="80"/>
    </row>
    <row r="1677" s="79" customFormat="1" ht="12.4" spans="1:29">
      <c r="A1677" s="80"/>
      <c r="B1677" s="80"/>
      <c r="C1677" s="80"/>
      <c r="D1677" s="81"/>
      <c r="E1677" s="82"/>
      <c r="F1677" s="82"/>
      <c r="G1677" s="80"/>
      <c r="H1677" s="80"/>
      <c r="I1677" s="80"/>
      <c r="J1677" s="80"/>
      <c r="K1677" s="80"/>
      <c r="L1677" s="80"/>
      <c r="M1677" s="80"/>
      <c r="N1677" s="80"/>
      <c r="O1677" s="83"/>
      <c r="P1677" s="83"/>
      <c r="Q1677" s="80"/>
      <c r="R1677" s="80"/>
      <c r="S1677" s="83"/>
      <c r="T1677" s="83"/>
      <c r="U1677" s="84"/>
      <c r="V1677" s="83"/>
      <c r="W1677" s="83"/>
      <c r="X1677" s="83"/>
      <c r="Y1677" s="85"/>
      <c r="Z1677" s="80"/>
      <c r="AA1677" s="80"/>
      <c r="AB1677" s="80"/>
      <c r="AC1677" s="80"/>
    </row>
  </sheetData>
  <conditionalFormatting sqref="A2:B2">
    <cfRule type="expression" dxfId="29" priority="210">
      <formula>$L2=0</formula>
    </cfRule>
    <cfRule type="duplicateValues" dxfId="30" priority="2732"/>
  </conditionalFormatting>
  <conditionalFormatting sqref="C2">
    <cfRule type="expression" dxfId="29" priority="206">
      <formula>$L2=0</formula>
    </cfRule>
  </conditionalFormatting>
  <conditionalFormatting sqref="D2:G2">
    <cfRule type="expression" dxfId="29" priority="207">
      <formula>$L2=0</formula>
    </cfRule>
  </conditionalFormatting>
  <conditionalFormatting sqref="N2:R2">
    <cfRule type="expression" dxfId="29" priority="208">
      <formula>$L2=0</formula>
    </cfRule>
  </conditionalFormatting>
  <conditionalFormatting sqref="U2">
    <cfRule type="expression" dxfId="29" priority="205">
      <formula>$L2=0</formula>
    </cfRule>
  </conditionalFormatting>
  <conditionalFormatting sqref="Y2">
    <cfRule type="expression" dxfId="29" priority="70">
      <formula>$L2=0</formula>
    </cfRule>
  </conditionalFormatting>
  <conditionalFormatting sqref="Z2:AC2">
    <cfRule type="expression" dxfId="29" priority="69">
      <formula>$L2=0</formula>
    </cfRule>
  </conditionalFormatting>
  <conditionalFormatting sqref="A3:B3">
    <cfRule type="expression" dxfId="29" priority="157">
      <formula>$L3=0</formula>
    </cfRule>
    <cfRule type="duplicateValues" dxfId="30" priority="2733"/>
  </conditionalFormatting>
  <conditionalFormatting sqref="C3">
    <cfRule type="expression" dxfId="29" priority="153">
      <formula>$L3=0</formula>
    </cfRule>
  </conditionalFormatting>
  <conditionalFormatting sqref="D3:G3">
    <cfRule type="expression" dxfId="29" priority="154">
      <formula>$L3=0</formula>
    </cfRule>
  </conditionalFormatting>
  <conditionalFormatting sqref="N3:R3">
    <cfRule type="expression" dxfId="29" priority="155">
      <formula>$L3=0</formula>
    </cfRule>
    <cfRule type="containsBlanks" dxfId="31" priority="156">
      <formula>LEN(TRIM(N3))=0</formula>
    </cfRule>
  </conditionalFormatting>
  <conditionalFormatting sqref="Y3:AC3">
    <cfRule type="expression" dxfId="29" priority="68">
      <formula>$L3=0</formula>
    </cfRule>
  </conditionalFormatting>
  <conditionalFormatting sqref="B1601:B1603">
    <cfRule type="expression" dxfId="29" priority="2783">
      <formula>$L1602=0</formula>
    </cfRule>
    <cfRule type="duplicateValues" dxfId="30" priority="2784"/>
  </conditionalFormatting>
  <conditionalFormatting sqref="C1528:C1672">
    <cfRule type="expression" dxfId="29" priority="6">
      <formula>$L1528=0</formula>
    </cfRule>
  </conditionalFormatting>
  <conditionalFormatting sqref="P1212:P1213">
    <cfRule type="expression" dxfId="29" priority="28">
      <formula>$L1212=0</formula>
    </cfRule>
    <cfRule type="containsBlanks" dxfId="31" priority="29">
      <formula>LEN(TRIM(P1212))=0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429 L1313:AC1344 L1345:T1429 V1345:AC1465 V1466:X1527 A1313:J1429 A1430:T1527 H1528:I1672 K1528:M1672 O1528:O1672 T1528:T1539 U1345:U1539 W1528:X1539 Y1466:AC1539 T1540:U1672 W1540:AC1672">
    <cfRule type="expression" dxfId="29" priority="211">
      <formula>$L2=0</formula>
    </cfRule>
  </conditionalFormatting>
  <conditionalFormatting sqref="L2:M1672">
    <cfRule type="cellIs" dxfId="31" priority="213" operator="lessThan">
      <formula>0</formula>
    </cfRule>
    <cfRule type="cellIs" dxfId="32" priority="214" operator="lessThan">
      <formula>0</formula>
    </cfRule>
  </conditionalFormatting>
  <conditionalFormatting sqref="N2:R2 N1313:R1527 O1528:O1672">
    <cfRule type="containsBlanks" dxfId="31" priority="209">
      <formula>LEN(TRIM(N2))=0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9" priority="45">
      <formula>$L4=0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30" priority="46"/>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9" priority="41">
      <formula>$L4=0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 D361:D362 F549:G549 E676 E1020 D892:E893 D53">
    <cfRule type="expression" dxfId="29" priority="4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9" priority="43">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31" priority="44">
      <formula>LEN(TRIM(N4))=0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9" priority="40">
      <formula>$L4=0</formula>
    </cfRule>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29" priority="33">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29" priority="32">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29" priority="39">
      <formula>$L5=0</formula>
    </cfRule>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30" priority="47"/>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29" priority="35">
      <formula>$L5=0</formula>
    </cfRule>
  </conditionalFormatting>
  <conditionalFormatting sqref="D5:G5 D7:G7 D9:G9 D11:G11 D13:G13 D15:G15 D17:G17 D19:G19 D21:G21 D23:G23 D27:G27 D29:G29 D31:G31 D33:G33 D35:G35 D37:G37 D39:G39 D41:G41 D43:G43 D45:G45 D47:G47 D49:G49 D51:G51 E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29" priority="36">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29" priority="37">
      <formula>$L5=0</formula>
    </cfRule>
    <cfRule type="containsBlanks" dxfId="31" priority="38">
      <formula>LEN(TRIM(N5))=0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29" priority="31">
      <formula>$L5=0</formula>
    </cfRule>
  </conditionalFormatting>
  <conditionalFormatting sqref="A1313:B1527">
    <cfRule type="duplicateValues" dxfId="30" priority="2782"/>
  </conditionalFormatting>
  <conditionalFormatting sqref="A1528:B1600 A1601:A1603 A1604:B1672">
    <cfRule type="expression" dxfId="29" priority="10">
      <formula>$L1528=0</formula>
    </cfRule>
    <cfRule type="duplicateValues" dxfId="30" priority="11"/>
  </conditionalFormatting>
  <conditionalFormatting sqref="D1528:G1672">
    <cfRule type="expression" dxfId="29" priority="7">
      <formula>$L1528=0</formula>
    </cfRule>
  </conditionalFormatting>
  <conditionalFormatting sqref="V1528:V1672 S1528:S1672 J1528:J1672">
    <cfRule type="expression" dxfId="29" priority="13">
      <formula>$L1528=0</formula>
    </cfRule>
  </conditionalFormatting>
  <conditionalFormatting sqref="N1529:N1530 N1534:N1535 N1532 N1537 Q1528 Q1531:R1531 Q1534 Q1537:R1537 R1529 R1533 R1535 R1538:R1539 N1542:N1543 N1540 N1545 Q1541:R1541 Q1544 R1543 R1545 N1547 N1549 Q1549 R1548 R1550 N1554:N1555 N1552 N1557:N1558 Q1553 Q1556:R1556 R1552 R1554 N1560:N1561 N1565:N1566 N1570:N1571 N1563 N1568 Q1560 Q1563:R1563 Q1566 Q1569:R1569 Q1572 R1559 R1561 R1565 R1567 R1571 R1573 Q1575:R1575 R1577 R1579 Q1581:R1581 R1583 R1585 Q1587:R1587 R1589 R1591 Q1593:R1593 R1595 R1597 Q1599:R1599 R1601 Q1605:R1605 R1607 R1609 Q1611:R1611 R1613 R1615 Q1617:R1617 R1619 R1621 N1573:N1574 N1576:N1577 N1579:N1580 N1582:N1583 N1585:N1586 N1588:N1589 N1591:N1592 N1594:N1595 N1597:N1598 N1600:N1601 N1603:N1604 N1606:N1607 N1609:N1610 N1612:N1613 N1615:N1616 N1618:N1619 N1621:N1622 N1624:N1625 N1627:N1628 N1630:N1631 N1633:N1634 N1636:N1637 N1639:N1640 N1642:N1643 N1645:N1672 Q1578 Q1584 Q1590 Q1596 Q1608 Q1614 Q1620 Q1623 Q1626 Q1629 Q1632 Q1635 Q1638 Q1641 Q1644 R1603 Q1602">
    <cfRule type="expression" dxfId="29" priority="3">
      <formula>$L1528=0</formula>
    </cfRule>
    <cfRule type="containsBlanks" dxfId="31" priority="4">
      <formula>LEN(TRIM(N1528))=0</formula>
    </cfRule>
  </conditionalFormatting>
  <conditionalFormatting sqref="P1528:P1672 N1531 N1536 N1528 N1533 Q1529:Q1530 Q1532:Q1533 Q1535:Q1536 R1528 R1530 R1532 R1534 R1536 N1538:N1539 Q1538:Q1539 N1544 N1541 N1546 Q1540:R1540 Q1542:Q1543 Q1545:Q1548 R1542 R1544 R1546:R1547 N1548 N1550:N1551 Q1550:Q1552 R1549 N1556 N1553 Q1554:Q1555 Q1557:R1557 R1551 R1553 R1555 N1562 N1567 N1572 N1559 N1564 N1569 Q1558:Q1559 Q1561:Q1562 Q1564:Q1565 Q1567:Q1568 Q1570:Q1571 R1560 R1562 R1564 R1566 R1568 R1570 R1572 R1574 R1576 R1578 R1580 R1582 R1584 R1586 R1588 R1590 R1592 R1594 R1596 R1598 R1600 Q1604:R1604 R1606 R1608 R1610 R1612 R1614 R1616 R1618 R1620 R1622:R1646 N1575 N1578 N1581 N1584 N1587 N1590 N1593 N1596 N1599 N1605 N1608 N1611 N1614 N1617 N1620 N1623 N1626 N1629 N1632 N1635 N1638 N1641 N1644 Q1573:Q1574 Q1576:Q1577 Q1579:Q1580 Q1582:Q1583 Q1585:Q1586 Q1588:Q1589 Q1591:Q1592 Q1594:Q1595 Q1597:Q1598 Q1600:Q1601 Q1606:Q1607 Q1609:Q1610 Q1612:Q1613 Q1615:Q1616 Q1618:Q1619 Q1621:Q1622 Q1624:Q1625 Q1627:Q1628 Q1630:Q1631 Q1633:Q1634 Q1636:Q1637 Q1639:Q1640 Q1642:Q1643 Q1645:Q1646 Q1647:R1672 R1558 R1602 N1602 Q1603">
    <cfRule type="expression" dxfId="29" priority="8">
      <formula>$L1528=0</formula>
    </cfRule>
    <cfRule type="containsBlanks" dxfId="31" priority="9">
      <formula>LEN(TRIM(N1528))=0</formula>
    </cfRule>
  </conditionalFormatting>
  <dataValidations count="1">
    <dataValidation type="list" allowBlank="1" showInputMessage="1" showErrorMessage="1" sqref="B2:B163 B165:B226 B228:B237">
      <formula1>$A$2:$A$1001056</formula1>
    </dataValidation>
  </dataValidations>
  <pageMargins left="1" right="1" top="1" bottom="1" header="0.25" footer="0.25"/>
  <pageSetup paperSize="1"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3"/>
  <dimension ref="A1:N1662"/>
  <sheetViews>
    <sheetView topLeftCell="B1611" workbookViewId="0">
      <selection activeCell="H1631" sqref="H1631"/>
    </sheetView>
  </sheetViews>
  <sheetFormatPr defaultColWidth="11" defaultRowHeight="2.4"/>
  <cols>
    <col min="1" max="1" width="47" style="24" customWidth="1"/>
    <col min="2" max="2" width="102" style="24" customWidth="1"/>
    <col min="3" max="3" width="138" style="24" customWidth="1"/>
    <col min="4" max="4" width="134" style="24" customWidth="1"/>
    <col min="5" max="5" width="92" style="24" customWidth="1"/>
    <col min="6" max="6" width="257" style="24" customWidth="1"/>
    <col min="7" max="7" width="79" style="25" customWidth="1"/>
    <col min="8" max="8" width="71" style="26" customWidth="1"/>
    <col min="9" max="12" width="63" style="26" customWidth="1"/>
    <col min="13" max="13" width="141" style="24" customWidth="1"/>
    <col min="14" max="16384" width="13" style="24"/>
  </cols>
  <sheetData>
    <row r="1" ht="19" customHeight="1" spans="1:11">
      <c r="A1" s="27" t="s">
        <v>3280</v>
      </c>
      <c r="B1" s="27"/>
      <c r="C1" s="27"/>
      <c r="D1" s="27"/>
      <c r="E1" s="27"/>
      <c r="G1" s="31" t="s">
        <v>3281</v>
      </c>
      <c r="H1" s="31"/>
      <c r="I1" s="31"/>
      <c r="J1" s="36"/>
      <c r="K1" s="37"/>
    </row>
    <row r="2" s="21" customFormat="1" ht="35" customHeight="1" spans="1:13">
      <c r="A2" s="28" t="s">
        <v>3282</v>
      </c>
      <c r="B2" s="28" t="s">
        <v>3283</v>
      </c>
      <c r="C2" s="28" t="s">
        <v>3284</v>
      </c>
      <c r="D2" s="28" t="s">
        <v>3285</v>
      </c>
      <c r="E2" s="28" t="s">
        <v>3286</v>
      </c>
      <c r="F2" s="28" t="s">
        <v>3287</v>
      </c>
      <c r="G2" s="32" t="s">
        <v>3288</v>
      </c>
      <c r="H2" s="33" t="s">
        <v>3289</v>
      </c>
      <c r="I2" s="33" t="s">
        <v>3290</v>
      </c>
      <c r="J2" s="33" t="s">
        <v>12</v>
      </c>
      <c r="K2" s="33" t="s">
        <v>3291</v>
      </c>
      <c r="L2" s="33" t="s">
        <v>3292</v>
      </c>
      <c r="M2" s="28" t="s">
        <v>3293</v>
      </c>
    </row>
    <row r="3" ht="20" customHeight="1" spans="1:14">
      <c r="A3" s="29">
        <v>45017</v>
      </c>
      <c r="B3" s="30"/>
      <c r="C3" s="30"/>
      <c r="D3" s="30"/>
      <c r="E3" s="30" t="s">
        <v>69</v>
      </c>
      <c r="F3" s="30" t="str">
        <f>IFERROR(VLOOKUP(VENTAS[[#This Row],[Código del producto Vendido]],STOCK[],5,FALSE),"-")</f>
        <v>Bañador de una pieza con degradado</v>
      </c>
      <c r="G3" s="34">
        <v>1</v>
      </c>
      <c r="H3" s="35">
        <v>25</v>
      </c>
      <c r="I3" s="35">
        <f>VENTAS[[#This Row],[Cantidad]]*VENTAS[[#This Row],[Precio Venta]]</f>
        <v>25</v>
      </c>
      <c r="J3" s="35">
        <f>IF(VENTAS[[#This Row],[Nombre del Gestor]]&gt;1,VENTAS[[#This Row],[Total]]*10%,0)</f>
        <v>0</v>
      </c>
      <c r="K3" s="35">
        <f>IFERROR(VLOOKUP(VENTAS[[#This Row],[Código del producto Vendido]],STOCK[],16,FALSE)*VENTAS[[#This Row],[Cantidad]]+VLOOKUP(VENTAS[[#This Row],[Código del producto Vendido]],STOCK[],19,FALSE)*VENTAS[[#This Row],[Cantidad]],VENTAS[[#This Row],[Total]])</f>
        <v>15.6844444444444</v>
      </c>
      <c r="L3" s="35">
        <f>VENTAS[[#This Row],[Total]]-VENTAS[[#This Row],[Comisión 10%]]-VENTAS[[#This Row],[Costo SIN Comision]]</f>
        <v>9.3155555555556</v>
      </c>
      <c r="M3" s="35"/>
      <c r="N3" s="38"/>
    </row>
    <row r="4" ht="20" customHeight="1" spans="1:14">
      <c r="A4" s="29">
        <v>45017</v>
      </c>
      <c r="B4" s="30"/>
      <c r="C4" s="30"/>
      <c r="D4" s="30"/>
      <c r="E4" s="30" t="s">
        <v>157</v>
      </c>
      <c r="F4" s="30" t="str">
        <f>IFERROR(VLOOKUP(VENTAS[[#This Row],[Código del producto Vendido]],STOCK[],5,FALSE),"-")</f>
        <v>Jeans de pierna recta desgarro</v>
      </c>
      <c r="G4" s="34">
        <v>1</v>
      </c>
      <c r="H4" s="35">
        <v>30</v>
      </c>
      <c r="I4" s="35">
        <f>VENTAS[[#This Row],[Cantidad]]*VENTAS[[#This Row],[Precio Venta]]</f>
        <v>30</v>
      </c>
      <c r="J4" s="35">
        <f>IF(VENTAS[[#This Row],[Nombre del Gestor]]&gt;1,VENTAS[[#This Row],[Total]]*10%,0)</f>
        <v>0</v>
      </c>
      <c r="K4" s="35">
        <f>IFERROR(VLOOKUP(VENTAS[[#This Row],[Código del producto Vendido]],STOCK[],16,FALSE)*VENTAS[[#This Row],[Cantidad]]+VLOOKUP(VENTAS[[#This Row],[Código del producto Vendido]],STOCK[],19,FALSE)*VENTAS[[#This Row],[Cantidad]],VENTAS[[#This Row],[Total]])</f>
        <v>18.6866666666667</v>
      </c>
      <c r="L4" s="35">
        <f>VENTAS[[#This Row],[Total]]-VENTAS[[#This Row],[Comisión 10%]]-VENTAS[[#This Row],[Costo SIN Comision]]</f>
        <v>11.3133333333333</v>
      </c>
      <c r="M4" s="35"/>
      <c r="N4" s="38"/>
    </row>
    <row r="5" ht="20" customHeight="1" spans="1:14">
      <c r="A5" s="29">
        <v>45017</v>
      </c>
      <c r="B5" s="30"/>
      <c r="C5" s="30"/>
      <c r="D5" s="30"/>
      <c r="E5" s="30" t="s">
        <v>157</v>
      </c>
      <c r="F5" s="30" t="str">
        <f>IFERROR(VLOOKUP(VENTAS[[#This Row],[Código del producto Vendido]],STOCK[],5,FALSE),"-")</f>
        <v>Jeans de pierna recta desgarro</v>
      </c>
      <c r="G5" s="34">
        <v>1</v>
      </c>
      <c r="H5" s="35">
        <v>30</v>
      </c>
      <c r="I5" s="35">
        <f>VENTAS[[#This Row],[Cantidad]]*VENTAS[[#This Row],[Precio Venta]]</f>
        <v>30</v>
      </c>
      <c r="J5" s="35">
        <f>IF(VENTAS[[#This Row],[Nombre del Gestor]]&gt;1,VENTAS[[#This Row],[Total]]*10%,0)</f>
        <v>0</v>
      </c>
      <c r="K5" s="35">
        <f>IFERROR(VLOOKUP(VENTAS[[#This Row],[Código del producto Vendido]],STOCK[],16,FALSE)*VENTAS[[#This Row],[Cantidad]]+VLOOKUP(VENTAS[[#This Row],[Código del producto Vendido]],STOCK[],19,FALSE)*VENTAS[[#This Row],[Cantidad]],VENTAS[[#This Row],[Total]])</f>
        <v>18.6866666666667</v>
      </c>
      <c r="L5" s="35">
        <f>VENTAS[[#This Row],[Total]]-VENTAS[[#This Row],[Comisión 10%]]-VENTAS[[#This Row],[Costo SIN Comision]]</f>
        <v>11.3133333333333</v>
      </c>
      <c r="M5" s="35"/>
      <c r="N5" s="39"/>
    </row>
    <row r="6" ht="20" customHeight="1" spans="1:13">
      <c r="A6" s="29">
        <v>45017</v>
      </c>
      <c r="B6" s="30"/>
      <c r="C6" s="30"/>
      <c r="D6" s="30"/>
      <c r="E6" s="30" t="s">
        <v>157</v>
      </c>
      <c r="F6" s="30" t="str">
        <f>IFERROR(VLOOKUP(VENTAS[[#This Row],[Código del producto Vendido]],STOCK[],5,FALSE),"-")</f>
        <v>Jeans de pierna recta desgarro</v>
      </c>
      <c r="G6" s="34">
        <v>1</v>
      </c>
      <c r="H6" s="35">
        <v>30</v>
      </c>
      <c r="I6" s="35">
        <f>VENTAS[[#This Row],[Cantidad]]*VENTAS[[#This Row],[Precio Venta]]</f>
        <v>30</v>
      </c>
      <c r="J6" s="35">
        <f>IF(VENTAS[[#This Row],[Nombre del Gestor]]&gt;1,VENTAS[[#This Row],[Total]]*10%,0)</f>
        <v>0</v>
      </c>
      <c r="K6" s="35">
        <f>IFERROR(VLOOKUP(VENTAS[[#This Row],[Código del producto Vendido]],STOCK[],16,FALSE)*VENTAS[[#This Row],[Cantidad]]+VLOOKUP(VENTAS[[#This Row],[Código del producto Vendido]],STOCK[],19,FALSE)*VENTAS[[#This Row],[Cantidad]],VENTAS[[#This Row],[Total]])</f>
        <v>18.6866666666667</v>
      </c>
      <c r="L6" s="35">
        <f>VENTAS[[#This Row],[Total]]-VENTAS[[#This Row],[Comisión 10%]]-VENTAS[[#This Row],[Costo SIN Comision]]</f>
        <v>11.3133333333333</v>
      </c>
      <c r="M6" s="35"/>
    </row>
    <row r="7" ht="20" customHeight="1" spans="1:13">
      <c r="A7" s="29">
        <v>45017</v>
      </c>
      <c r="B7" s="30"/>
      <c r="C7" s="30"/>
      <c r="D7" s="30"/>
      <c r="E7" s="30" t="s">
        <v>3294</v>
      </c>
      <c r="F7" s="30" t="str">
        <f>IFERROR(VLOOKUP(VENTAS[[#This Row],[Código del producto Vendido]],STOCK[],5,FALSE),"-")</f>
        <v>-</v>
      </c>
      <c r="G7" s="34">
        <v>2</v>
      </c>
      <c r="H7" s="35">
        <v>25</v>
      </c>
      <c r="I7" s="35">
        <f>VENTAS[[#This Row],[Cantidad]]*VENTAS[[#This Row],[Precio Venta]]</f>
        <v>50</v>
      </c>
      <c r="J7" s="35">
        <f>IF(VENTAS[[#This Row],[Nombre del Gestor]]&gt;1,VENTAS[[#This Row],[Total]]*10%,0)</f>
        <v>0</v>
      </c>
      <c r="K7" s="35">
        <f>IFERROR(VLOOKUP(VENTAS[[#This Row],[Código del producto Vendido]],STOCK[],16,FALSE)*VENTAS[[#This Row],[Cantidad]]+VLOOKUP(VENTAS[[#This Row],[Código del producto Vendido]],STOCK[],19,FALSE)*VENTAS[[#This Row],[Cantidad]],VENTAS[[#This Row],[Total]])</f>
        <v>50</v>
      </c>
      <c r="L7" s="35">
        <f>VENTAS[[#This Row],[Total]]-VENTAS[[#This Row],[Comisión 10%]]-VENTAS[[#This Row],[Costo SIN Comision]]</f>
        <v>0</v>
      </c>
      <c r="M7" s="35"/>
    </row>
    <row r="8" ht="20" customHeight="1" spans="1:13">
      <c r="A8" s="29">
        <v>45017</v>
      </c>
      <c r="B8" s="30"/>
      <c r="C8" s="30"/>
      <c r="D8" s="30"/>
      <c r="E8" s="30" t="s">
        <v>91</v>
      </c>
      <c r="F8" s="30" t="str">
        <f>IFERROR(VLOOKUP(VENTAS[[#This Row],[Código del producto Vendido]],STOCK[],5,FALSE),"-")</f>
        <v>Bañador una pieza de malla en contraste</v>
      </c>
      <c r="G8" s="34">
        <v>1</v>
      </c>
      <c r="H8" s="35">
        <v>25</v>
      </c>
      <c r="I8" s="35">
        <f>VENTAS[[#This Row],[Cantidad]]*VENTAS[[#This Row],[Precio Venta]]</f>
        <v>25</v>
      </c>
      <c r="J8" s="35">
        <f>IF(VENTAS[[#This Row],[Nombre del Gestor]]&gt;1,VENTAS[[#This Row],[Total]]*10%,0)</f>
        <v>0</v>
      </c>
      <c r="K8" s="35">
        <f>IFERROR(VLOOKUP(VENTAS[[#This Row],[Código del producto Vendido]],STOCK[],16,FALSE)*VENTAS[[#This Row],[Cantidad]]+VLOOKUP(VENTAS[[#This Row],[Código del producto Vendido]],STOCK[],19,FALSE)*VENTAS[[#This Row],[Cantidad]],VENTAS[[#This Row],[Total]])</f>
        <v>14.0633333333333</v>
      </c>
      <c r="L8" s="35">
        <f>VENTAS[[#This Row],[Total]]-VENTAS[[#This Row],[Comisión 10%]]-VENTAS[[#This Row],[Costo SIN Comision]]</f>
        <v>10.9366666666667</v>
      </c>
      <c r="M8" s="35"/>
    </row>
    <row r="9" ht="20" customHeight="1" spans="1:13">
      <c r="A9" s="29">
        <v>45017</v>
      </c>
      <c r="B9" s="30"/>
      <c r="C9" s="30"/>
      <c r="D9" s="30"/>
      <c r="E9" s="30" t="s">
        <v>95</v>
      </c>
      <c r="F9" s="30" t="str">
        <f>IFERROR(VLOOKUP(VENTAS[[#This Row],[Código del producto Vendido]],STOCK[],5,FALSE),"-")</f>
        <v>Bañador estampado de planta </v>
      </c>
      <c r="G9" s="34">
        <v>1</v>
      </c>
      <c r="H9" s="35">
        <v>25</v>
      </c>
      <c r="I9" s="35">
        <f>VENTAS[[#This Row],[Cantidad]]*VENTAS[[#This Row],[Precio Venta]]</f>
        <v>25</v>
      </c>
      <c r="J9" s="35">
        <f>IF(VENTAS[[#This Row],[Nombre del Gestor]]&gt;1,VENTAS[[#This Row],[Total]]*10%,0)</f>
        <v>0</v>
      </c>
      <c r="K9" s="35">
        <f>IFERROR(VLOOKUP(VENTAS[[#This Row],[Código del producto Vendido]],STOCK[],16,FALSE)*VENTAS[[#This Row],[Cantidad]]+VLOOKUP(VENTAS[[#This Row],[Código del producto Vendido]],STOCK[],19,FALSE)*VENTAS[[#This Row],[Cantidad]],VENTAS[[#This Row],[Total]])</f>
        <v>15.1288888888889</v>
      </c>
      <c r="L9" s="35">
        <f>VENTAS[[#This Row],[Total]]-VENTAS[[#This Row],[Comisión 10%]]-VENTAS[[#This Row],[Costo SIN Comision]]</f>
        <v>9.8711111111111</v>
      </c>
      <c r="M9" s="35"/>
    </row>
    <row r="10" ht="20" customHeight="1" spans="1:13">
      <c r="A10" s="29">
        <v>45017</v>
      </c>
      <c r="B10" s="30"/>
      <c r="C10" s="30"/>
      <c r="D10" s="30"/>
      <c r="E10" s="30" t="s">
        <v>97</v>
      </c>
      <c r="F10" s="30" t="str">
        <f>IFERROR(VLOOKUP(VENTAS[[#This Row],[Código del producto Vendido]],STOCK[],5,FALSE),"-")</f>
        <v>Bañador estampado de planta</v>
      </c>
      <c r="G10" s="34">
        <v>2</v>
      </c>
      <c r="H10" s="35">
        <v>25</v>
      </c>
      <c r="I10" s="35">
        <f>VENTAS[[#This Row],[Cantidad]]*VENTAS[[#This Row],[Precio Venta]]</f>
        <v>50</v>
      </c>
      <c r="J10" s="35">
        <f>IF(VENTAS[[#This Row],[Nombre del Gestor]]&gt;1,VENTAS[[#This Row],[Total]]*10%,0)</f>
        <v>0</v>
      </c>
      <c r="K10" s="35">
        <f>IFERROR(VLOOKUP(VENTAS[[#This Row],[Código del producto Vendido]],STOCK[],16,FALSE)*VENTAS[[#This Row],[Cantidad]]+VLOOKUP(VENTAS[[#This Row],[Código del producto Vendido]],STOCK[],19,FALSE)*VENTAS[[#This Row],[Cantidad]],VENTAS[[#This Row],[Total]])</f>
        <v>31.9577777777778</v>
      </c>
      <c r="L10" s="35">
        <f>VENTAS[[#This Row],[Total]]-VENTAS[[#This Row],[Comisión 10%]]-VENTAS[[#This Row],[Costo SIN Comision]]</f>
        <v>18.0422222222222</v>
      </c>
      <c r="M10" s="35"/>
    </row>
    <row r="11" ht="20" customHeight="1" spans="1:13">
      <c r="A11" s="29">
        <v>45017</v>
      </c>
      <c r="B11" s="30"/>
      <c r="C11" s="30"/>
      <c r="D11" s="30"/>
      <c r="E11" s="30" t="s">
        <v>56</v>
      </c>
      <c r="F11" s="30" t="str">
        <f>IFERROR(VLOOKUP(VENTAS[[#This Row],[Código del producto Vendido]],STOCK[],5,FALSE),"-")</f>
        <v>Bañador con cremallera </v>
      </c>
      <c r="G11" s="34">
        <v>1</v>
      </c>
      <c r="H11" s="35">
        <v>25</v>
      </c>
      <c r="I11" s="35">
        <f>VENTAS[[#This Row],[Cantidad]]*VENTAS[[#This Row],[Precio Venta]]</f>
        <v>25</v>
      </c>
      <c r="J11" s="35">
        <f>IF(VENTAS[[#This Row],[Nombre del Gestor]]&gt;1,VENTAS[[#This Row],[Total]]*10%,0)</f>
        <v>0</v>
      </c>
      <c r="K11" s="35">
        <f>IFERROR(VLOOKUP(VENTAS[[#This Row],[Código del producto Vendido]],STOCK[],16,FALSE)*VENTAS[[#This Row],[Cantidad]]+VLOOKUP(VENTAS[[#This Row],[Código del producto Vendido]],STOCK[],19,FALSE)*VENTAS[[#This Row],[Cantidad]],VENTAS[[#This Row],[Total]])</f>
        <v>15.9166666666667</v>
      </c>
      <c r="L11" s="35">
        <f>VENTAS[[#This Row],[Total]]-VENTAS[[#This Row],[Comisión 10%]]-VENTAS[[#This Row],[Costo SIN Comision]]</f>
        <v>9.0833333333333</v>
      </c>
      <c r="M11" s="35"/>
    </row>
    <row r="12" ht="20" customHeight="1" spans="1:13">
      <c r="A12" s="29">
        <v>45017</v>
      </c>
      <c r="B12" s="30"/>
      <c r="C12" s="30"/>
      <c r="D12" s="30"/>
      <c r="E12" s="30" t="s">
        <v>29</v>
      </c>
      <c r="F12" s="30" t="str">
        <f>IFERROR(VLOOKUP(VENTAS[[#This Row],[Código del producto Vendido]],STOCK[],5,FALSE),"-")</f>
        <v>Pareo falda </v>
      </c>
      <c r="G12" s="34">
        <v>1</v>
      </c>
      <c r="H12" s="35">
        <v>8</v>
      </c>
      <c r="I12" s="35">
        <f>VENTAS[[#This Row],[Cantidad]]*VENTAS[[#This Row],[Precio Venta]]</f>
        <v>8</v>
      </c>
      <c r="J12" s="35">
        <f>IF(VENTAS[[#This Row],[Nombre del Gestor]]&gt;1,VENTAS[[#This Row],[Total]]*10%,0)</f>
        <v>0</v>
      </c>
      <c r="K12" s="35">
        <f>IFERROR(VLOOKUP(VENTAS[[#This Row],[Código del producto Vendido]],STOCK[],16,FALSE)*VENTAS[[#This Row],[Cantidad]]+VLOOKUP(VENTAS[[#This Row],[Código del producto Vendido]],STOCK[],19,FALSE)*VENTAS[[#This Row],[Cantidad]],VENTAS[[#This Row],[Total]])</f>
        <v>4.33722222222222</v>
      </c>
      <c r="L12" s="35">
        <f>VENTAS[[#This Row],[Total]]-VENTAS[[#This Row],[Comisión 10%]]-VENTAS[[#This Row],[Costo SIN Comision]]</f>
        <v>3.66277777777778</v>
      </c>
      <c r="M12" s="35"/>
    </row>
    <row r="13" ht="20" customHeight="1" spans="1:13">
      <c r="A13" s="29">
        <v>45017</v>
      </c>
      <c r="B13" s="30"/>
      <c r="C13" s="30"/>
      <c r="D13" s="30"/>
      <c r="E13" s="30" t="s">
        <v>39</v>
      </c>
      <c r="F13" s="30" t="str">
        <f>IFERROR(VLOOKUP(VENTAS[[#This Row],[Código del producto Vendido]],STOCK[],5,FALSE),"-")</f>
        <v>Bikini Floral</v>
      </c>
      <c r="G13" s="34">
        <v>1</v>
      </c>
      <c r="H13" s="35">
        <v>25</v>
      </c>
      <c r="I13" s="35">
        <f>VENTAS[[#This Row],[Cantidad]]*VENTAS[[#This Row],[Precio Venta]]</f>
        <v>25</v>
      </c>
      <c r="J13" s="35">
        <f>IF(VENTAS[[#This Row],[Nombre del Gestor]]&gt;1,VENTAS[[#This Row],[Total]]*10%,0)</f>
        <v>0</v>
      </c>
      <c r="K13" s="35">
        <f>IFERROR(VLOOKUP(VENTAS[[#This Row],[Código del producto Vendido]],STOCK[],16,FALSE)*VENTAS[[#This Row],[Cantidad]]+VLOOKUP(VENTAS[[#This Row],[Código del producto Vendido]],STOCK[],19,FALSE)*VENTAS[[#This Row],[Cantidad]],VENTAS[[#This Row],[Total]])</f>
        <v>19.5611111111111</v>
      </c>
      <c r="L13" s="35">
        <f>VENTAS[[#This Row],[Total]]-VENTAS[[#This Row],[Comisión 10%]]-VENTAS[[#This Row],[Costo SIN Comision]]</f>
        <v>5.4388888888889</v>
      </c>
      <c r="M13" s="35"/>
    </row>
    <row r="14" ht="20" customHeight="1" spans="1:13">
      <c r="A14" s="29">
        <v>45017</v>
      </c>
      <c r="B14" s="30"/>
      <c r="C14" s="30"/>
      <c r="D14" s="30"/>
      <c r="E14" s="30" t="s">
        <v>49</v>
      </c>
      <c r="F14" s="30" t="str">
        <f>IFERROR(VLOOKUP(VENTAS[[#This Row],[Código del producto Vendido]],STOCK[],5,FALSE),"-")</f>
        <v>Pareo Pantalón</v>
      </c>
      <c r="G14" s="34">
        <v>1</v>
      </c>
      <c r="H14" s="35">
        <v>15</v>
      </c>
      <c r="I14" s="35">
        <f>VENTAS[[#This Row],[Cantidad]]*VENTAS[[#This Row],[Precio Venta]]</f>
        <v>15</v>
      </c>
      <c r="J14" s="35">
        <f>IF(VENTAS[[#This Row],[Nombre del Gestor]]&gt;1,VENTAS[[#This Row],[Total]]*10%,0)</f>
        <v>0</v>
      </c>
      <c r="K14" s="35">
        <f>IFERROR(VLOOKUP(VENTAS[[#This Row],[Código del producto Vendido]],STOCK[],16,FALSE)*VENTAS[[#This Row],[Cantidad]]+VLOOKUP(VENTAS[[#This Row],[Código del producto Vendido]],STOCK[],19,FALSE)*VENTAS[[#This Row],[Cantidad]],VENTAS[[#This Row],[Total]])</f>
        <v>10.0633333333333</v>
      </c>
      <c r="L14" s="35">
        <f>VENTAS[[#This Row],[Total]]-VENTAS[[#This Row],[Comisión 10%]]-VENTAS[[#This Row],[Costo SIN Comision]]</f>
        <v>4.93666666666667</v>
      </c>
      <c r="M14" s="35"/>
    </row>
    <row r="15" ht="20" customHeight="1" spans="1:13">
      <c r="A15" s="29">
        <v>45017</v>
      </c>
      <c r="B15" s="30"/>
      <c r="C15" s="30"/>
      <c r="D15" s="30"/>
      <c r="E15" s="30" t="s">
        <v>54</v>
      </c>
      <c r="F15" s="30" t="str">
        <f>IFERROR(VLOOKUP(VENTAS[[#This Row],[Código del producto Vendido]],STOCK[],5,FALSE),"-")</f>
        <v>Pareo pantalón en malla</v>
      </c>
      <c r="G15" s="34">
        <v>1</v>
      </c>
      <c r="H15" s="35">
        <v>15</v>
      </c>
      <c r="I15" s="35">
        <f>VENTAS[[#This Row],[Cantidad]]*VENTAS[[#This Row],[Precio Venta]]</f>
        <v>15</v>
      </c>
      <c r="J15" s="35">
        <f>IF(VENTAS[[#This Row],[Nombre del Gestor]]&gt;1,VENTAS[[#This Row],[Total]]*10%,0)</f>
        <v>0</v>
      </c>
      <c r="K15" s="35">
        <f>IFERROR(VLOOKUP(VENTAS[[#This Row],[Código del producto Vendido]],STOCK[],16,FALSE)*VENTAS[[#This Row],[Cantidad]]+VLOOKUP(VENTAS[[#This Row],[Código del producto Vendido]],STOCK[],19,FALSE)*VENTAS[[#This Row],[Cantidad]],VENTAS[[#This Row],[Total]])</f>
        <v>10.0633333333333</v>
      </c>
      <c r="L15" s="35">
        <f>VENTAS[[#This Row],[Total]]-VENTAS[[#This Row],[Comisión 10%]]-VENTAS[[#This Row],[Costo SIN Comision]]</f>
        <v>4.93666666666667</v>
      </c>
      <c r="M15" s="35"/>
    </row>
    <row r="16" ht="20" customHeight="1" spans="1:13">
      <c r="A16" s="29">
        <v>45017</v>
      </c>
      <c r="B16" s="30"/>
      <c r="C16" s="30"/>
      <c r="D16" s="30"/>
      <c r="E16" s="30" t="s">
        <v>453</v>
      </c>
      <c r="F16" s="30" t="str">
        <f>IFERROR(VLOOKUP(VENTAS[[#This Row],[Código del producto Vendido]],STOCK[],5,FALSE),"-")</f>
        <v>Bañador bikini de manga raglán con cordón floral</v>
      </c>
      <c r="G16" s="34">
        <v>1</v>
      </c>
      <c r="H16" s="35">
        <v>25</v>
      </c>
      <c r="I16" s="35">
        <f>VENTAS[[#This Row],[Cantidad]]*VENTAS[[#This Row],[Precio Venta]]</f>
        <v>25</v>
      </c>
      <c r="J16" s="35">
        <f>IF(VENTAS[[#This Row],[Nombre del Gestor]]&gt;1,VENTAS[[#This Row],[Total]]*10%,0)</f>
        <v>0</v>
      </c>
      <c r="K16" s="35">
        <f>IFERROR(VLOOKUP(VENTAS[[#This Row],[Código del producto Vendido]],STOCK[],16,FALSE)*VENTAS[[#This Row],[Cantidad]]+VLOOKUP(VENTAS[[#This Row],[Código del producto Vendido]],STOCK[],19,FALSE)*VENTAS[[#This Row],[Cantidad]],VENTAS[[#This Row],[Total]])</f>
        <v>19.7944444444444</v>
      </c>
      <c r="L16" s="35">
        <f>VENTAS[[#This Row],[Total]]-VENTAS[[#This Row],[Comisión 10%]]-VENTAS[[#This Row],[Costo SIN Comision]]</f>
        <v>5.2055555555556</v>
      </c>
      <c r="M16" s="35"/>
    </row>
    <row r="17" ht="20" customHeight="1" spans="1:13">
      <c r="A17" s="29">
        <v>45017</v>
      </c>
      <c r="B17" s="30"/>
      <c r="C17" s="30"/>
      <c r="D17" s="30"/>
      <c r="E17" s="30" t="s">
        <v>99</v>
      </c>
      <c r="F17" s="30" t="str">
        <f>IFERROR(VLOOKUP(VENTAS[[#This Row],[Código del producto Vendido]],STOCK[],5,FALSE),"-")</f>
        <v>Bañador estampado de planta</v>
      </c>
      <c r="G17" s="34">
        <v>1</v>
      </c>
      <c r="H17" s="35">
        <v>25</v>
      </c>
      <c r="I17" s="35">
        <f>VENTAS[[#This Row],[Cantidad]]*VENTAS[[#This Row],[Precio Venta]]</f>
        <v>25</v>
      </c>
      <c r="J17" s="35">
        <f>IF(VENTAS[[#This Row],[Nombre del Gestor]]&gt;1,VENTAS[[#This Row],[Total]]*10%,0)</f>
        <v>0</v>
      </c>
      <c r="K17" s="35">
        <f>IFERROR(VLOOKUP(VENTAS[[#This Row],[Código del producto Vendido]],STOCK[],16,FALSE)*VENTAS[[#This Row],[Cantidad]]+VLOOKUP(VENTAS[[#This Row],[Código del producto Vendido]],STOCK[],19,FALSE)*VENTAS[[#This Row],[Cantidad]],VENTAS[[#This Row],[Total]])</f>
        <v>15.9788888888889</v>
      </c>
      <c r="L17" s="35">
        <f>VENTAS[[#This Row],[Total]]-VENTAS[[#This Row],[Comisión 10%]]-VENTAS[[#This Row],[Costo SIN Comision]]</f>
        <v>9.0211111111111</v>
      </c>
      <c r="M17" s="35"/>
    </row>
    <row r="18" ht="20" customHeight="1" spans="1:13">
      <c r="A18" s="29">
        <v>45017</v>
      </c>
      <c r="B18" s="30"/>
      <c r="C18" s="30"/>
      <c r="D18" s="30"/>
      <c r="E18" s="30" t="s">
        <v>453</v>
      </c>
      <c r="F18" s="30" t="str">
        <f>IFERROR(VLOOKUP(VENTAS[[#This Row],[Código del producto Vendido]],STOCK[],5,FALSE),"-")</f>
        <v>Bañador bikini de manga raglán con cordón floral</v>
      </c>
      <c r="G18" s="34">
        <v>1</v>
      </c>
      <c r="H18" s="35">
        <v>25</v>
      </c>
      <c r="I18" s="35">
        <f>VENTAS[[#This Row],[Cantidad]]*VENTAS[[#This Row],[Precio Venta]]</f>
        <v>25</v>
      </c>
      <c r="J18" s="35">
        <f>IF(VENTAS[[#This Row],[Nombre del Gestor]]&gt;1,VENTAS[[#This Row],[Total]]*10%,0)</f>
        <v>0</v>
      </c>
      <c r="K18" s="35">
        <f>IFERROR(VLOOKUP(VENTAS[[#This Row],[Código del producto Vendido]],STOCK[],16,FALSE)*VENTAS[[#This Row],[Cantidad]]+VLOOKUP(VENTAS[[#This Row],[Código del producto Vendido]],STOCK[],19,FALSE)*VENTAS[[#This Row],[Cantidad]],VENTAS[[#This Row],[Total]])</f>
        <v>19.7944444444444</v>
      </c>
      <c r="L18" s="35">
        <f>VENTAS[[#This Row],[Total]]-VENTAS[[#This Row],[Comisión 10%]]-VENTAS[[#This Row],[Costo SIN Comision]]</f>
        <v>5.2055555555556</v>
      </c>
      <c r="M18" s="35"/>
    </row>
    <row r="19" ht="20" customHeight="1" spans="1:13">
      <c r="A19" s="29">
        <v>45017</v>
      </c>
      <c r="B19" s="30"/>
      <c r="C19" s="30"/>
      <c r="D19" s="30"/>
      <c r="E19" s="30" t="s">
        <v>115</v>
      </c>
      <c r="F19" s="30" t="str">
        <f>IFERROR(VLOOKUP(VENTAS[[#This Row],[Código del producto Vendido]],STOCK[],5,FALSE),"-")</f>
        <v>Bañador con estampado floral</v>
      </c>
      <c r="G19" s="34">
        <v>1</v>
      </c>
      <c r="H19" s="35">
        <v>25</v>
      </c>
      <c r="I19" s="35">
        <f>VENTAS[[#This Row],[Cantidad]]*VENTAS[[#This Row],[Precio Venta]]</f>
        <v>25</v>
      </c>
      <c r="J19" s="35">
        <f>IF(VENTAS[[#This Row],[Nombre del Gestor]]&gt;1,VENTAS[[#This Row],[Total]]*10%,0)</f>
        <v>0</v>
      </c>
      <c r="K19" s="35">
        <f>IFERROR(VLOOKUP(VENTAS[[#This Row],[Código del producto Vendido]],STOCK[],16,FALSE)*VENTAS[[#This Row],[Cantidad]]+VLOOKUP(VENTAS[[#This Row],[Código del producto Vendido]],STOCK[],19,FALSE)*VENTAS[[#This Row],[Cantidad]],VENTAS[[#This Row],[Total]])</f>
        <v>18.0311111111111</v>
      </c>
      <c r="L19" s="35">
        <f>VENTAS[[#This Row],[Total]]-VENTAS[[#This Row],[Comisión 10%]]-VENTAS[[#This Row],[Costo SIN Comision]]</f>
        <v>6.9688888888889</v>
      </c>
      <c r="M19" s="35"/>
    </row>
    <row r="20" ht="20" customHeight="1" spans="1:13">
      <c r="A20" s="29">
        <v>45017</v>
      </c>
      <c r="B20" s="30"/>
      <c r="C20" s="30"/>
      <c r="D20" s="30"/>
      <c r="E20" s="30" t="s">
        <v>116</v>
      </c>
      <c r="F20" s="30" t="str">
        <f>IFERROR(VLOOKUP(VENTAS[[#This Row],[Código del producto Vendido]],STOCK[],5,FALSE),"-")</f>
        <v>Bañador en contraste con cremallera</v>
      </c>
      <c r="G20" s="34">
        <v>1</v>
      </c>
      <c r="H20" s="35">
        <v>25</v>
      </c>
      <c r="I20" s="35">
        <f>VENTAS[[#This Row],[Cantidad]]*VENTAS[[#This Row],[Precio Venta]]</f>
        <v>25</v>
      </c>
      <c r="J20" s="35">
        <f>IF(VENTAS[[#This Row],[Nombre del Gestor]]&gt;1,VENTAS[[#This Row],[Total]]*10%,0)</f>
        <v>0</v>
      </c>
      <c r="K20" s="35">
        <f>IFERROR(VLOOKUP(VENTAS[[#This Row],[Código del producto Vendido]],STOCK[],16,FALSE)*VENTAS[[#This Row],[Cantidad]]+VLOOKUP(VENTAS[[#This Row],[Código del producto Vendido]],STOCK[],19,FALSE)*VENTAS[[#This Row],[Cantidad]],VENTAS[[#This Row],[Total]])</f>
        <v>16.6877777777778</v>
      </c>
      <c r="L20" s="35">
        <f>VENTAS[[#This Row],[Total]]-VENTAS[[#This Row],[Comisión 10%]]-VENTAS[[#This Row],[Costo SIN Comision]]</f>
        <v>8.3122222222222</v>
      </c>
      <c r="M20" s="35"/>
    </row>
    <row r="21" ht="20" customHeight="1" spans="1:13">
      <c r="A21" s="29">
        <v>45017</v>
      </c>
      <c r="B21" s="30"/>
      <c r="C21" s="30"/>
      <c r="D21" s="30"/>
      <c r="E21" s="30" t="s">
        <v>118</v>
      </c>
      <c r="F21" s="30" t="str">
        <f>IFERROR(VLOOKUP(VENTAS[[#This Row],[Código del producto Vendido]],STOCK[],5,FALSE),"-")</f>
        <v>Bañador color combinado con cremallera_S</v>
      </c>
      <c r="G21" s="34">
        <v>1</v>
      </c>
      <c r="H21" s="35">
        <v>25</v>
      </c>
      <c r="I21" s="35">
        <f>VENTAS[[#This Row],[Cantidad]]*VENTAS[[#This Row],[Precio Venta]]</f>
        <v>25</v>
      </c>
      <c r="J21" s="35">
        <f>IF(VENTAS[[#This Row],[Nombre del Gestor]]&gt;1,VENTAS[[#This Row],[Total]]*10%,0)</f>
        <v>0</v>
      </c>
      <c r="K21" s="35">
        <f>IFERROR(VLOOKUP(VENTAS[[#This Row],[Código del producto Vendido]],STOCK[],16,FALSE)*VENTAS[[#This Row],[Cantidad]]+VLOOKUP(VENTAS[[#This Row],[Código del producto Vendido]],STOCK[],19,FALSE)*VENTAS[[#This Row],[Cantidad]],VENTAS[[#This Row],[Total]])</f>
        <v>16.7727777777778</v>
      </c>
      <c r="L21" s="35">
        <f>VENTAS[[#This Row],[Total]]-VENTAS[[#This Row],[Comisión 10%]]-VENTAS[[#This Row],[Costo SIN Comision]]</f>
        <v>8.2272222222222</v>
      </c>
      <c r="M21" s="35"/>
    </row>
    <row r="22" ht="20" customHeight="1" spans="1:13">
      <c r="A22" s="29">
        <v>45017</v>
      </c>
      <c r="B22" s="30"/>
      <c r="C22" s="30"/>
      <c r="D22" s="30"/>
      <c r="E22" s="30" t="s">
        <v>114</v>
      </c>
      <c r="F22" s="30" t="str">
        <f>IFERROR(VLOOKUP(VENTAS[[#This Row],[Código del producto Vendido]],STOCK[],5,FALSE),"-")</f>
        <v>Bikini con cordón lateral</v>
      </c>
      <c r="G22" s="34">
        <v>1</v>
      </c>
      <c r="H22" s="35">
        <v>22</v>
      </c>
      <c r="I22" s="35">
        <f>VENTAS[[#This Row],[Cantidad]]*VENTAS[[#This Row],[Precio Venta]]</f>
        <v>22</v>
      </c>
      <c r="J22" s="35">
        <f>IF(VENTAS[[#This Row],[Nombre del Gestor]]&gt;1,VENTAS[[#This Row],[Total]]*10%,0)</f>
        <v>0</v>
      </c>
      <c r="K22" s="35">
        <f>IFERROR(VLOOKUP(VENTAS[[#This Row],[Código del producto Vendido]],STOCK[],16,FALSE)*VENTAS[[#This Row],[Cantidad]]+VLOOKUP(VENTAS[[#This Row],[Código del producto Vendido]],STOCK[],19,FALSE)*VENTAS[[#This Row],[Cantidad]],VENTAS[[#This Row],[Total]])</f>
        <v>14.5505555555556</v>
      </c>
      <c r="L22" s="35">
        <f>VENTAS[[#This Row],[Total]]-VENTAS[[#This Row],[Comisión 10%]]-VENTAS[[#This Row],[Costo SIN Comision]]</f>
        <v>7.4494444444444</v>
      </c>
      <c r="M22" s="35"/>
    </row>
    <row r="23" ht="20" customHeight="1" spans="1:13">
      <c r="A23" s="29">
        <v>45017</v>
      </c>
      <c r="B23" s="30"/>
      <c r="C23" s="30"/>
      <c r="D23" s="30"/>
      <c r="E23" s="30" t="s">
        <v>156</v>
      </c>
      <c r="F23" s="30" t="str">
        <f>IFERROR(VLOOKUP(VENTAS[[#This Row],[Código del producto Vendido]],STOCK[],5,FALSE),"-")</f>
        <v>Jeans de pierna recta desgarro</v>
      </c>
      <c r="G23" s="34">
        <v>1</v>
      </c>
      <c r="H23" s="35">
        <v>30</v>
      </c>
      <c r="I23" s="35">
        <f>VENTAS[[#This Row],[Cantidad]]*VENTAS[[#This Row],[Precio Venta]]</f>
        <v>30</v>
      </c>
      <c r="J23" s="35">
        <f>IF(VENTAS[[#This Row],[Nombre del Gestor]]&gt;1,VENTAS[[#This Row],[Total]]*10%,0)</f>
        <v>0</v>
      </c>
      <c r="K23" s="35">
        <f>IFERROR(VLOOKUP(VENTAS[[#This Row],[Código del producto Vendido]],STOCK[],16,FALSE)*VENTAS[[#This Row],[Cantidad]]+VLOOKUP(VENTAS[[#This Row],[Código del producto Vendido]],STOCK[],19,FALSE)*VENTAS[[#This Row],[Cantidad]],VENTAS[[#This Row],[Total]])</f>
        <v>18.6866666666667</v>
      </c>
      <c r="L23" s="35">
        <f>VENTAS[[#This Row],[Total]]-VENTAS[[#This Row],[Comisión 10%]]-VENTAS[[#This Row],[Costo SIN Comision]]</f>
        <v>11.3133333333333</v>
      </c>
      <c r="M23" s="35"/>
    </row>
    <row r="24" ht="20" customHeight="1" spans="1:13">
      <c r="A24" s="29">
        <v>45017</v>
      </c>
      <c r="B24" s="30"/>
      <c r="C24" s="30"/>
      <c r="D24" s="30"/>
      <c r="E24" s="30" t="s">
        <v>156</v>
      </c>
      <c r="F24" s="30" t="str">
        <f>IFERROR(VLOOKUP(VENTAS[[#This Row],[Código del producto Vendido]],STOCK[],5,FALSE),"-")</f>
        <v>Jeans de pierna recta desgarro</v>
      </c>
      <c r="G24" s="34">
        <v>1</v>
      </c>
      <c r="H24" s="35">
        <v>22</v>
      </c>
      <c r="I24" s="35">
        <f>VENTAS[[#This Row],[Cantidad]]*VENTAS[[#This Row],[Precio Venta]]</f>
        <v>22</v>
      </c>
      <c r="J24" s="35">
        <f>IF(VENTAS[[#This Row],[Nombre del Gestor]]&gt;1,VENTAS[[#This Row],[Total]]*10%,0)</f>
        <v>0</v>
      </c>
      <c r="K24" s="35">
        <f>IFERROR(VLOOKUP(VENTAS[[#This Row],[Código del producto Vendido]],STOCK[],16,FALSE)*VENTAS[[#This Row],[Cantidad]]+VLOOKUP(VENTAS[[#This Row],[Código del producto Vendido]],STOCK[],19,FALSE)*VENTAS[[#This Row],[Cantidad]],VENTAS[[#This Row],[Total]])</f>
        <v>18.6866666666667</v>
      </c>
      <c r="L24" s="35">
        <f>VENTAS[[#This Row],[Total]]-VENTAS[[#This Row],[Comisión 10%]]-VENTAS[[#This Row],[Costo SIN Comision]]</f>
        <v>3.31333333333333</v>
      </c>
      <c r="M24" s="35"/>
    </row>
    <row r="25" ht="20" customHeight="1" spans="1:13">
      <c r="A25" s="29">
        <v>45017</v>
      </c>
      <c r="B25" s="30"/>
      <c r="C25" s="30"/>
      <c r="D25" s="30"/>
      <c r="E25" s="30" t="s">
        <v>413</v>
      </c>
      <c r="F25" s="30" t="str">
        <f>IFERROR(VLOOKUP(VENTAS[[#This Row],[Código del producto Vendido]],STOCK[],5,FALSE),"-")</f>
        <v>Bañador bikini tropical con estampado de hoja de talle alto_L</v>
      </c>
      <c r="G25" s="34">
        <v>2</v>
      </c>
      <c r="H25" s="35">
        <v>22</v>
      </c>
      <c r="I25" s="35">
        <f>VENTAS[[#This Row],[Cantidad]]*VENTAS[[#This Row],[Precio Venta]]</f>
        <v>44</v>
      </c>
      <c r="J25" s="35">
        <f>IF(VENTAS[[#This Row],[Nombre del Gestor]]&gt;1,VENTAS[[#This Row],[Total]]*10%,0)</f>
        <v>0</v>
      </c>
      <c r="K25" s="35">
        <f>IFERROR(VLOOKUP(VENTAS[[#This Row],[Código del producto Vendido]],STOCK[],16,FALSE)*VENTAS[[#This Row],[Cantidad]]+VLOOKUP(VENTAS[[#This Row],[Código del producto Vendido]],STOCK[],19,FALSE)*VENTAS[[#This Row],[Cantidad]],VENTAS[[#This Row],[Total]])</f>
        <v>26.7777777777778</v>
      </c>
      <c r="L25" s="35">
        <f>VENTAS[[#This Row],[Total]]-VENTAS[[#This Row],[Comisión 10%]]-VENTAS[[#This Row],[Costo SIN Comision]]</f>
        <v>17.2222222222222</v>
      </c>
      <c r="M25" s="35"/>
    </row>
    <row r="26" ht="20" customHeight="1" spans="1:13">
      <c r="A26" s="29">
        <v>45017</v>
      </c>
      <c r="B26" s="30"/>
      <c r="C26" s="30"/>
      <c r="D26" s="30"/>
      <c r="E26" s="30" t="s">
        <v>415</v>
      </c>
      <c r="F26" s="30" t="str">
        <f>IFERROR(VLOOKUP(VENTAS[[#This Row],[Código del producto Vendido]],STOCK[],5,FALSE),"-")</f>
        <v>Bañador bikini tropical con estampado de hoja de talle alto_M</v>
      </c>
      <c r="G26" s="34">
        <v>2</v>
      </c>
      <c r="H26" s="35">
        <v>22</v>
      </c>
      <c r="I26" s="35">
        <f>VENTAS[[#This Row],[Cantidad]]*VENTAS[[#This Row],[Precio Venta]]</f>
        <v>44</v>
      </c>
      <c r="J26" s="35">
        <f>IF(VENTAS[[#This Row],[Nombre del Gestor]]&gt;1,VENTAS[[#This Row],[Total]]*10%,0)</f>
        <v>0</v>
      </c>
      <c r="K26" s="35">
        <f>IFERROR(VLOOKUP(VENTAS[[#This Row],[Código del producto Vendido]],STOCK[],16,FALSE)*VENTAS[[#This Row],[Cantidad]]+VLOOKUP(VENTAS[[#This Row],[Código del producto Vendido]],STOCK[],19,FALSE)*VENTAS[[#This Row],[Cantidad]],VENTAS[[#This Row],[Total]])</f>
        <v>26.7777777777778</v>
      </c>
      <c r="L26" s="35">
        <f>VENTAS[[#This Row],[Total]]-VENTAS[[#This Row],[Comisión 10%]]-VENTAS[[#This Row],[Costo SIN Comision]]</f>
        <v>17.2222222222222</v>
      </c>
      <c r="M26" s="35"/>
    </row>
    <row r="27" ht="20" customHeight="1" spans="1:13">
      <c r="A27" s="29">
        <v>45017</v>
      </c>
      <c r="B27" s="30"/>
      <c r="C27" s="30"/>
      <c r="D27" s="30"/>
      <c r="E27" s="30" t="s">
        <v>419</v>
      </c>
      <c r="F27" s="30" t="str">
        <f>IFERROR(VLOOKUP(VENTAS[[#This Row],[Código del producto Vendido]],STOCK[],5,FALSE),"-")</f>
        <v>Bañador una pieza tropical_XL</v>
      </c>
      <c r="G27" s="34">
        <v>2</v>
      </c>
      <c r="H27" s="35">
        <v>25</v>
      </c>
      <c r="I27" s="35">
        <f>VENTAS[[#This Row],[Cantidad]]*VENTAS[[#This Row],[Precio Venta]]</f>
        <v>50</v>
      </c>
      <c r="J27" s="35">
        <f>IF(VENTAS[[#This Row],[Nombre del Gestor]]&gt;1,VENTAS[[#This Row],[Total]]*10%,0)</f>
        <v>0</v>
      </c>
      <c r="K27" s="35">
        <f>IFERROR(VLOOKUP(VENTAS[[#This Row],[Código del producto Vendido]],STOCK[],16,FALSE)*VENTAS[[#This Row],[Cantidad]]+VLOOKUP(VENTAS[[#This Row],[Código del producto Vendido]],STOCK[],19,FALSE)*VENTAS[[#This Row],[Cantidad]],VENTAS[[#This Row],[Total]])</f>
        <v>27.6666666666666</v>
      </c>
      <c r="L27" s="35">
        <f>VENTAS[[#This Row],[Total]]-VENTAS[[#This Row],[Comisión 10%]]-VENTAS[[#This Row],[Costo SIN Comision]]</f>
        <v>22.3333333333334</v>
      </c>
      <c r="M27" s="35"/>
    </row>
    <row r="28" ht="20" customHeight="1" spans="1:13">
      <c r="A28" s="29">
        <v>45017</v>
      </c>
      <c r="B28" s="30"/>
      <c r="C28" s="30"/>
      <c r="D28" s="30"/>
      <c r="E28" s="30" t="s">
        <v>421</v>
      </c>
      <c r="F28" s="30" t="str">
        <f>IFERROR(VLOOKUP(VENTAS[[#This Row],[Código del producto Vendido]],STOCK[],5,FALSE),"-")</f>
        <v>Bañador una pieza tropical_M</v>
      </c>
      <c r="G28" s="34">
        <v>3</v>
      </c>
      <c r="H28" s="35">
        <v>25</v>
      </c>
      <c r="I28" s="35">
        <f>VENTAS[[#This Row],[Cantidad]]*VENTAS[[#This Row],[Precio Venta]]</f>
        <v>75</v>
      </c>
      <c r="J28" s="35">
        <f>IF(VENTAS[[#This Row],[Nombre del Gestor]]&gt;1,VENTAS[[#This Row],[Total]]*10%,0)</f>
        <v>0</v>
      </c>
      <c r="K28" s="35">
        <f>IFERROR(VLOOKUP(VENTAS[[#This Row],[Código del producto Vendido]],STOCK[],16,FALSE)*VENTAS[[#This Row],[Cantidad]]+VLOOKUP(VENTAS[[#This Row],[Código del producto Vendido]],STOCK[],19,FALSE)*VENTAS[[#This Row],[Cantidad]],VENTAS[[#This Row],[Total]])</f>
        <v>41.4999999999999</v>
      </c>
      <c r="L28" s="35">
        <f>VENTAS[[#This Row],[Total]]-VENTAS[[#This Row],[Comisión 10%]]-VENTAS[[#This Row],[Costo SIN Comision]]</f>
        <v>33.5000000000001</v>
      </c>
      <c r="M28" s="35"/>
    </row>
    <row r="29" ht="20" customHeight="1" spans="1:13">
      <c r="A29" s="29">
        <v>45017</v>
      </c>
      <c r="B29" s="30"/>
      <c r="C29" s="30"/>
      <c r="D29" s="30"/>
      <c r="E29" s="30" t="s">
        <v>423</v>
      </c>
      <c r="F29" s="30" t="str">
        <f>IFERROR(VLOOKUP(VENTAS[[#This Row],[Código del producto Vendido]],STOCK[],5,FALSE),"-")</f>
        <v>Bañador una pieza tropical_L</v>
      </c>
      <c r="G29" s="34">
        <v>3</v>
      </c>
      <c r="H29" s="35">
        <v>25</v>
      </c>
      <c r="I29" s="35">
        <f>VENTAS[[#This Row],[Cantidad]]*VENTAS[[#This Row],[Precio Venta]]</f>
        <v>75</v>
      </c>
      <c r="J29" s="35">
        <f>IF(VENTAS[[#This Row],[Nombre del Gestor]]&gt;1,VENTAS[[#This Row],[Total]]*10%,0)</f>
        <v>0</v>
      </c>
      <c r="K29" s="35">
        <f>IFERROR(VLOOKUP(VENTAS[[#This Row],[Código del producto Vendido]],STOCK[],16,FALSE)*VENTAS[[#This Row],[Cantidad]]+VLOOKUP(VENTAS[[#This Row],[Código del producto Vendido]],STOCK[],19,FALSE)*VENTAS[[#This Row],[Cantidad]],VENTAS[[#This Row],[Total]])</f>
        <v>41.4999999999999</v>
      </c>
      <c r="L29" s="35">
        <f>VENTAS[[#This Row],[Total]]-VENTAS[[#This Row],[Comisión 10%]]-VENTAS[[#This Row],[Costo SIN Comision]]</f>
        <v>33.5000000000001</v>
      </c>
      <c r="M29" s="35"/>
    </row>
    <row r="30" ht="20" customHeight="1" spans="1:13">
      <c r="A30" s="29">
        <v>45017</v>
      </c>
      <c r="B30" s="30"/>
      <c r="C30" s="30"/>
      <c r="D30" s="30"/>
      <c r="E30" s="30" t="s">
        <v>448</v>
      </c>
      <c r="F30" s="30" t="str">
        <f>IFERROR(VLOOKUP(VENTAS[[#This Row],[Código del producto Vendido]],STOCK[],5,FALSE),"-")</f>
        <v>Bañador estampado de planta</v>
      </c>
      <c r="G30" s="34">
        <v>2</v>
      </c>
      <c r="H30" s="35">
        <v>25</v>
      </c>
      <c r="I30" s="35">
        <f>VENTAS[[#This Row],[Cantidad]]*VENTAS[[#This Row],[Precio Venta]]</f>
        <v>50</v>
      </c>
      <c r="J30" s="35">
        <f>IF(VENTAS[[#This Row],[Nombre del Gestor]]&gt;1,VENTAS[[#This Row],[Total]]*10%,0)</f>
        <v>0</v>
      </c>
      <c r="K30" s="35">
        <f>IFERROR(VLOOKUP(VENTAS[[#This Row],[Código del producto Vendido]],STOCK[],16,FALSE)*VENTAS[[#This Row],[Cantidad]]+VLOOKUP(VENTAS[[#This Row],[Código del producto Vendido]],STOCK[],19,FALSE)*VENTAS[[#This Row],[Cantidad]],VENTAS[[#This Row],[Total]])</f>
        <v>26.8333333333334</v>
      </c>
      <c r="L30" s="35">
        <f>VENTAS[[#This Row],[Total]]-VENTAS[[#This Row],[Comisión 10%]]-VENTAS[[#This Row],[Costo SIN Comision]]</f>
        <v>23.1666666666666</v>
      </c>
      <c r="M30" s="35"/>
    </row>
    <row r="31" ht="20" customHeight="1" spans="1:13">
      <c r="A31" s="29">
        <v>45017</v>
      </c>
      <c r="B31" s="30"/>
      <c r="C31" s="30"/>
      <c r="D31" s="30"/>
      <c r="E31" s="30" t="s">
        <v>453</v>
      </c>
      <c r="F31" s="30" t="str">
        <f>IFERROR(VLOOKUP(VENTAS[[#This Row],[Código del producto Vendido]],STOCK[],5,FALSE),"-")</f>
        <v>Bañador bikini de manga raglán con cordón floral</v>
      </c>
      <c r="G31" s="34">
        <v>1</v>
      </c>
      <c r="H31" s="35">
        <v>25</v>
      </c>
      <c r="I31" s="35">
        <f>VENTAS[[#This Row],[Cantidad]]*VENTAS[[#This Row],[Precio Venta]]</f>
        <v>25</v>
      </c>
      <c r="J31" s="35">
        <f>IF(VENTAS[[#This Row],[Nombre del Gestor]]&gt;1,VENTAS[[#This Row],[Total]]*10%,0)</f>
        <v>0</v>
      </c>
      <c r="K31" s="35">
        <f>IFERROR(VLOOKUP(VENTAS[[#This Row],[Código del producto Vendido]],STOCK[],16,FALSE)*VENTAS[[#This Row],[Cantidad]]+VLOOKUP(VENTAS[[#This Row],[Código del producto Vendido]],STOCK[],19,FALSE)*VENTAS[[#This Row],[Cantidad]],VENTAS[[#This Row],[Total]])</f>
        <v>19.7944444444444</v>
      </c>
      <c r="L31" s="35">
        <f>VENTAS[[#This Row],[Total]]-VENTAS[[#This Row],[Comisión 10%]]-VENTAS[[#This Row],[Costo SIN Comision]]</f>
        <v>5.2055555555556</v>
      </c>
      <c r="M31" s="35"/>
    </row>
    <row r="32" ht="20" customHeight="1" spans="1:13">
      <c r="A32" s="29">
        <v>45017</v>
      </c>
      <c r="B32" s="30"/>
      <c r="C32" s="30"/>
      <c r="D32" s="30"/>
      <c r="E32" s="30" t="s">
        <v>450</v>
      </c>
      <c r="F32" s="30" t="str">
        <f>IFERROR(VLOOKUP(VENTAS[[#This Row],[Código del producto Vendido]],STOCK[],5,FALSE),"-")</f>
        <v>Bañador estampado de planta</v>
      </c>
      <c r="G32" s="34">
        <v>2</v>
      </c>
      <c r="H32" s="35">
        <v>25</v>
      </c>
      <c r="I32" s="35">
        <f>VENTAS[[#This Row],[Cantidad]]*VENTAS[[#This Row],[Precio Venta]]</f>
        <v>50</v>
      </c>
      <c r="J32" s="35">
        <f>IF(VENTAS[[#This Row],[Nombre del Gestor]]&gt;1,VENTAS[[#This Row],[Total]]*10%,0)</f>
        <v>0</v>
      </c>
      <c r="K32" s="35">
        <f>IFERROR(VLOOKUP(VENTAS[[#This Row],[Código del producto Vendido]],STOCK[],16,FALSE)*VENTAS[[#This Row],[Cantidad]]+VLOOKUP(VENTAS[[#This Row],[Código del producto Vendido]],STOCK[],19,FALSE)*VENTAS[[#This Row],[Cantidad]],VENTAS[[#This Row],[Total]])</f>
        <v>26.8333333333334</v>
      </c>
      <c r="L32" s="35">
        <f>VENTAS[[#This Row],[Total]]-VENTAS[[#This Row],[Comisión 10%]]-VENTAS[[#This Row],[Costo SIN Comision]]</f>
        <v>23.1666666666666</v>
      </c>
      <c r="M32" s="35"/>
    </row>
    <row r="33" ht="20" customHeight="1" spans="1:13">
      <c r="A33" s="29">
        <v>45017</v>
      </c>
      <c r="B33" s="30"/>
      <c r="C33" s="30"/>
      <c r="D33" s="30"/>
      <c r="E33" s="30" t="s">
        <v>417</v>
      </c>
      <c r="F33" s="30" t="str">
        <f>IFERROR(VLOOKUP(VENTAS[[#This Row],[Código del producto Vendido]],STOCK[],5,FALSE),"-")</f>
        <v>Bikini tropical con estampado de hoja</v>
      </c>
      <c r="G33" s="34">
        <v>1</v>
      </c>
      <c r="H33" s="35">
        <v>25</v>
      </c>
      <c r="I33" s="35">
        <f>VENTAS[[#This Row],[Cantidad]]*VENTAS[[#This Row],[Precio Venta]]</f>
        <v>25</v>
      </c>
      <c r="J33" s="35">
        <f>IF(VENTAS[[#This Row],[Nombre del Gestor]]&gt;1,VENTAS[[#This Row],[Total]]*10%,0)</f>
        <v>0</v>
      </c>
      <c r="K33" s="35">
        <f>IFERROR(VLOOKUP(VENTAS[[#This Row],[Código del producto Vendido]],STOCK[],16,FALSE)*VENTAS[[#This Row],[Cantidad]]+VLOOKUP(VENTAS[[#This Row],[Código del producto Vendido]],STOCK[],19,FALSE)*VENTAS[[#This Row],[Cantidad]],VENTAS[[#This Row],[Total]])</f>
        <v>13.3888888888889</v>
      </c>
      <c r="L33" s="35">
        <f>VENTAS[[#This Row],[Total]]-VENTAS[[#This Row],[Comisión 10%]]-VENTAS[[#This Row],[Costo SIN Comision]]</f>
        <v>11.6111111111111</v>
      </c>
      <c r="M33" s="35"/>
    </row>
    <row r="34" ht="20" customHeight="1" spans="1:13">
      <c r="A34" s="29">
        <v>45017</v>
      </c>
      <c r="B34" s="30"/>
      <c r="C34" s="30"/>
      <c r="D34" s="30"/>
      <c r="E34" s="30" t="s">
        <v>412</v>
      </c>
      <c r="F34" s="30" t="str">
        <f>IFERROR(VLOOKUP(VENTAS[[#This Row],[Código del producto Vendido]],STOCK[],5,FALSE),"-")</f>
        <v>Bikini Floral</v>
      </c>
      <c r="G34" s="34">
        <v>1</v>
      </c>
      <c r="H34" s="35">
        <v>25</v>
      </c>
      <c r="I34" s="35">
        <f>VENTAS[[#This Row],[Cantidad]]*VENTAS[[#This Row],[Precio Venta]]</f>
        <v>25</v>
      </c>
      <c r="J34" s="35">
        <f>IF(VENTAS[[#This Row],[Nombre del Gestor]]&gt;1,VENTAS[[#This Row],[Total]]*10%,0)</f>
        <v>0</v>
      </c>
      <c r="K34" s="35">
        <f>IFERROR(VLOOKUP(VENTAS[[#This Row],[Código del producto Vendido]],STOCK[],16,FALSE)*VENTAS[[#This Row],[Cantidad]]+VLOOKUP(VENTAS[[#This Row],[Código del producto Vendido]],STOCK[],19,FALSE)*VENTAS[[#This Row],[Cantidad]],VENTAS[[#This Row],[Total]])</f>
        <v>13.9444444444444</v>
      </c>
      <c r="L34" s="35">
        <f>VENTAS[[#This Row],[Total]]-VENTAS[[#This Row],[Comisión 10%]]-VENTAS[[#This Row],[Costo SIN Comision]]</f>
        <v>11.0555555555556</v>
      </c>
      <c r="M34" s="35"/>
    </row>
    <row r="35" ht="20" customHeight="1" spans="1:13">
      <c r="A35" s="29">
        <v>45017</v>
      </c>
      <c r="B35" s="30"/>
      <c r="C35" s="30"/>
      <c r="D35" s="30"/>
      <c r="E35" s="30" t="s">
        <v>458</v>
      </c>
      <c r="F35" s="30" t="str">
        <f>IFERROR(VLOOKUP(VENTAS[[#This Row],[Código del producto Vendido]],STOCK[],5,FALSE),"-")</f>
        <v>Bañador bikini con estampado tropical_M</v>
      </c>
      <c r="G35" s="34">
        <v>1</v>
      </c>
      <c r="H35" s="35">
        <v>22</v>
      </c>
      <c r="I35" s="35">
        <f>VENTAS[[#This Row],[Cantidad]]*VENTAS[[#This Row],[Precio Venta]]</f>
        <v>22</v>
      </c>
      <c r="J35" s="35">
        <f>IF(VENTAS[[#This Row],[Nombre del Gestor]]&gt;1,VENTAS[[#This Row],[Total]]*10%,0)</f>
        <v>0</v>
      </c>
      <c r="K35" s="35">
        <f>IFERROR(VLOOKUP(VENTAS[[#This Row],[Código del producto Vendido]],STOCK[],16,FALSE)*VENTAS[[#This Row],[Cantidad]]+VLOOKUP(VENTAS[[#This Row],[Código del producto Vendido]],STOCK[],19,FALSE)*VENTAS[[#This Row],[Cantidad]],VENTAS[[#This Row],[Total]])</f>
        <v>11.2022222222222</v>
      </c>
      <c r="L35" s="35">
        <f>VENTAS[[#This Row],[Total]]-VENTAS[[#This Row],[Comisión 10%]]-VENTAS[[#This Row],[Costo SIN Comision]]</f>
        <v>10.7977777777778</v>
      </c>
      <c r="M35" s="35"/>
    </row>
    <row r="36" ht="20" customHeight="1" spans="1:13">
      <c r="A36" s="29">
        <v>45017</v>
      </c>
      <c r="B36" s="30"/>
      <c r="C36" s="30"/>
      <c r="D36" s="30"/>
      <c r="E36" s="30" t="s">
        <v>460</v>
      </c>
      <c r="F36" s="30" t="str">
        <f>IFERROR(VLOOKUP(VENTAS[[#This Row],[Código del producto Vendido]],STOCK[],5,FALSE),"-")</f>
        <v>Bañador bikini con estampado tropical con nudo de talle alto_M</v>
      </c>
      <c r="G36" s="34">
        <v>1</v>
      </c>
      <c r="H36" s="35">
        <v>22</v>
      </c>
      <c r="I36" s="35">
        <f>VENTAS[[#This Row],[Cantidad]]*VENTAS[[#This Row],[Precio Venta]]</f>
        <v>22</v>
      </c>
      <c r="J36" s="35">
        <f>IF(VENTAS[[#This Row],[Nombre del Gestor]]&gt;1,VENTAS[[#This Row],[Total]]*10%,0)</f>
        <v>0</v>
      </c>
      <c r="K36" s="35">
        <f>IFERROR(VLOOKUP(VENTAS[[#This Row],[Código del producto Vendido]],STOCK[],16,FALSE)*VENTAS[[#This Row],[Cantidad]]+VLOOKUP(VENTAS[[#This Row],[Código del producto Vendido]],STOCK[],19,FALSE)*VENTAS[[#This Row],[Cantidad]],VENTAS[[#This Row],[Total]])</f>
        <v>11.4027777777778</v>
      </c>
      <c r="L36" s="35">
        <f>VENTAS[[#This Row],[Total]]-VENTAS[[#This Row],[Comisión 10%]]-VENTAS[[#This Row],[Costo SIN Comision]]</f>
        <v>10.5972222222222</v>
      </c>
      <c r="M36" s="35"/>
    </row>
    <row r="37" ht="20" customHeight="1" spans="1:13">
      <c r="A37" s="29">
        <v>45017</v>
      </c>
      <c r="B37" s="30"/>
      <c r="C37" s="30"/>
      <c r="D37" s="30"/>
      <c r="E37" s="30" t="s">
        <v>472</v>
      </c>
      <c r="F37" s="30" t="str">
        <f>IFERROR(VLOOKUP(VENTAS[[#This Row],[Código del producto Vendido]],STOCK[],5,FALSE),"-")</f>
        <v>SHEIN Vestido de hombros descubiertos con botón falso de cintura fruncido de manga farol_S</v>
      </c>
      <c r="G37" s="34">
        <v>1</v>
      </c>
      <c r="H37" s="35">
        <v>25</v>
      </c>
      <c r="I37" s="35">
        <f>VENTAS[[#This Row],[Cantidad]]*VENTAS[[#This Row],[Precio Venta]]</f>
        <v>25</v>
      </c>
      <c r="J37" s="35">
        <f>IF(VENTAS[[#This Row],[Nombre del Gestor]]&gt;1,VENTAS[[#This Row],[Total]]*10%,0)</f>
        <v>0</v>
      </c>
      <c r="K37" s="35">
        <f>IFERROR(VLOOKUP(VENTAS[[#This Row],[Código del producto Vendido]],STOCK[],16,FALSE)*VENTAS[[#This Row],[Cantidad]]+VLOOKUP(VENTAS[[#This Row],[Código del producto Vendido]],STOCK[],19,FALSE)*VENTAS[[#This Row],[Cantidad]],VENTAS[[#This Row],[Total]])</f>
        <v>17.2605555555556</v>
      </c>
      <c r="L37" s="35">
        <f>VENTAS[[#This Row],[Total]]-VENTAS[[#This Row],[Comisión 10%]]-VENTAS[[#This Row],[Costo SIN Comision]]</f>
        <v>7.7394444444444</v>
      </c>
      <c r="M37" s="35"/>
    </row>
    <row r="38" ht="20" customHeight="1" spans="1:13">
      <c r="A38" s="29">
        <v>45017</v>
      </c>
      <c r="B38" s="30"/>
      <c r="C38" s="30"/>
      <c r="D38" s="30"/>
      <c r="E38" s="30" t="s">
        <v>474</v>
      </c>
      <c r="F38" s="30" t="str">
        <f>IFERROR(VLOOKUP(VENTAS[[#This Row],[Código del producto Vendido]],STOCK[],5,FALSE),"-")</f>
        <v>Bañador bikini push up de cuadros girante_M</v>
      </c>
      <c r="G38" s="34">
        <v>1</v>
      </c>
      <c r="H38" s="35">
        <v>22</v>
      </c>
      <c r="I38" s="35">
        <f>VENTAS[[#This Row],[Cantidad]]*VENTAS[[#This Row],[Precio Venta]]</f>
        <v>22</v>
      </c>
      <c r="J38" s="35">
        <f>IF(VENTAS[[#This Row],[Nombre del Gestor]]&gt;1,VENTAS[[#This Row],[Total]]*10%,0)</f>
        <v>0</v>
      </c>
      <c r="K38" s="35">
        <f>IFERROR(VLOOKUP(VENTAS[[#This Row],[Código del producto Vendido]],STOCK[],16,FALSE)*VENTAS[[#This Row],[Cantidad]]+VLOOKUP(VENTAS[[#This Row],[Código del producto Vendido]],STOCK[],19,FALSE)*VENTAS[[#This Row],[Cantidad]],VENTAS[[#This Row],[Total]])</f>
        <v>11.0011111111111</v>
      </c>
      <c r="L38" s="35">
        <f>VENTAS[[#This Row],[Total]]-VENTAS[[#This Row],[Comisión 10%]]-VENTAS[[#This Row],[Costo SIN Comision]]</f>
        <v>10.9988888888889</v>
      </c>
      <c r="M38" s="35"/>
    </row>
    <row r="39" ht="20" customHeight="1" spans="1:13">
      <c r="A39" s="29">
        <v>45017</v>
      </c>
      <c r="B39" s="30"/>
      <c r="C39" s="30"/>
      <c r="D39" s="30"/>
      <c r="E39" s="30" t="s">
        <v>486</v>
      </c>
      <c r="F39" s="30" t="str">
        <f>IFERROR(VLOOKUP(VENTAS[[#This Row],[Código del producto Vendido]],STOCK[],5,FALSE),"-")</f>
        <v>Bolsa bandolera</v>
      </c>
      <c r="G39" s="34">
        <v>1</v>
      </c>
      <c r="H39" s="35">
        <v>15</v>
      </c>
      <c r="I39" s="35">
        <f>VENTAS[[#This Row],[Cantidad]]*VENTAS[[#This Row],[Precio Venta]]</f>
        <v>15</v>
      </c>
      <c r="J39" s="35">
        <f>IF(VENTAS[[#This Row],[Nombre del Gestor]]&gt;1,VENTAS[[#This Row],[Total]]*10%,0)</f>
        <v>0</v>
      </c>
      <c r="K39" s="35">
        <f>IFERROR(VLOOKUP(VENTAS[[#This Row],[Código del producto Vendido]],STOCK[],16,FALSE)*VENTAS[[#This Row],[Cantidad]]+VLOOKUP(VENTAS[[#This Row],[Código del producto Vendido]],STOCK[],19,FALSE)*VENTAS[[#This Row],[Cantidad]],VENTAS[[#This Row],[Total]])</f>
        <v>8.94444444444444</v>
      </c>
      <c r="L39" s="35">
        <f>VENTAS[[#This Row],[Total]]-VENTAS[[#This Row],[Comisión 10%]]-VENTAS[[#This Row],[Costo SIN Comision]]</f>
        <v>6.05555555555556</v>
      </c>
      <c r="M39" s="35"/>
    </row>
    <row r="40" ht="20" customHeight="1" spans="1:13">
      <c r="A40" s="29">
        <v>45017</v>
      </c>
      <c r="B40" s="30"/>
      <c r="C40" s="30"/>
      <c r="D40" s="30"/>
      <c r="E40" s="30" t="s">
        <v>490</v>
      </c>
      <c r="F40" s="30" t="str">
        <f>IFERROR(VLOOKUP(VENTAS[[#This Row],[Código del producto Vendido]],STOCK[],5,FALSE),"-")</f>
        <v>Bolso cartera con solapa transparente</v>
      </c>
      <c r="G40" s="34">
        <v>1</v>
      </c>
      <c r="H40" s="35">
        <v>10</v>
      </c>
      <c r="I40" s="35">
        <f>VENTAS[[#This Row],[Cantidad]]*VENTAS[[#This Row],[Precio Venta]]</f>
        <v>10</v>
      </c>
      <c r="J40" s="35">
        <f>IF(VENTAS[[#This Row],[Nombre del Gestor]]&gt;1,VENTAS[[#This Row],[Total]]*10%,0)</f>
        <v>0</v>
      </c>
      <c r="K40" s="35">
        <f>IFERROR(VLOOKUP(VENTAS[[#This Row],[Código del producto Vendido]],STOCK[],16,FALSE)*VENTAS[[#This Row],[Cantidad]]+VLOOKUP(VENTAS[[#This Row],[Código del producto Vendido]],STOCK[],19,FALSE)*VENTAS[[#This Row],[Cantidad]],VENTAS[[#This Row],[Total]])</f>
        <v>5.13055555555556</v>
      </c>
      <c r="L40" s="35">
        <f>VENTAS[[#This Row],[Total]]-VENTAS[[#This Row],[Comisión 10%]]-VENTAS[[#This Row],[Costo SIN Comision]]</f>
        <v>4.86944444444444</v>
      </c>
      <c r="M40" s="35"/>
    </row>
    <row r="41" ht="20" customHeight="1" spans="1:13">
      <c r="A41" s="29">
        <v>45017</v>
      </c>
      <c r="B41" s="30"/>
      <c r="C41" s="30"/>
      <c r="D41" s="30"/>
      <c r="E41" s="30" t="s">
        <v>490</v>
      </c>
      <c r="F41" s="30" t="str">
        <f>IFERROR(VLOOKUP(VENTAS[[#This Row],[Código del producto Vendido]],STOCK[],5,FALSE),"-")</f>
        <v>Bolso cartera con solapa transparente</v>
      </c>
      <c r="G41" s="34">
        <v>1</v>
      </c>
      <c r="H41" s="35">
        <v>10</v>
      </c>
      <c r="I41" s="35">
        <f>VENTAS[[#This Row],[Cantidad]]*VENTAS[[#This Row],[Precio Venta]]</f>
        <v>10</v>
      </c>
      <c r="J41" s="35">
        <f>IF(VENTAS[[#This Row],[Nombre del Gestor]]&gt;1,VENTAS[[#This Row],[Total]]*10%,0)</f>
        <v>0</v>
      </c>
      <c r="K41" s="35">
        <f>IFERROR(VLOOKUP(VENTAS[[#This Row],[Código del producto Vendido]],STOCK[],16,FALSE)*VENTAS[[#This Row],[Cantidad]]+VLOOKUP(VENTAS[[#This Row],[Código del producto Vendido]],STOCK[],19,FALSE)*VENTAS[[#This Row],[Cantidad]],VENTAS[[#This Row],[Total]])</f>
        <v>5.13055555555556</v>
      </c>
      <c r="L41" s="35">
        <f>VENTAS[[#This Row],[Total]]-VENTAS[[#This Row],[Comisión 10%]]-VENTAS[[#This Row],[Costo SIN Comision]]</f>
        <v>4.86944444444444</v>
      </c>
      <c r="M41" s="35"/>
    </row>
    <row r="42" ht="20" customHeight="1" spans="1:13">
      <c r="A42" s="29">
        <v>45017</v>
      </c>
      <c r="B42" s="30"/>
      <c r="C42" s="30"/>
      <c r="D42" s="30"/>
      <c r="E42" s="30" t="s">
        <v>494</v>
      </c>
      <c r="F42" s="30" t="str">
        <f>IFERROR(VLOOKUP(VENTAS[[#This Row],[Código del producto Vendido]],STOCK[],5,FALSE),"-")</f>
        <v>Bañador bikini con nudo delantero bajo fruncido tropical_S</v>
      </c>
      <c r="G42" s="34">
        <v>1</v>
      </c>
      <c r="H42" s="35">
        <v>22</v>
      </c>
      <c r="I42" s="35">
        <f>VENTAS[[#This Row],[Cantidad]]*VENTAS[[#This Row],[Precio Venta]]</f>
        <v>22</v>
      </c>
      <c r="J42" s="35">
        <f>IF(VENTAS[[#This Row],[Nombre del Gestor]]&gt;1,VENTAS[[#This Row],[Total]]*10%,0)</f>
        <v>0</v>
      </c>
      <c r="K42" s="35">
        <f>IFERROR(VLOOKUP(VENTAS[[#This Row],[Código del producto Vendido]],STOCK[],16,FALSE)*VENTAS[[#This Row],[Cantidad]]+VLOOKUP(VENTAS[[#This Row],[Código del producto Vendido]],STOCK[],19,FALSE)*VENTAS[[#This Row],[Cantidad]],VENTAS[[#This Row],[Total]])</f>
        <v>12.4805555555556</v>
      </c>
      <c r="L42" s="35">
        <f>VENTAS[[#This Row],[Total]]-VENTAS[[#This Row],[Comisión 10%]]-VENTAS[[#This Row],[Costo SIN Comision]]</f>
        <v>9.5194444444444</v>
      </c>
      <c r="M42" s="35"/>
    </row>
    <row r="43" ht="20" customHeight="1" spans="1:13">
      <c r="A43" s="29">
        <v>45017</v>
      </c>
      <c r="B43" s="30"/>
      <c r="C43" s="30"/>
      <c r="D43" s="30"/>
      <c r="E43" s="30" t="s">
        <v>500</v>
      </c>
      <c r="F43" s="30" t="str">
        <f>IFERROR(VLOOKUP(VENTAS[[#This Row],[Código del producto Vendido]],STOCK[],5,FALSE),"-")</f>
        <v>3 piezas Bañador bikini push up con estampado tropical con falda de playa</v>
      </c>
      <c r="G43" s="34">
        <v>2</v>
      </c>
      <c r="H43" s="35">
        <v>25</v>
      </c>
      <c r="I43" s="35">
        <f>VENTAS[[#This Row],[Cantidad]]*VENTAS[[#This Row],[Precio Venta]]</f>
        <v>50</v>
      </c>
      <c r="J43" s="35">
        <f>IF(VENTAS[[#This Row],[Nombre del Gestor]]&gt;1,VENTAS[[#This Row],[Total]]*10%,0)</f>
        <v>0</v>
      </c>
      <c r="K43" s="35">
        <f>IFERROR(VLOOKUP(VENTAS[[#This Row],[Código del producto Vendido]],STOCK[],16,FALSE)*VENTAS[[#This Row],[Cantidad]]+VLOOKUP(VENTAS[[#This Row],[Código del producto Vendido]],STOCK[],19,FALSE)*VENTAS[[#This Row],[Cantidad]],VENTAS[[#This Row],[Total]])</f>
        <v>33.1111111111112</v>
      </c>
      <c r="L43" s="35">
        <f>VENTAS[[#This Row],[Total]]-VENTAS[[#This Row],[Comisión 10%]]-VENTAS[[#This Row],[Costo SIN Comision]]</f>
        <v>16.8888888888888</v>
      </c>
      <c r="M43" s="35"/>
    </row>
    <row r="44" ht="20" customHeight="1" spans="1:13">
      <c r="A44" s="29">
        <v>45017</v>
      </c>
      <c r="B44" s="30"/>
      <c r="C44" s="30"/>
      <c r="D44" s="30"/>
      <c r="E44" s="30" t="s">
        <v>502</v>
      </c>
      <c r="F44" s="30" t="str">
        <f>IFERROR(VLOOKUP(VENTAS[[#This Row],[Código del producto Vendido]],STOCK[],5,FALSE),"-")</f>
        <v>Bikini push up tropical </v>
      </c>
      <c r="G44" s="34">
        <v>1</v>
      </c>
      <c r="H44" s="35">
        <v>25</v>
      </c>
      <c r="I44" s="35">
        <f>VENTAS[[#This Row],[Cantidad]]*VENTAS[[#This Row],[Precio Venta]]</f>
        <v>25</v>
      </c>
      <c r="J44" s="35">
        <f>IF(VENTAS[[#This Row],[Nombre del Gestor]]&gt;1,VENTAS[[#This Row],[Total]]*10%,0)</f>
        <v>0</v>
      </c>
      <c r="K44" s="35">
        <f>IFERROR(VLOOKUP(VENTAS[[#This Row],[Código del producto Vendido]],STOCK[],16,FALSE)*VENTAS[[#This Row],[Cantidad]]+VLOOKUP(VENTAS[[#This Row],[Código del producto Vendido]],STOCK[],19,FALSE)*VENTAS[[#This Row],[Cantidad]],VENTAS[[#This Row],[Total]])</f>
        <v>16.5555555555556</v>
      </c>
      <c r="L44" s="35">
        <f>VENTAS[[#This Row],[Total]]-VENTAS[[#This Row],[Comisión 10%]]-VENTAS[[#This Row],[Costo SIN Comision]]</f>
        <v>8.4444444444444</v>
      </c>
      <c r="M44" s="35"/>
    </row>
    <row r="45" ht="20" customHeight="1" spans="1:13">
      <c r="A45" s="29">
        <v>45017</v>
      </c>
      <c r="B45" s="30"/>
      <c r="C45" s="30"/>
      <c r="D45" s="30"/>
      <c r="E45" s="30" t="s">
        <v>507</v>
      </c>
      <c r="F45" s="30" t="str">
        <f>IFERROR(VLOOKUP(VENTAS[[#This Row],[Código del producto Vendido]],STOCK[],5,FALSE),"-")</f>
        <v>3 piezas Bañador bikini triángulo halter con estampado geométrico con pantalones cover up</v>
      </c>
      <c r="G45" s="34">
        <v>2</v>
      </c>
      <c r="H45" s="35">
        <v>25</v>
      </c>
      <c r="I45" s="35">
        <f>VENTAS[[#This Row],[Cantidad]]*VENTAS[[#This Row],[Precio Venta]]</f>
        <v>50</v>
      </c>
      <c r="J45" s="35">
        <f>IF(VENTAS[[#This Row],[Nombre del Gestor]]&gt;1,VENTAS[[#This Row],[Total]]*10%,0)</f>
        <v>0</v>
      </c>
      <c r="K45" s="35">
        <f>IFERROR(VLOOKUP(VENTAS[[#This Row],[Código del producto Vendido]],STOCK[],16,FALSE)*VENTAS[[#This Row],[Cantidad]]+VLOOKUP(VENTAS[[#This Row],[Código del producto Vendido]],STOCK[],19,FALSE)*VENTAS[[#This Row],[Cantidad]],VENTAS[[#This Row],[Total]])</f>
        <v>32.0888888888888</v>
      </c>
      <c r="L45" s="35">
        <f>VENTAS[[#This Row],[Total]]-VENTAS[[#This Row],[Comisión 10%]]-VENTAS[[#This Row],[Costo SIN Comision]]</f>
        <v>17.9111111111112</v>
      </c>
      <c r="M45" s="35"/>
    </row>
    <row r="46" ht="20" customHeight="1" spans="1:13">
      <c r="A46" s="29">
        <v>45017</v>
      </c>
      <c r="B46" s="30"/>
      <c r="C46" s="30"/>
      <c r="D46" s="30"/>
      <c r="E46" s="30" t="s">
        <v>535</v>
      </c>
      <c r="F46" s="30" t="str">
        <f>IFERROR(VLOOKUP(VENTAS[[#This Row],[Código del producto Vendido]],STOCK[],5,FALSE),"-")</f>
        <v>Gafas minimalista de moda </v>
      </c>
      <c r="G46" s="34">
        <v>1</v>
      </c>
      <c r="H46" s="35">
        <v>10</v>
      </c>
      <c r="I46" s="35">
        <f>VENTAS[[#This Row],[Cantidad]]*VENTAS[[#This Row],[Precio Venta]]</f>
        <v>10</v>
      </c>
      <c r="J46" s="35">
        <f>IF(VENTAS[[#This Row],[Nombre del Gestor]]&gt;1,VENTAS[[#This Row],[Total]]*10%,0)</f>
        <v>0</v>
      </c>
      <c r="K46" s="35">
        <f>IFERROR(VLOOKUP(VENTAS[[#This Row],[Código del producto Vendido]],STOCK[],16,FALSE)*VENTAS[[#This Row],[Cantidad]]+VLOOKUP(VENTAS[[#This Row],[Código del producto Vendido]],STOCK[],19,FALSE)*VENTAS[[#This Row],[Cantidad]],VENTAS[[#This Row],[Total]])</f>
        <v>5.83055555555556</v>
      </c>
      <c r="L46" s="35">
        <f>VENTAS[[#This Row],[Total]]-VENTAS[[#This Row],[Comisión 10%]]-VENTAS[[#This Row],[Costo SIN Comision]]</f>
        <v>4.16944444444444</v>
      </c>
      <c r="M46" s="35"/>
    </row>
    <row r="47" ht="20" customHeight="1" spans="1:13">
      <c r="A47" s="29">
        <v>45017</v>
      </c>
      <c r="B47" s="30"/>
      <c r="C47" s="30"/>
      <c r="D47" s="30"/>
      <c r="E47" s="30" t="s">
        <v>537</v>
      </c>
      <c r="F47" s="30" t="str">
        <f>IFERROR(VLOOKUP(VENTAS[[#This Row],[Código del producto Vendido]],STOCK[],5,FALSE),"-")</f>
        <v>Sandalias de tiras con diseño de diamante de imitación con tacón grueso Plateado_MX24</v>
      </c>
      <c r="G47" s="34">
        <v>1</v>
      </c>
      <c r="H47" s="35">
        <v>40</v>
      </c>
      <c r="I47" s="35">
        <f>VENTAS[[#This Row],[Cantidad]]*VENTAS[[#This Row],[Precio Venta]]</f>
        <v>40</v>
      </c>
      <c r="J47" s="35">
        <f>IF(VENTAS[[#This Row],[Nombre del Gestor]]&gt;1,VENTAS[[#This Row],[Total]]*10%,0)</f>
        <v>0</v>
      </c>
      <c r="K47" s="35">
        <f>IFERROR(VLOOKUP(VENTAS[[#This Row],[Código del producto Vendido]],STOCK[],16,FALSE)*VENTAS[[#This Row],[Cantidad]]+VLOOKUP(VENTAS[[#This Row],[Código del producto Vendido]],STOCK[],19,FALSE)*VENTAS[[#This Row],[Cantidad]],VENTAS[[#This Row],[Total]])</f>
        <v>27.9222222222222</v>
      </c>
      <c r="L47" s="35">
        <f>VENTAS[[#This Row],[Total]]-VENTAS[[#This Row],[Comisión 10%]]-VENTAS[[#This Row],[Costo SIN Comision]]</f>
        <v>12.0777777777778</v>
      </c>
      <c r="M47" s="35"/>
    </row>
    <row r="48" ht="20" customHeight="1" spans="1:13">
      <c r="A48" s="29">
        <v>45017</v>
      </c>
      <c r="B48" s="30"/>
      <c r="C48" s="30"/>
      <c r="D48" s="30"/>
      <c r="E48" s="30" t="s">
        <v>540</v>
      </c>
      <c r="F48" s="30" t="str">
        <f>IFERROR(VLOOKUP(VENTAS[[#This Row],[Código del producto Vendido]],STOCK[],5,FALSE),"-")</f>
        <v>SHEIN Felegant Shorts PU de cintura con volante con cordón Negro_5</v>
      </c>
      <c r="G48" s="34">
        <v>1</v>
      </c>
      <c r="H48" s="35">
        <v>19</v>
      </c>
      <c r="I48" s="35">
        <f>VENTAS[[#This Row],[Cantidad]]*VENTAS[[#This Row],[Precio Venta]]</f>
        <v>19</v>
      </c>
      <c r="J48" s="35">
        <f>IF(VENTAS[[#This Row],[Nombre del Gestor]]&gt;1,VENTAS[[#This Row],[Total]]*10%,0)</f>
        <v>0</v>
      </c>
      <c r="K48" s="35">
        <f>IFERROR(VLOOKUP(VENTAS[[#This Row],[Código del producto Vendido]],STOCK[],16,FALSE)*VENTAS[[#This Row],[Cantidad]]+VLOOKUP(VENTAS[[#This Row],[Código del producto Vendido]],STOCK[],19,FALSE)*VENTAS[[#This Row],[Cantidad]],VENTAS[[#This Row],[Total]])</f>
        <v>12.5222222222222</v>
      </c>
      <c r="L48" s="35">
        <f>VENTAS[[#This Row],[Total]]-VENTAS[[#This Row],[Comisión 10%]]-VENTAS[[#This Row],[Costo SIN Comision]]</f>
        <v>6.4777777777778</v>
      </c>
      <c r="M48" s="35"/>
    </row>
    <row r="49" ht="20" customHeight="1" spans="1:13">
      <c r="A49" s="29">
        <v>45017</v>
      </c>
      <c r="B49" s="30" t="s">
        <v>3295</v>
      </c>
      <c r="C49" s="30"/>
      <c r="D49" s="30"/>
      <c r="E49" s="30" t="s">
        <v>550</v>
      </c>
      <c r="F49" s="30" t="str">
        <f>IFERROR(VLOOKUP(VENTAS[[#This Row],[Código del producto Vendido]],STOCK[],5,FALSE),"-")</f>
        <v>Botines con tacón con cordón</v>
      </c>
      <c r="G49" s="34">
        <v>1</v>
      </c>
      <c r="H49" s="35">
        <v>40</v>
      </c>
      <c r="I49" s="35">
        <f>VENTAS[[#This Row],[Cantidad]]*VENTAS[[#This Row],[Precio Venta]]</f>
        <v>40</v>
      </c>
      <c r="J49" s="35">
        <f>IF(VENTAS[[#This Row],[Nombre del Gestor]]&gt;1,VENTAS[[#This Row],[Total]]*10%,0)</f>
        <v>0</v>
      </c>
      <c r="K49" s="35">
        <f>IFERROR(VLOOKUP(VENTAS[[#This Row],[Código del producto Vendido]],STOCK[],16,FALSE)*VENTAS[[#This Row],[Cantidad]]+VLOOKUP(VENTAS[[#This Row],[Código del producto Vendido]],STOCK[],19,FALSE)*VENTAS[[#This Row],[Cantidad]],VENTAS[[#This Row],[Total]])</f>
        <v>27.7861111111111</v>
      </c>
      <c r="L49" s="35">
        <f>VENTAS[[#This Row],[Total]]-VENTAS[[#This Row],[Comisión 10%]]-VENTAS[[#This Row],[Costo SIN Comision]]</f>
        <v>12.2138888888889</v>
      </c>
      <c r="M49" s="35"/>
    </row>
    <row r="50" ht="20" customHeight="1" spans="1:13">
      <c r="A50" s="29">
        <v>45017</v>
      </c>
      <c r="B50" s="30"/>
      <c r="C50" s="30"/>
      <c r="D50" s="30"/>
      <c r="E50" s="30" t="s">
        <v>552</v>
      </c>
      <c r="F50" s="30" t="str">
        <f>IFERROR(VLOOKUP(VENTAS[[#This Row],[Código del producto Vendido]],STOCK[],5,FALSE),"-")</f>
        <v>Falda con abertura alta_XS</v>
      </c>
      <c r="G50" s="34">
        <v>1</v>
      </c>
      <c r="H50" s="35">
        <v>17</v>
      </c>
      <c r="I50" s="35">
        <f>VENTAS[[#This Row],[Cantidad]]*VENTAS[[#This Row],[Precio Venta]]</f>
        <v>17</v>
      </c>
      <c r="J50" s="35">
        <f>IF(VENTAS[[#This Row],[Nombre del Gestor]]&gt;1,VENTAS[[#This Row],[Total]]*10%,0)</f>
        <v>0</v>
      </c>
      <c r="K50" s="35">
        <f>IFERROR(VLOOKUP(VENTAS[[#This Row],[Código del producto Vendido]],STOCK[],16,FALSE)*VENTAS[[#This Row],[Cantidad]]+VLOOKUP(VENTAS[[#This Row],[Código del producto Vendido]],STOCK[],19,FALSE)*VENTAS[[#This Row],[Cantidad]],VENTAS[[#This Row],[Total]])</f>
        <v>9.88944444444445</v>
      </c>
      <c r="L50" s="35">
        <f>VENTAS[[#This Row],[Total]]-VENTAS[[#This Row],[Comisión 10%]]-VENTAS[[#This Row],[Costo SIN Comision]]</f>
        <v>7.11055555555555</v>
      </c>
      <c r="M50" s="35"/>
    </row>
    <row r="51" ht="20" customHeight="1" spans="1:13">
      <c r="A51" s="29">
        <v>45017</v>
      </c>
      <c r="B51" s="30"/>
      <c r="C51" s="30"/>
      <c r="D51" s="30"/>
      <c r="E51" s="30" t="s">
        <v>563</v>
      </c>
      <c r="F51" s="30" t="str">
        <f>IFERROR(VLOOKUP(VENTAS[[#This Row],[Código del producto Vendido]],STOCK[],5,FALSE),"-")</f>
        <v>Vestido de espalda abierta de manga farol_S</v>
      </c>
      <c r="G51" s="34">
        <v>3</v>
      </c>
      <c r="H51" s="35">
        <v>15</v>
      </c>
      <c r="I51" s="35">
        <f>VENTAS[[#This Row],[Cantidad]]*VENTAS[[#This Row],[Precio Venta]]</f>
        <v>45</v>
      </c>
      <c r="J51" s="35">
        <f>IF(VENTAS[[#This Row],[Nombre del Gestor]]&gt;1,VENTAS[[#This Row],[Total]]*10%,0)</f>
        <v>0</v>
      </c>
      <c r="K51" s="35">
        <f>IFERROR(VLOOKUP(VENTAS[[#This Row],[Código del producto Vendido]],STOCK[],16,FALSE)*VENTAS[[#This Row],[Cantidad]]+VLOOKUP(VENTAS[[#This Row],[Código del producto Vendido]],STOCK[],19,FALSE)*VENTAS[[#This Row],[Cantidad]],VENTAS[[#This Row],[Total]])</f>
        <v>32.1666666666667</v>
      </c>
      <c r="L51" s="35">
        <f>VENTAS[[#This Row],[Total]]-VENTAS[[#This Row],[Comisión 10%]]-VENTAS[[#This Row],[Costo SIN Comision]]</f>
        <v>12.8333333333333</v>
      </c>
      <c r="M51" s="35"/>
    </row>
    <row r="52" ht="20" customHeight="1" spans="1:13">
      <c r="A52" s="29"/>
      <c r="B52" s="30" t="s">
        <v>3295</v>
      </c>
      <c r="C52" s="30"/>
      <c r="D52" s="30"/>
      <c r="E52" s="30" t="s">
        <v>565</v>
      </c>
      <c r="F52" s="30" t="str">
        <f>IFERROR(VLOOKUP(VENTAS[[#This Row],[Código del producto Vendido]],STOCK[],5,FALSE),"-")</f>
        <v>Vestido de espalda abierta de manga farol_XS</v>
      </c>
      <c r="G52" s="34">
        <v>3</v>
      </c>
      <c r="H52" s="35">
        <v>20</v>
      </c>
      <c r="I52" s="35">
        <f>VENTAS[[#This Row],[Cantidad]]*VENTAS[[#This Row],[Precio Venta]]</f>
        <v>60</v>
      </c>
      <c r="J52" s="35">
        <f>IF(VENTAS[[#This Row],[Nombre del Gestor]]&gt;1,VENTAS[[#This Row],[Total]]*10%,0)</f>
        <v>0</v>
      </c>
      <c r="K52" s="35">
        <f>IFERROR(VLOOKUP(VENTAS[[#This Row],[Código del producto Vendido]],STOCK[],16,FALSE)*VENTAS[[#This Row],[Cantidad]]+VLOOKUP(VENTAS[[#This Row],[Código del producto Vendido]],STOCK[],19,FALSE)*VENTAS[[#This Row],[Cantidad]],VENTAS[[#This Row],[Total]])</f>
        <v>32.1666666666667</v>
      </c>
      <c r="L52" s="35">
        <f>VENTAS[[#This Row],[Total]]-VENTAS[[#This Row],[Comisión 10%]]-VENTAS[[#This Row],[Costo SIN Comision]]</f>
        <v>27.8333333333333</v>
      </c>
      <c r="M52" s="35"/>
    </row>
    <row r="53" ht="20" customHeight="1" spans="1:13">
      <c r="A53" s="29"/>
      <c r="B53" s="30" t="s">
        <v>3295</v>
      </c>
      <c r="C53" s="30"/>
      <c r="D53" s="30"/>
      <c r="E53" s="30" t="s">
        <v>657</v>
      </c>
      <c r="F53" s="30" t="str">
        <f>IFERROR(VLOOKUP(VENTAS[[#This Row],[Código del producto Vendido]],STOCK[],5,FALSE),"-")</f>
        <v>SHEIN Vestido lencero floral de muslo con abertura_XS</v>
      </c>
      <c r="G53" s="34">
        <v>4</v>
      </c>
      <c r="H53" s="35">
        <v>15</v>
      </c>
      <c r="I53" s="35">
        <f>VENTAS[[#This Row],[Cantidad]]*VENTAS[[#This Row],[Precio Venta]]</f>
        <v>60</v>
      </c>
      <c r="J53" s="35">
        <f>IF(VENTAS[[#This Row],[Nombre del Gestor]]&gt;1,VENTAS[[#This Row],[Total]]*10%,0)</f>
        <v>0</v>
      </c>
      <c r="K53" s="35">
        <f>IFERROR(VLOOKUP(VENTAS[[#This Row],[Código del producto Vendido]],STOCK[],16,FALSE)*VENTAS[[#This Row],[Cantidad]]+VLOOKUP(VENTAS[[#This Row],[Código del producto Vendido]],STOCK[],19,FALSE)*VENTAS[[#This Row],[Cantidad]],VENTAS[[#This Row],[Total]])</f>
        <v>42.8888888888889</v>
      </c>
      <c r="L53" s="35">
        <f>VENTAS[[#This Row],[Total]]-VENTAS[[#This Row],[Comisión 10%]]-VENTAS[[#This Row],[Costo SIN Comision]]</f>
        <v>17.1111111111111</v>
      </c>
      <c r="M53" s="35"/>
    </row>
    <row r="54" ht="20" customHeight="1" spans="1:13">
      <c r="A54" s="29"/>
      <c r="B54" s="30" t="s">
        <v>3295</v>
      </c>
      <c r="C54" s="30"/>
      <c r="D54" s="30"/>
      <c r="E54" s="30" t="s">
        <v>659</v>
      </c>
      <c r="F54" s="30" t="str">
        <f>IFERROR(VLOOKUP(VENTAS[[#This Row],[Código del producto Vendido]],STOCK[],5,FALSE),"-")</f>
        <v>SHEIN Vestido lencero floral de muslo con abertura_S</v>
      </c>
      <c r="G54" s="34">
        <v>4</v>
      </c>
      <c r="H54" s="35">
        <v>20</v>
      </c>
      <c r="I54" s="35">
        <f>VENTAS[[#This Row],[Cantidad]]*VENTAS[[#This Row],[Precio Venta]]</f>
        <v>80</v>
      </c>
      <c r="J54" s="35">
        <f>IF(VENTAS[[#This Row],[Nombre del Gestor]]&gt;1,VENTAS[[#This Row],[Total]]*10%,0)</f>
        <v>0</v>
      </c>
      <c r="K54" s="35">
        <f>IFERROR(VLOOKUP(VENTAS[[#This Row],[Código del producto Vendido]],STOCK[],16,FALSE)*VENTAS[[#This Row],[Cantidad]]+VLOOKUP(VENTAS[[#This Row],[Código del producto Vendido]],STOCK[],19,FALSE)*VENTAS[[#This Row],[Cantidad]],VENTAS[[#This Row],[Total]])</f>
        <v>42.8888888888889</v>
      </c>
      <c r="L54" s="35">
        <f>VENTAS[[#This Row],[Total]]-VENTAS[[#This Row],[Comisión 10%]]-VENTAS[[#This Row],[Costo SIN Comision]]</f>
        <v>37.1111111111111</v>
      </c>
      <c r="M54" s="35"/>
    </row>
    <row r="55" ht="20" customHeight="1" spans="1:13">
      <c r="A55" s="29"/>
      <c r="B55" s="30" t="s">
        <v>3295</v>
      </c>
      <c r="C55" s="30"/>
      <c r="D55" s="30"/>
      <c r="E55" s="30" t="s">
        <v>655</v>
      </c>
      <c r="F55" s="30" t="str">
        <f>IFERROR(VLOOKUP(VENTAS[[#This Row],[Código del producto Vendido]],STOCK[],5,FALSE),"-")</f>
        <v>Vestido floral de manga farol de espalda abierta con cordón bajo con fruncido_L</v>
      </c>
      <c r="G55" s="34">
        <v>4</v>
      </c>
      <c r="H55" s="35">
        <v>20</v>
      </c>
      <c r="I55" s="35">
        <f>VENTAS[[#This Row],[Cantidad]]*VENTAS[[#This Row],[Precio Venta]]</f>
        <v>80</v>
      </c>
      <c r="J55" s="35">
        <f>IF(VENTAS[[#This Row],[Nombre del Gestor]]&gt;1,VENTAS[[#This Row],[Total]]*10%,0)</f>
        <v>0</v>
      </c>
      <c r="K55" s="35">
        <f>IFERROR(VLOOKUP(VENTAS[[#This Row],[Código del producto Vendido]],STOCK[],16,FALSE)*VENTAS[[#This Row],[Cantidad]]+VLOOKUP(VENTAS[[#This Row],[Código del producto Vendido]],STOCK[],19,FALSE)*VENTAS[[#This Row],[Cantidad]],VENTAS[[#This Row],[Total]])</f>
        <v>42.8888888888889</v>
      </c>
      <c r="L55" s="35">
        <f>VENTAS[[#This Row],[Total]]-VENTAS[[#This Row],[Comisión 10%]]-VENTAS[[#This Row],[Costo SIN Comision]]</f>
        <v>37.1111111111111</v>
      </c>
      <c r="M55" s="35"/>
    </row>
    <row r="56" ht="20" customHeight="1" spans="1:13">
      <c r="A56" s="29"/>
      <c r="B56" s="30" t="s">
        <v>3295</v>
      </c>
      <c r="C56" s="30"/>
      <c r="D56" s="30"/>
      <c r="E56" s="30" t="s">
        <v>653</v>
      </c>
      <c r="F56" s="30" t="str">
        <f>IFERROR(VLOOKUP(VENTAS[[#This Row],[Código del producto Vendido]],STOCK[],5,FALSE),"-")</f>
        <v>Vestido floral de manga farol de espalda abierta con cordón bajo con fruncido_M</v>
      </c>
      <c r="G56" s="34">
        <v>4</v>
      </c>
      <c r="H56" s="35">
        <v>20</v>
      </c>
      <c r="I56" s="35">
        <f>VENTAS[[#This Row],[Cantidad]]*VENTAS[[#This Row],[Precio Venta]]</f>
        <v>80</v>
      </c>
      <c r="J56" s="35">
        <f>IF(VENTAS[[#This Row],[Nombre del Gestor]]&gt;1,VENTAS[[#This Row],[Total]]*10%,0)</f>
        <v>0</v>
      </c>
      <c r="K56" s="35">
        <f>IFERROR(VLOOKUP(VENTAS[[#This Row],[Código del producto Vendido]],STOCK[],16,FALSE)*VENTAS[[#This Row],[Cantidad]]+VLOOKUP(VENTAS[[#This Row],[Código del producto Vendido]],STOCK[],19,FALSE)*VENTAS[[#This Row],[Cantidad]],VENTAS[[#This Row],[Total]])</f>
        <v>42.8888888888889</v>
      </c>
      <c r="L56" s="35">
        <f>VENTAS[[#This Row],[Total]]-VENTAS[[#This Row],[Comisión 10%]]-VENTAS[[#This Row],[Costo SIN Comision]]</f>
        <v>37.1111111111111</v>
      </c>
      <c r="M56" s="35"/>
    </row>
    <row r="57" ht="20" customHeight="1" spans="1:13">
      <c r="A57" s="29"/>
      <c r="B57" s="30" t="s">
        <v>3295</v>
      </c>
      <c r="C57" s="30"/>
      <c r="D57" s="30"/>
      <c r="E57" s="30" t="s">
        <v>651</v>
      </c>
      <c r="F57" s="30" t="str">
        <f>IFERROR(VLOOKUP(VENTAS[[#This Row],[Código del producto Vendido]],STOCK[],5,FALSE),"-")</f>
        <v>Vestido floral de manga farol de espalda abierta con cordón bajo con fruncido_S</v>
      </c>
      <c r="G57" s="34">
        <v>4</v>
      </c>
      <c r="H57" s="35">
        <v>20</v>
      </c>
      <c r="I57" s="35">
        <f>VENTAS[[#This Row],[Cantidad]]*VENTAS[[#This Row],[Precio Venta]]</f>
        <v>80</v>
      </c>
      <c r="J57" s="35">
        <f>IF(VENTAS[[#This Row],[Nombre del Gestor]]&gt;1,VENTAS[[#This Row],[Total]]*10%,0)</f>
        <v>0</v>
      </c>
      <c r="K57" s="35">
        <f>IFERROR(VLOOKUP(VENTAS[[#This Row],[Código del producto Vendido]],STOCK[],16,FALSE)*VENTAS[[#This Row],[Cantidad]]+VLOOKUP(VENTAS[[#This Row],[Código del producto Vendido]],STOCK[],19,FALSE)*VENTAS[[#This Row],[Cantidad]],VENTAS[[#This Row],[Total]])</f>
        <v>42.8888888888889</v>
      </c>
      <c r="L57" s="35">
        <f>VENTAS[[#This Row],[Total]]-VENTAS[[#This Row],[Comisión 10%]]-VENTAS[[#This Row],[Costo SIN Comision]]</f>
        <v>37.1111111111111</v>
      </c>
      <c r="M57" s="35"/>
    </row>
    <row r="58" ht="20" customHeight="1" spans="1:13">
      <c r="A58" s="29"/>
      <c r="B58" s="30" t="s">
        <v>3295</v>
      </c>
      <c r="C58" s="30"/>
      <c r="D58" s="30"/>
      <c r="E58" s="30" t="s">
        <v>649</v>
      </c>
      <c r="F58" s="30" t="str">
        <f>IFERROR(VLOOKUP(VENTAS[[#This Row],[Código del producto Vendido]],STOCK[],5,FALSE),"-")</f>
        <v>Vestido floral de manga farol de espalda abierta con cordón bajo con fruncido_XS</v>
      </c>
      <c r="G58" s="34">
        <v>4</v>
      </c>
      <c r="H58" s="35">
        <v>20</v>
      </c>
      <c r="I58" s="35">
        <f>VENTAS[[#This Row],[Cantidad]]*VENTAS[[#This Row],[Precio Venta]]</f>
        <v>80</v>
      </c>
      <c r="J58" s="35">
        <f>IF(VENTAS[[#This Row],[Nombre del Gestor]]&gt;1,VENTAS[[#This Row],[Total]]*10%,0)</f>
        <v>0</v>
      </c>
      <c r="K58" s="35">
        <f>IFERROR(VLOOKUP(VENTAS[[#This Row],[Código del producto Vendido]],STOCK[],16,FALSE)*VENTAS[[#This Row],[Cantidad]]+VLOOKUP(VENTAS[[#This Row],[Código del producto Vendido]],STOCK[],19,FALSE)*VENTAS[[#This Row],[Cantidad]],VENTAS[[#This Row],[Total]])</f>
        <v>42.8888888888889</v>
      </c>
      <c r="L58" s="35">
        <f>VENTAS[[#This Row],[Total]]-VENTAS[[#This Row],[Comisión 10%]]-VENTAS[[#This Row],[Costo SIN Comision]]</f>
        <v>37.1111111111111</v>
      </c>
      <c r="M58" s="35"/>
    </row>
    <row r="59" ht="20" customHeight="1" spans="1:13">
      <c r="A59" s="29">
        <v>45017</v>
      </c>
      <c r="B59" s="30"/>
      <c r="C59" s="30"/>
      <c r="D59" s="30"/>
      <c r="E59" s="30" t="s">
        <v>3296</v>
      </c>
      <c r="F59" s="30" t="str">
        <f>IFERROR(VLOOKUP(VENTAS[[#This Row],[Código del producto Vendido]],STOCK[],5,FALSE),"-")</f>
        <v>-</v>
      </c>
      <c r="G59" s="34">
        <v>1</v>
      </c>
      <c r="H59" s="35">
        <v>15</v>
      </c>
      <c r="I59" s="35">
        <f>VENTAS[[#This Row],[Cantidad]]*VENTAS[[#This Row],[Precio Venta]]</f>
        <v>15</v>
      </c>
      <c r="J59" s="35">
        <f>IF(VENTAS[[#This Row],[Nombre del Gestor]]&gt;1,VENTAS[[#This Row],[Total]]*10%,0)</f>
        <v>0</v>
      </c>
      <c r="K59" s="35">
        <f>IFERROR(VLOOKUP(VENTAS[[#This Row],[Código del producto Vendido]],STOCK[],16,FALSE)*VENTAS[[#This Row],[Cantidad]]+VLOOKUP(VENTAS[[#This Row],[Código del producto Vendido]],STOCK[],19,FALSE)*VENTAS[[#This Row],[Cantidad]],VENTAS[[#This Row],[Total]])</f>
        <v>15</v>
      </c>
      <c r="L59" s="35">
        <f>VENTAS[[#This Row],[Total]]-VENTAS[[#This Row],[Comisión 10%]]-VENTAS[[#This Row],[Costo SIN Comision]]</f>
        <v>0</v>
      </c>
      <c r="M59" s="35"/>
    </row>
    <row r="60" ht="20" customHeight="1" spans="1:13">
      <c r="A60" s="29"/>
      <c r="B60" s="30" t="s">
        <v>3295</v>
      </c>
      <c r="C60" s="30"/>
      <c r="D60" s="30"/>
      <c r="E60" s="30" t="s">
        <v>3297</v>
      </c>
      <c r="F60" s="30" t="str">
        <f>IFERROR(VLOOKUP(VENTAS[[#This Row],[Código del producto Vendido]],STOCK[],5,FALSE),"-")</f>
        <v>-</v>
      </c>
      <c r="G60" s="34">
        <v>1</v>
      </c>
      <c r="H60" s="35">
        <v>15</v>
      </c>
      <c r="I60" s="35">
        <f>VENTAS[[#This Row],[Cantidad]]*VENTAS[[#This Row],[Precio Venta]]</f>
        <v>15</v>
      </c>
      <c r="J60" s="35">
        <f>IF(VENTAS[[#This Row],[Nombre del Gestor]]&gt;1,VENTAS[[#This Row],[Total]]*10%,0)</f>
        <v>0</v>
      </c>
      <c r="K60" s="35">
        <f>IFERROR(VLOOKUP(VENTAS[[#This Row],[Código del producto Vendido]],STOCK[],16,FALSE)*VENTAS[[#This Row],[Cantidad]]+VLOOKUP(VENTAS[[#This Row],[Código del producto Vendido]],STOCK[],19,FALSE)*VENTAS[[#This Row],[Cantidad]],VENTAS[[#This Row],[Total]])</f>
        <v>15</v>
      </c>
      <c r="L60" s="35">
        <f>VENTAS[[#This Row],[Total]]-VENTAS[[#This Row],[Comisión 10%]]-VENTAS[[#This Row],[Costo SIN Comision]]</f>
        <v>0</v>
      </c>
      <c r="M60" s="35"/>
    </row>
    <row r="61" ht="20" customHeight="1" spans="1:13">
      <c r="A61" s="29"/>
      <c r="B61" s="30" t="s">
        <v>3295</v>
      </c>
      <c r="C61" s="30"/>
      <c r="D61" s="30"/>
      <c r="E61" s="30" t="s">
        <v>3297</v>
      </c>
      <c r="F61" s="30" t="str">
        <f>IFERROR(VLOOKUP(VENTAS[[#This Row],[Código del producto Vendido]],STOCK[],5,FALSE),"-")</f>
        <v>-</v>
      </c>
      <c r="G61" s="34">
        <v>1</v>
      </c>
      <c r="H61" s="35">
        <v>0</v>
      </c>
      <c r="I61" s="35">
        <f>VENTAS[[#This Row],[Cantidad]]*VENTAS[[#This Row],[Precio Venta]]</f>
        <v>0</v>
      </c>
      <c r="J61" s="35">
        <f>IF(VENTAS[[#This Row],[Nombre del Gestor]]&gt;1,VENTAS[[#This Row],[Total]]*10%,0)</f>
        <v>0</v>
      </c>
      <c r="K61" s="35">
        <f>IFERROR(VLOOKUP(VENTAS[[#This Row],[Código del producto Vendido]],STOCK[],16,FALSE)*VENTAS[[#This Row],[Cantidad]]+VLOOKUP(VENTAS[[#This Row],[Código del producto Vendido]],STOCK[],19,FALSE)*VENTAS[[#This Row],[Cantidad]],VENTAS[[#This Row],[Total]])</f>
        <v>0</v>
      </c>
      <c r="L61" s="35">
        <f>VENTAS[[#This Row],[Total]]-VENTAS[[#This Row],[Comisión 10%]]-VENTAS[[#This Row],[Costo SIN Comision]]</f>
        <v>0</v>
      </c>
      <c r="M61" s="35"/>
    </row>
    <row r="62" ht="20" customHeight="1" spans="1:13">
      <c r="A62" s="29"/>
      <c r="B62" s="30" t="s">
        <v>3295</v>
      </c>
      <c r="C62" s="30"/>
      <c r="D62" s="30"/>
      <c r="E62" s="30" t="s">
        <v>642</v>
      </c>
      <c r="F62" s="30" t="str">
        <f>IFERROR(VLOOKUP(VENTAS[[#This Row],[Código del producto Vendido]],STOCK[],5,FALSE),"-")</f>
        <v>Vestido floral de manga farol escote corazón con cordón lateral_S</v>
      </c>
      <c r="G62" s="34">
        <v>3</v>
      </c>
      <c r="H62" s="35">
        <v>15</v>
      </c>
      <c r="I62" s="35">
        <f>VENTAS[[#This Row],[Cantidad]]*VENTAS[[#This Row],[Precio Venta]]</f>
        <v>45</v>
      </c>
      <c r="J62" s="35">
        <f>IF(VENTAS[[#This Row],[Nombre del Gestor]]&gt;1,VENTAS[[#This Row],[Total]]*10%,0)</f>
        <v>0</v>
      </c>
      <c r="K62" s="35">
        <f>IFERROR(VLOOKUP(VENTAS[[#This Row],[Código del producto Vendido]],STOCK[],16,FALSE)*VENTAS[[#This Row],[Cantidad]]+VLOOKUP(VENTAS[[#This Row],[Código del producto Vendido]],STOCK[],19,FALSE)*VENTAS[[#This Row],[Cantidad]],VENTAS[[#This Row],[Total]])</f>
        <v>32.1666666666667</v>
      </c>
      <c r="L62" s="35">
        <f>VENTAS[[#This Row],[Total]]-VENTAS[[#This Row],[Comisión 10%]]-VENTAS[[#This Row],[Costo SIN Comision]]</f>
        <v>12.8333333333333</v>
      </c>
      <c r="M62" s="35"/>
    </row>
    <row r="63" ht="20" customHeight="1" spans="1:13">
      <c r="A63" s="29"/>
      <c r="B63" s="30" t="s">
        <v>3295</v>
      </c>
      <c r="C63" s="30"/>
      <c r="D63" s="30"/>
      <c r="E63" s="30" t="s">
        <v>637</v>
      </c>
      <c r="F63" s="30" t="str">
        <f>IFERROR(VLOOKUP(VENTAS[[#This Row],[Código del producto Vendido]],STOCK[],5,FALSE),"-")</f>
        <v>SHEIN Vestido con estampado floral con nudo delantero de manga farol_L</v>
      </c>
      <c r="G63" s="34">
        <v>4</v>
      </c>
      <c r="H63" s="35">
        <v>15</v>
      </c>
      <c r="I63" s="35">
        <f>VENTAS[[#This Row],[Cantidad]]*VENTAS[[#This Row],[Precio Venta]]</f>
        <v>60</v>
      </c>
      <c r="J63" s="35">
        <f>IF(VENTAS[[#This Row],[Nombre del Gestor]]&gt;1,VENTAS[[#This Row],[Total]]*10%,0)</f>
        <v>0</v>
      </c>
      <c r="K63" s="35">
        <f>IFERROR(VLOOKUP(VENTAS[[#This Row],[Código del producto Vendido]],STOCK[],16,FALSE)*VENTAS[[#This Row],[Cantidad]]+VLOOKUP(VENTAS[[#This Row],[Código del producto Vendido]],STOCK[],19,FALSE)*VENTAS[[#This Row],[Cantidad]],VENTAS[[#This Row],[Total]])</f>
        <v>42.8888888888889</v>
      </c>
      <c r="L63" s="35">
        <f>VENTAS[[#This Row],[Total]]-VENTAS[[#This Row],[Comisión 10%]]-VENTAS[[#This Row],[Costo SIN Comision]]</f>
        <v>17.1111111111111</v>
      </c>
      <c r="M63" s="35"/>
    </row>
    <row r="64" ht="20" customHeight="1" spans="1:13">
      <c r="A64" s="29"/>
      <c r="B64" s="30" t="s">
        <v>3295</v>
      </c>
      <c r="C64" s="30"/>
      <c r="D64" s="30"/>
      <c r="E64" s="30" t="s">
        <v>3298</v>
      </c>
      <c r="F64" s="30" t="str">
        <f>IFERROR(VLOOKUP(VENTAS[[#This Row],[Código del producto Vendido]],STOCK[],5,FALSE),"-")</f>
        <v>-</v>
      </c>
      <c r="G64" s="34">
        <v>2</v>
      </c>
      <c r="H64" s="35">
        <v>15</v>
      </c>
      <c r="I64" s="35">
        <f>VENTAS[[#This Row],[Cantidad]]*VENTAS[[#This Row],[Precio Venta]]</f>
        <v>30</v>
      </c>
      <c r="J64" s="35">
        <f>IF(VENTAS[[#This Row],[Nombre del Gestor]]&gt;1,VENTAS[[#This Row],[Total]]*10%,0)</f>
        <v>0</v>
      </c>
      <c r="K64" s="35">
        <f>IFERROR(VLOOKUP(VENTAS[[#This Row],[Código del producto Vendido]],STOCK[],16,FALSE)*VENTAS[[#This Row],[Cantidad]]+VLOOKUP(VENTAS[[#This Row],[Código del producto Vendido]],STOCK[],19,FALSE)*VENTAS[[#This Row],[Cantidad]],VENTAS[[#This Row],[Total]])</f>
        <v>30</v>
      </c>
      <c r="L64" s="35">
        <f>VENTAS[[#This Row],[Total]]-VENTAS[[#This Row],[Comisión 10%]]-VENTAS[[#This Row],[Costo SIN Comision]]</f>
        <v>0</v>
      </c>
      <c r="M64" s="35"/>
    </row>
    <row r="65" ht="20" customHeight="1" spans="1:13">
      <c r="A65" s="29"/>
      <c r="B65" s="30" t="s">
        <v>3295</v>
      </c>
      <c r="C65" s="30"/>
      <c r="D65" s="30"/>
      <c r="E65" s="30" t="s">
        <v>3299</v>
      </c>
      <c r="F65" s="30" t="str">
        <f>IFERROR(VLOOKUP(VENTAS[[#This Row],[Código del producto Vendido]],STOCK[],5,FALSE),"-")</f>
        <v>-</v>
      </c>
      <c r="G65" s="34">
        <v>2</v>
      </c>
      <c r="H65" s="35">
        <v>15</v>
      </c>
      <c r="I65" s="35">
        <f>VENTAS[[#This Row],[Cantidad]]*VENTAS[[#This Row],[Precio Venta]]</f>
        <v>30</v>
      </c>
      <c r="J65" s="35">
        <f>IF(VENTAS[[#This Row],[Nombre del Gestor]]&gt;1,VENTAS[[#This Row],[Total]]*10%,0)</f>
        <v>0</v>
      </c>
      <c r="K65" s="35">
        <f>IFERROR(VLOOKUP(VENTAS[[#This Row],[Código del producto Vendido]],STOCK[],16,FALSE)*VENTAS[[#This Row],[Cantidad]]+VLOOKUP(VENTAS[[#This Row],[Código del producto Vendido]],STOCK[],19,FALSE)*VENTAS[[#This Row],[Cantidad]],VENTAS[[#This Row],[Total]])</f>
        <v>30</v>
      </c>
      <c r="L65" s="35">
        <f>VENTAS[[#This Row],[Total]]-VENTAS[[#This Row],[Comisión 10%]]-VENTAS[[#This Row],[Costo SIN Comision]]</f>
        <v>0</v>
      </c>
      <c r="M65" s="35"/>
    </row>
    <row r="66" ht="20" customHeight="1" spans="1:13">
      <c r="A66" s="29"/>
      <c r="B66" s="30" t="s">
        <v>3295</v>
      </c>
      <c r="C66" s="30"/>
      <c r="D66" s="30"/>
      <c r="E66" s="30" t="s">
        <v>3300</v>
      </c>
      <c r="F66" s="30" t="str">
        <f>IFERROR(VLOOKUP(VENTAS[[#This Row],[Código del producto Vendido]],STOCK[],5,FALSE),"-")</f>
        <v>-</v>
      </c>
      <c r="G66" s="34">
        <v>3</v>
      </c>
      <c r="H66" s="35">
        <v>15</v>
      </c>
      <c r="I66" s="35">
        <f>VENTAS[[#This Row],[Cantidad]]*VENTAS[[#This Row],[Precio Venta]]</f>
        <v>45</v>
      </c>
      <c r="J66" s="35">
        <f>IF(VENTAS[[#This Row],[Nombre del Gestor]]&gt;1,VENTAS[[#This Row],[Total]]*10%,0)</f>
        <v>0</v>
      </c>
      <c r="K66" s="35">
        <f>IFERROR(VLOOKUP(VENTAS[[#This Row],[Código del producto Vendido]],STOCK[],16,FALSE)*VENTAS[[#This Row],[Cantidad]]+VLOOKUP(VENTAS[[#This Row],[Código del producto Vendido]],STOCK[],19,FALSE)*VENTAS[[#This Row],[Cantidad]],VENTAS[[#This Row],[Total]])</f>
        <v>45</v>
      </c>
      <c r="L66" s="35">
        <f>VENTAS[[#This Row],[Total]]-VENTAS[[#This Row],[Comisión 10%]]-VENTAS[[#This Row],[Costo SIN Comision]]</f>
        <v>0</v>
      </c>
      <c r="M66" s="35"/>
    </row>
    <row r="67" ht="20" customHeight="1" spans="1:13">
      <c r="A67" s="29"/>
      <c r="B67" s="30" t="s">
        <v>3295</v>
      </c>
      <c r="C67" s="30"/>
      <c r="D67" s="30"/>
      <c r="E67" s="30" t="s">
        <v>3301</v>
      </c>
      <c r="F67" s="30" t="str">
        <f>IFERROR(VLOOKUP(VENTAS[[#This Row],[Código del producto Vendido]],STOCK[],5,FALSE),"-")</f>
        <v>-</v>
      </c>
      <c r="G67" s="34">
        <v>2</v>
      </c>
      <c r="H67" s="35">
        <v>20</v>
      </c>
      <c r="I67" s="35">
        <f>VENTAS[[#This Row],[Cantidad]]*VENTAS[[#This Row],[Precio Venta]]</f>
        <v>40</v>
      </c>
      <c r="J67" s="35">
        <f>IF(VENTAS[[#This Row],[Nombre del Gestor]]&gt;1,VENTAS[[#This Row],[Total]]*10%,0)</f>
        <v>0</v>
      </c>
      <c r="K67" s="35">
        <f>IFERROR(VLOOKUP(VENTAS[[#This Row],[Código del producto Vendido]],STOCK[],16,FALSE)*VENTAS[[#This Row],[Cantidad]]+VLOOKUP(VENTAS[[#This Row],[Código del producto Vendido]],STOCK[],19,FALSE)*VENTAS[[#This Row],[Cantidad]],VENTAS[[#This Row],[Total]])</f>
        <v>40</v>
      </c>
      <c r="L67" s="35">
        <f>VENTAS[[#This Row],[Total]]-VENTAS[[#This Row],[Comisión 10%]]-VENTAS[[#This Row],[Costo SIN Comision]]</f>
        <v>0</v>
      </c>
      <c r="M67" s="35"/>
    </row>
    <row r="68" ht="20" customHeight="1" spans="1:13">
      <c r="A68" s="29"/>
      <c r="B68" s="30" t="s">
        <v>3295</v>
      </c>
      <c r="C68" s="30"/>
      <c r="D68" s="30"/>
      <c r="E68" s="30" t="s">
        <v>632</v>
      </c>
      <c r="F68" s="30" t="str">
        <f>IFERROR(VLOOKUP(VENTAS[[#This Row],[Código del producto Vendido]],STOCK[],5,FALSE),"-")</f>
        <v>Vestido floral con abertura trasera</v>
      </c>
      <c r="G68" s="34">
        <v>2</v>
      </c>
      <c r="H68" s="35">
        <v>20</v>
      </c>
      <c r="I68" s="35">
        <f>VENTAS[[#This Row],[Cantidad]]*VENTAS[[#This Row],[Precio Venta]]</f>
        <v>40</v>
      </c>
      <c r="J68" s="35">
        <f>IF(VENTAS[[#This Row],[Nombre del Gestor]]&gt;1,VENTAS[[#This Row],[Total]]*10%,0)</f>
        <v>0</v>
      </c>
      <c r="K68" s="35">
        <f>IFERROR(VLOOKUP(VENTAS[[#This Row],[Código del producto Vendido]],STOCK[],16,FALSE)*VENTAS[[#This Row],[Cantidad]]+VLOOKUP(VENTAS[[#This Row],[Código del producto Vendido]],STOCK[],19,FALSE)*VENTAS[[#This Row],[Cantidad]],VENTAS[[#This Row],[Total]])</f>
        <v>21.4444444444444</v>
      </c>
      <c r="L68" s="35">
        <f>VENTAS[[#This Row],[Total]]-VENTAS[[#This Row],[Comisión 10%]]-VENTAS[[#This Row],[Costo SIN Comision]]</f>
        <v>18.5555555555556</v>
      </c>
      <c r="M68" s="35"/>
    </row>
    <row r="69" ht="20" customHeight="1" spans="1:13">
      <c r="A69" s="29"/>
      <c r="B69" s="30" t="s">
        <v>3295</v>
      </c>
      <c r="C69" s="30"/>
      <c r="D69" s="30"/>
      <c r="E69" s="30" t="s">
        <v>3302</v>
      </c>
      <c r="F69" s="30" t="str">
        <f>IFERROR(VLOOKUP(VENTAS[[#This Row],[Código del producto Vendido]],STOCK[],5,FALSE),"-")</f>
        <v>-</v>
      </c>
      <c r="G69" s="34">
        <v>1</v>
      </c>
      <c r="H69" s="35">
        <v>15</v>
      </c>
      <c r="I69" s="35">
        <f>VENTAS[[#This Row],[Cantidad]]*VENTAS[[#This Row],[Precio Venta]]</f>
        <v>15</v>
      </c>
      <c r="J69" s="35">
        <f>IF(VENTAS[[#This Row],[Nombre del Gestor]]&gt;1,VENTAS[[#This Row],[Total]]*10%,0)</f>
        <v>0</v>
      </c>
      <c r="K69" s="35">
        <f>IFERROR(VLOOKUP(VENTAS[[#This Row],[Código del producto Vendido]],STOCK[],16,FALSE)*VENTAS[[#This Row],[Cantidad]]+VLOOKUP(VENTAS[[#This Row],[Código del producto Vendido]],STOCK[],19,FALSE)*VENTAS[[#This Row],[Cantidad]],VENTAS[[#This Row],[Total]])</f>
        <v>15</v>
      </c>
      <c r="L69" s="35">
        <f>VENTAS[[#This Row],[Total]]-VENTAS[[#This Row],[Comisión 10%]]-VENTAS[[#This Row],[Costo SIN Comision]]</f>
        <v>0</v>
      </c>
      <c r="M69" s="35"/>
    </row>
    <row r="70" ht="20" customHeight="1" spans="1:13">
      <c r="A70" s="29"/>
      <c r="B70" s="30" t="s">
        <v>3295</v>
      </c>
      <c r="C70" s="30"/>
      <c r="D70" s="30"/>
      <c r="E70" s="30" t="s">
        <v>3303</v>
      </c>
      <c r="F70" s="30" t="str">
        <f>IFERROR(VLOOKUP(VENTAS[[#This Row],[Código del producto Vendido]],STOCK[],5,FALSE),"-")</f>
        <v>-</v>
      </c>
      <c r="G70" s="34">
        <v>1</v>
      </c>
      <c r="H70" s="35">
        <v>15</v>
      </c>
      <c r="I70" s="35">
        <f>VENTAS[[#This Row],[Cantidad]]*VENTAS[[#This Row],[Precio Venta]]</f>
        <v>15</v>
      </c>
      <c r="J70" s="35">
        <f>IF(VENTAS[[#This Row],[Nombre del Gestor]]&gt;1,VENTAS[[#This Row],[Total]]*10%,0)</f>
        <v>0</v>
      </c>
      <c r="K70" s="35">
        <f>IFERROR(VLOOKUP(VENTAS[[#This Row],[Código del producto Vendido]],STOCK[],16,FALSE)*VENTAS[[#This Row],[Cantidad]]+VLOOKUP(VENTAS[[#This Row],[Código del producto Vendido]],STOCK[],19,FALSE)*VENTAS[[#This Row],[Cantidad]],VENTAS[[#This Row],[Total]])</f>
        <v>15</v>
      </c>
      <c r="L70" s="35">
        <f>VENTAS[[#This Row],[Total]]-VENTAS[[#This Row],[Comisión 10%]]-VENTAS[[#This Row],[Costo SIN Comision]]</f>
        <v>0</v>
      </c>
      <c r="M70" s="35"/>
    </row>
    <row r="71" ht="20" customHeight="1" spans="1:13">
      <c r="A71" s="29"/>
      <c r="B71" s="30" t="s">
        <v>3295</v>
      </c>
      <c r="C71" s="30"/>
      <c r="D71" s="30"/>
      <c r="E71" s="30" t="s">
        <v>408</v>
      </c>
      <c r="F71" s="30" t="str">
        <f>IFERROR(VLOOKUP(VENTAS[[#This Row],[Código del producto Vendido]],STOCK[],5,FALSE),"-")</f>
        <v>Bañador una pieza de color combinado </v>
      </c>
      <c r="G71" s="34">
        <v>1</v>
      </c>
      <c r="H71" s="35">
        <v>20</v>
      </c>
      <c r="I71" s="35">
        <f>VENTAS[[#This Row],[Cantidad]]*VENTAS[[#This Row],[Precio Venta]]</f>
        <v>20</v>
      </c>
      <c r="J71" s="35">
        <f>IF(VENTAS[[#This Row],[Nombre del Gestor]]&gt;1,VENTAS[[#This Row],[Total]]*10%,0)</f>
        <v>0</v>
      </c>
      <c r="K71" s="35">
        <f>IFERROR(VLOOKUP(VENTAS[[#This Row],[Código del producto Vendido]],STOCK[],16,FALSE)*VENTAS[[#This Row],[Cantidad]]+VLOOKUP(VENTAS[[#This Row],[Código del producto Vendido]],STOCK[],19,FALSE)*VENTAS[[#This Row],[Cantidad]],VENTAS[[#This Row],[Total]])</f>
        <v>9.66666666666667</v>
      </c>
      <c r="L71" s="35">
        <f>VENTAS[[#This Row],[Total]]-VENTAS[[#This Row],[Comisión 10%]]-VENTAS[[#This Row],[Costo SIN Comision]]</f>
        <v>10.3333333333333</v>
      </c>
      <c r="M71" s="35"/>
    </row>
    <row r="72" ht="20" customHeight="1" spans="1:13">
      <c r="A72" s="29"/>
      <c r="B72" s="30" t="s">
        <v>3295</v>
      </c>
      <c r="C72" s="30"/>
      <c r="D72" s="30"/>
      <c r="E72" s="30" t="s">
        <v>409</v>
      </c>
      <c r="F72" s="30" t="str">
        <f>IFERROR(VLOOKUP(VENTAS[[#This Row],[Código del producto Vendido]],STOCK[],5,FALSE),"-")</f>
        <v>Bañador una pieza de color combinado </v>
      </c>
      <c r="G72" s="34">
        <v>1</v>
      </c>
      <c r="H72" s="35">
        <v>20</v>
      </c>
      <c r="I72" s="35">
        <f>VENTAS[[#This Row],[Cantidad]]*VENTAS[[#This Row],[Precio Venta]]</f>
        <v>20</v>
      </c>
      <c r="J72" s="35">
        <f>IF(VENTAS[[#This Row],[Nombre del Gestor]]&gt;1,VENTAS[[#This Row],[Total]]*10%,0)</f>
        <v>0</v>
      </c>
      <c r="K72" s="35">
        <f>IFERROR(VLOOKUP(VENTAS[[#This Row],[Código del producto Vendido]],STOCK[],16,FALSE)*VENTAS[[#This Row],[Cantidad]]+VLOOKUP(VENTAS[[#This Row],[Código del producto Vendido]],STOCK[],19,FALSE)*VENTAS[[#This Row],[Cantidad]],VENTAS[[#This Row],[Total]])</f>
        <v>9.66666666666667</v>
      </c>
      <c r="L72" s="35">
        <f>VENTAS[[#This Row],[Total]]-VENTAS[[#This Row],[Comisión 10%]]-VENTAS[[#This Row],[Costo SIN Comision]]</f>
        <v>10.3333333333333</v>
      </c>
      <c r="M72" s="35"/>
    </row>
    <row r="73" ht="20" customHeight="1" spans="1:13">
      <c r="A73" s="29"/>
      <c r="B73" s="30" t="s">
        <v>3295</v>
      </c>
      <c r="C73" s="30"/>
      <c r="D73" s="30"/>
      <c r="E73" s="30" t="s">
        <v>605</v>
      </c>
      <c r="F73" s="30" t="str">
        <f>IFERROR(VLOOKUP(VENTAS[[#This Row],[Código del producto Vendido]],STOCK[],5,FALSE),"-")</f>
        <v>SHEIN Vestido con estampado floral pecho con fruncido con nudo delantero bajo con fruncido_L</v>
      </c>
      <c r="G73" s="34">
        <v>1</v>
      </c>
      <c r="H73" s="35">
        <v>20</v>
      </c>
      <c r="I73" s="35">
        <f>VENTAS[[#This Row],[Cantidad]]*VENTAS[[#This Row],[Precio Venta]]</f>
        <v>20</v>
      </c>
      <c r="J73" s="35">
        <f>IF(VENTAS[[#This Row],[Nombre del Gestor]]&gt;1,VENTAS[[#This Row],[Total]]*10%,0)</f>
        <v>0</v>
      </c>
      <c r="K73" s="35">
        <f>IFERROR(VLOOKUP(VENTAS[[#This Row],[Código del producto Vendido]],STOCK[],16,FALSE)*VENTAS[[#This Row],[Cantidad]]+VLOOKUP(VENTAS[[#This Row],[Código del producto Vendido]],STOCK[],19,FALSE)*VENTAS[[#This Row],[Cantidad]],VENTAS[[#This Row],[Total]])</f>
        <v>10.7222222222222</v>
      </c>
      <c r="L73" s="35">
        <f>VENTAS[[#This Row],[Total]]-VENTAS[[#This Row],[Comisión 10%]]-VENTAS[[#This Row],[Costo SIN Comision]]</f>
        <v>9.27777777777778</v>
      </c>
      <c r="M73" s="35"/>
    </row>
    <row r="74" ht="20" customHeight="1" spans="1:13">
      <c r="A74" s="29"/>
      <c r="B74" s="30" t="s">
        <v>3295</v>
      </c>
      <c r="C74" s="30"/>
      <c r="D74" s="30"/>
      <c r="E74" s="30" t="s">
        <v>3304</v>
      </c>
      <c r="F74" s="30" t="str">
        <f>IFERROR(VLOOKUP(VENTAS[[#This Row],[Código del producto Vendido]],STOCK[],5,FALSE),"-")</f>
        <v>-</v>
      </c>
      <c r="G74" s="34">
        <v>1</v>
      </c>
      <c r="H74" s="35">
        <v>15</v>
      </c>
      <c r="I74" s="35">
        <f>VENTAS[[#This Row],[Cantidad]]*VENTAS[[#This Row],[Precio Venta]]</f>
        <v>15</v>
      </c>
      <c r="J74" s="35">
        <f>IF(VENTAS[[#This Row],[Nombre del Gestor]]&gt;1,VENTAS[[#This Row],[Total]]*10%,0)</f>
        <v>0</v>
      </c>
      <c r="K74" s="35">
        <f>IFERROR(VLOOKUP(VENTAS[[#This Row],[Código del producto Vendido]],STOCK[],16,FALSE)*VENTAS[[#This Row],[Cantidad]]+VLOOKUP(VENTAS[[#This Row],[Código del producto Vendido]],STOCK[],19,FALSE)*VENTAS[[#This Row],[Cantidad]],VENTAS[[#This Row],[Total]])</f>
        <v>15</v>
      </c>
      <c r="L74" s="35">
        <f>VENTAS[[#This Row],[Total]]-VENTAS[[#This Row],[Comisión 10%]]-VENTAS[[#This Row],[Costo SIN Comision]]</f>
        <v>0</v>
      </c>
      <c r="M74" s="35"/>
    </row>
    <row r="75" ht="20" customHeight="1" spans="1:13">
      <c r="A75" s="29"/>
      <c r="B75" s="30" t="s">
        <v>3295</v>
      </c>
      <c r="C75" s="30"/>
      <c r="D75" s="30"/>
      <c r="E75" s="30" t="s">
        <v>620</v>
      </c>
      <c r="F75" s="30" t="str">
        <f>IFERROR(VLOOKUP(VENTAS[[#This Row],[Código del producto Vendido]],STOCK[],5,FALSE),"-")</f>
        <v>Vestido pecho con fruncido cruzado cintura con estampado floral_S</v>
      </c>
      <c r="G75" s="34">
        <v>3</v>
      </c>
      <c r="H75" s="35">
        <v>20</v>
      </c>
      <c r="I75" s="35">
        <f>VENTAS[[#This Row],[Cantidad]]*VENTAS[[#This Row],[Precio Venta]]</f>
        <v>60</v>
      </c>
      <c r="J75" s="35">
        <f>IF(VENTAS[[#This Row],[Nombre del Gestor]]&gt;1,VENTAS[[#This Row],[Total]]*10%,0)</f>
        <v>0</v>
      </c>
      <c r="K75" s="35">
        <f>IFERROR(VLOOKUP(VENTAS[[#This Row],[Código del producto Vendido]],STOCK[],16,FALSE)*VENTAS[[#This Row],[Cantidad]]+VLOOKUP(VENTAS[[#This Row],[Código del producto Vendido]],STOCK[],19,FALSE)*VENTAS[[#This Row],[Cantidad]],VENTAS[[#This Row],[Total]])</f>
        <v>32.1666666666667</v>
      </c>
      <c r="L75" s="35">
        <f>VENTAS[[#This Row],[Total]]-VENTAS[[#This Row],[Comisión 10%]]-VENTAS[[#This Row],[Costo SIN Comision]]</f>
        <v>27.8333333333333</v>
      </c>
      <c r="M75" s="35"/>
    </row>
    <row r="76" ht="20" customHeight="1" spans="1:13">
      <c r="A76" s="29"/>
      <c r="B76" s="30" t="s">
        <v>3295</v>
      </c>
      <c r="C76" s="30"/>
      <c r="D76" s="30"/>
      <c r="E76" s="30" t="s">
        <v>622</v>
      </c>
      <c r="F76" s="30" t="str">
        <f>IFERROR(VLOOKUP(VENTAS[[#This Row],[Código del producto Vendido]],STOCK[],5,FALSE),"-")</f>
        <v>Vestido pecho con fruncido cruzado cintura con estampado floral_M</v>
      </c>
      <c r="G76" s="34">
        <v>3</v>
      </c>
      <c r="H76" s="35">
        <v>20</v>
      </c>
      <c r="I76" s="35">
        <f>VENTAS[[#This Row],[Cantidad]]*VENTAS[[#This Row],[Precio Venta]]</f>
        <v>60</v>
      </c>
      <c r="J76" s="35">
        <f>IF(VENTAS[[#This Row],[Nombre del Gestor]]&gt;1,VENTAS[[#This Row],[Total]]*10%,0)</f>
        <v>0</v>
      </c>
      <c r="K76" s="35">
        <f>IFERROR(VLOOKUP(VENTAS[[#This Row],[Código del producto Vendido]],STOCK[],16,FALSE)*VENTAS[[#This Row],[Cantidad]]+VLOOKUP(VENTAS[[#This Row],[Código del producto Vendido]],STOCK[],19,FALSE)*VENTAS[[#This Row],[Cantidad]],VENTAS[[#This Row],[Total]])</f>
        <v>32.1666666666667</v>
      </c>
      <c r="L76" s="35">
        <f>VENTAS[[#This Row],[Total]]-VENTAS[[#This Row],[Comisión 10%]]-VENTAS[[#This Row],[Costo SIN Comision]]</f>
        <v>27.8333333333333</v>
      </c>
      <c r="M76" s="35"/>
    </row>
    <row r="77" ht="20" customHeight="1" spans="1:13">
      <c r="A77" s="29"/>
      <c r="B77" s="30" t="s">
        <v>3295</v>
      </c>
      <c r="C77" s="30"/>
      <c r="D77" s="30"/>
      <c r="E77" s="30" t="s">
        <v>624</v>
      </c>
      <c r="F77" s="30" t="str">
        <f>IFERROR(VLOOKUP(VENTAS[[#This Row],[Código del producto Vendido]],STOCK[],5,FALSE),"-")</f>
        <v>Vestido pecho con fruncido cruzado cintura con estampado floral_L</v>
      </c>
      <c r="G77" s="34">
        <v>2</v>
      </c>
      <c r="H77" s="35">
        <v>20</v>
      </c>
      <c r="I77" s="35">
        <f>VENTAS[[#This Row],[Cantidad]]*VENTAS[[#This Row],[Precio Venta]]</f>
        <v>40</v>
      </c>
      <c r="J77" s="35">
        <f>IF(VENTAS[[#This Row],[Nombre del Gestor]]&gt;1,VENTAS[[#This Row],[Total]]*10%,0)</f>
        <v>0</v>
      </c>
      <c r="K77" s="35">
        <f>IFERROR(VLOOKUP(VENTAS[[#This Row],[Código del producto Vendido]],STOCK[],16,FALSE)*VENTAS[[#This Row],[Cantidad]]+VLOOKUP(VENTAS[[#This Row],[Código del producto Vendido]],STOCK[],19,FALSE)*VENTAS[[#This Row],[Cantidad]],VENTAS[[#This Row],[Total]])</f>
        <v>21.4444444444444</v>
      </c>
      <c r="L77" s="35">
        <f>VENTAS[[#This Row],[Total]]-VENTAS[[#This Row],[Comisión 10%]]-VENTAS[[#This Row],[Costo SIN Comision]]</f>
        <v>18.5555555555556</v>
      </c>
      <c r="M77" s="35"/>
    </row>
    <row r="78" ht="20" customHeight="1" spans="1:13">
      <c r="A78" s="29"/>
      <c r="B78" s="30" t="s">
        <v>3295</v>
      </c>
      <c r="C78" s="30"/>
      <c r="D78" s="30"/>
      <c r="E78" s="30" t="s">
        <v>611</v>
      </c>
      <c r="F78" s="30" t="str">
        <f>IFERROR(VLOOKUP(VENTAS[[#This Row],[Código del producto Vendido]],STOCK[],5,FALSE),"-")</f>
        <v>SHEIN Vestido fruncido de cuello con cordón de manga con volante de lunares_M</v>
      </c>
      <c r="G78" s="34">
        <v>3</v>
      </c>
      <c r="H78" s="35">
        <v>20</v>
      </c>
      <c r="I78" s="35">
        <f>VENTAS[[#This Row],[Cantidad]]*VENTAS[[#This Row],[Precio Venta]]</f>
        <v>60</v>
      </c>
      <c r="J78" s="35">
        <f>IF(VENTAS[[#This Row],[Nombre del Gestor]]&gt;1,VENTAS[[#This Row],[Total]]*10%,0)</f>
        <v>0</v>
      </c>
      <c r="K78" s="35">
        <f>IFERROR(VLOOKUP(VENTAS[[#This Row],[Código del producto Vendido]],STOCK[],16,FALSE)*VENTAS[[#This Row],[Cantidad]]+VLOOKUP(VENTAS[[#This Row],[Código del producto Vendido]],STOCK[],19,FALSE)*VENTAS[[#This Row],[Cantidad]],VENTAS[[#This Row],[Total]])</f>
        <v>32.1666666666667</v>
      </c>
      <c r="L78" s="35">
        <f>VENTAS[[#This Row],[Total]]-VENTAS[[#This Row],[Comisión 10%]]-VENTAS[[#This Row],[Costo SIN Comision]]</f>
        <v>27.8333333333333</v>
      </c>
      <c r="M78" s="35"/>
    </row>
    <row r="79" ht="20" customHeight="1" spans="1:13">
      <c r="A79" s="29"/>
      <c r="B79" s="30" t="s">
        <v>3295</v>
      </c>
      <c r="C79" s="30"/>
      <c r="D79" s="30"/>
      <c r="E79" s="30" t="s">
        <v>609</v>
      </c>
      <c r="F79" s="30" t="str">
        <f>IFERROR(VLOOKUP(VENTAS[[#This Row],[Código del producto Vendido]],STOCK[],5,FALSE),"-")</f>
        <v>SHEIN Vestido fruncido de cuello con cordón de manga con volante de lunares_XS</v>
      </c>
      <c r="G79" s="34">
        <v>3</v>
      </c>
      <c r="H79" s="35">
        <v>20</v>
      </c>
      <c r="I79" s="35">
        <f>VENTAS[[#This Row],[Cantidad]]*VENTAS[[#This Row],[Precio Venta]]</f>
        <v>60</v>
      </c>
      <c r="J79" s="35">
        <f>IF(VENTAS[[#This Row],[Nombre del Gestor]]&gt;1,VENTAS[[#This Row],[Total]]*10%,0)</f>
        <v>0</v>
      </c>
      <c r="K79" s="35">
        <f>IFERROR(VLOOKUP(VENTAS[[#This Row],[Código del producto Vendido]],STOCK[],16,FALSE)*VENTAS[[#This Row],[Cantidad]]+VLOOKUP(VENTAS[[#This Row],[Código del producto Vendido]],STOCK[],19,FALSE)*VENTAS[[#This Row],[Cantidad]],VENTAS[[#This Row],[Total]])</f>
        <v>32.1666666666667</v>
      </c>
      <c r="L79" s="35">
        <f>VENTAS[[#This Row],[Total]]-VENTAS[[#This Row],[Comisión 10%]]-VENTAS[[#This Row],[Costo SIN Comision]]</f>
        <v>27.8333333333333</v>
      </c>
      <c r="M79" s="35"/>
    </row>
    <row r="80" ht="20" customHeight="1" spans="1:13">
      <c r="A80" s="29"/>
      <c r="B80" s="30" t="s">
        <v>3295</v>
      </c>
      <c r="C80" s="30"/>
      <c r="D80" s="30"/>
      <c r="E80" s="30" t="s">
        <v>674</v>
      </c>
      <c r="F80" s="30" t="str">
        <f>IFERROR(VLOOKUP(VENTAS[[#This Row],[Código del producto Vendido]],STOCK[],5,FALSE),"-")</f>
        <v>SHEIN Frenchy Vestido de leopardo &amp; piel de tigre con estampado de manga mariposa sin cinturón_S</v>
      </c>
      <c r="G80" s="34">
        <v>3</v>
      </c>
      <c r="H80" s="35">
        <v>20</v>
      </c>
      <c r="I80" s="35">
        <f>VENTAS[[#This Row],[Cantidad]]*VENTAS[[#This Row],[Precio Venta]]</f>
        <v>60</v>
      </c>
      <c r="J80" s="35">
        <f>IF(VENTAS[[#This Row],[Nombre del Gestor]]&gt;1,VENTAS[[#This Row],[Total]]*10%,0)</f>
        <v>0</v>
      </c>
      <c r="K80" s="35">
        <f>IFERROR(VLOOKUP(VENTAS[[#This Row],[Código del producto Vendido]],STOCK[],16,FALSE)*VENTAS[[#This Row],[Cantidad]]+VLOOKUP(VENTAS[[#This Row],[Código del producto Vendido]],STOCK[],19,FALSE)*VENTAS[[#This Row],[Cantidad]],VENTAS[[#This Row],[Total]])</f>
        <v>32.1666666666667</v>
      </c>
      <c r="L80" s="35">
        <f>VENTAS[[#This Row],[Total]]-VENTAS[[#This Row],[Comisión 10%]]-VENTAS[[#This Row],[Costo SIN Comision]]</f>
        <v>27.8333333333333</v>
      </c>
      <c r="M80" s="35"/>
    </row>
    <row r="81" ht="20" customHeight="1" spans="1:13">
      <c r="A81" s="29"/>
      <c r="B81" s="30" t="s">
        <v>3295</v>
      </c>
      <c r="C81" s="30"/>
      <c r="D81" s="30"/>
      <c r="E81" s="30" t="s">
        <v>680</v>
      </c>
      <c r="F81" s="30" t="str">
        <f>IFERROR(VLOOKUP(VENTAS[[#This Row],[Código del producto Vendido]],STOCK[],5,FALSE),"-")</f>
        <v>Vestido de espalda abierta de manga farol_L</v>
      </c>
      <c r="G81" s="34">
        <v>3</v>
      </c>
      <c r="H81" s="35">
        <v>20</v>
      </c>
      <c r="I81" s="35">
        <f>VENTAS[[#This Row],[Cantidad]]*VENTAS[[#This Row],[Precio Venta]]</f>
        <v>60</v>
      </c>
      <c r="J81" s="35">
        <f>IF(VENTAS[[#This Row],[Nombre del Gestor]]&gt;1,VENTAS[[#This Row],[Total]]*10%,0)</f>
        <v>0</v>
      </c>
      <c r="K81" s="35">
        <f>IFERROR(VLOOKUP(VENTAS[[#This Row],[Código del producto Vendido]],STOCK[],16,FALSE)*VENTAS[[#This Row],[Cantidad]]+VLOOKUP(VENTAS[[#This Row],[Código del producto Vendido]],STOCK[],19,FALSE)*VENTAS[[#This Row],[Cantidad]],VENTAS[[#This Row],[Total]])</f>
        <v>32.1666666666667</v>
      </c>
      <c r="L81" s="35">
        <f>VENTAS[[#This Row],[Total]]-VENTAS[[#This Row],[Comisión 10%]]-VENTAS[[#This Row],[Costo SIN Comision]]</f>
        <v>27.8333333333333</v>
      </c>
      <c r="M81" s="35"/>
    </row>
    <row r="82" ht="20" customHeight="1" spans="1:13">
      <c r="A82" s="29"/>
      <c r="B82" s="30" t="s">
        <v>3295</v>
      </c>
      <c r="C82" s="30"/>
      <c r="D82" s="30"/>
      <c r="E82" s="30" t="s">
        <v>682</v>
      </c>
      <c r="F82" s="30" t="str">
        <f>IFERROR(VLOOKUP(VENTAS[[#This Row],[Código del producto Vendido]],STOCK[],5,FALSE),"-")</f>
        <v>Vestido de espalda abierta de manga farol_M</v>
      </c>
      <c r="G82" s="34">
        <v>3</v>
      </c>
      <c r="H82" s="35">
        <v>20</v>
      </c>
      <c r="I82" s="35">
        <f>VENTAS[[#This Row],[Cantidad]]*VENTAS[[#This Row],[Precio Venta]]</f>
        <v>60</v>
      </c>
      <c r="J82" s="35">
        <f>IF(VENTAS[[#This Row],[Nombre del Gestor]]&gt;1,VENTAS[[#This Row],[Total]]*10%,0)</f>
        <v>0</v>
      </c>
      <c r="K82" s="35">
        <f>IFERROR(VLOOKUP(VENTAS[[#This Row],[Código del producto Vendido]],STOCK[],16,FALSE)*VENTAS[[#This Row],[Cantidad]]+VLOOKUP(VENTAS[[#This Row],[Código del producto Vendido]],STOCK[],19,FALSE)*VENTAS[[#This Row],[Cantidad]],VENTAS[[#This Row],[Total]])</f>
        <v>32.1666666666667</v>
      </c>
      <c r="L82" s="35">
        <f>VENTAS[[#This Row],[Total]]-VENTAS[[#This Row],[Comisión 10%]]-VENTAS[[#This Row],[Costo SIN Comision]]</f>
        <v>27.8333333333333</v>
      </c>
      <c r="M82" s="35"/>
    </row>
    <row r="83" ht="20" customHeight="1" spans="1:13">
      <c r="A83" s="29"/>
      <c r="B83" s="30" t="s">
        <v>3295</v>
      </c>
      <c r="C83" s="30"/>
      <c r="D83" s="30"/>
      <c r="E83" s="30" t="s">
        <v>573</v>
      </c>
      <c r="F83" s="30" t="str">
        <f>IFERROR(VLOOKUP(VENTAS[[#This Row],[Código del producto Vendido]],STOCK[],5,FALSE),"-")</f>
        <v>Vestido de manga farol de cuello cuadrado_XS</v>
      </c>
      <c r="G83" s="34">
        <v>3</v>
      </c>
      <c r="H83" s="35">
        <v>15</v>
      </c>
      <c r="I83" s="35">
        <f>VENTAS[[#This Row],[Cantidad]]*VENTAS[[#This Row],[Precio Venta]]</f>
        <v>45</v>
      </c>
      <c r="J83" s="35">
        <f>IF(VENTAS[[#This Row],[Nombre del Gestor]]&gt;1,VENTAS[[#This Row],[Total]]*10%,0)</f>
        <v>0</v>
      </c>
      <c r="K83" s="35">
        <f>IFERROR(VLOOKUP(VENTAS[[#This Row],[Código del producto Vendido]],STOCK[],16,FALSE)*VENTAS[[#This Row],[Cantidad]]+VLOOKUP(VENTAS[[#This Row],[Código del producto Vendido]],STOCK[],19,FALSE)*VENTAS[[#This Row],[Cantidad]],VENTAS[[#This Row],[Total]])</f>
        <v>32.1666666666667</v>
      </c>
      <c r="L83" s="35">
        <f>VENTAS[[#This Row],[Total]]-VENTAS[[#This Row],[Comisión 10%]]-VENTAS[[#This Row],[Costo SIN Comision]]</f>
        <v>12.8333333333333</v>
      </c>
      <c r="M83" s="35"/>
    </row>
    <row r="84" ht="20" customHeight="1" spans="1:13">
      <c r="A84" s="29"/>
      <c r="B84" s="30" t="s">
        <v>3295</v>
      </c>
      <c r="C84" s="30"/>
      <c r="D84" s="30"/>
      <c r="E84" s="30" t="s">
        <v>571</v>
      </c>
      <c r="F84" s="30" t="str">
        <f>IFERROR(VLOOKUP(VENTAS[[#This Row],[Código del producto Vendido]],STOCK[],5,FALSE),"-")</f>
        <v>Vestido de manga farol de cuello cuadrado_S</v>
      </c>
      <c r="G84" s="34">
        <v>3</v>
      </c>
      <c r="H84" s="35">
        <v>15</v>
      </c>
      <c r="I84" s="35">
        <f>VENTAS[[#This Row],[Cantidad]]*VENTAS[[#This Row],[Precio Venta]]</f>
        <v>45</v>
      </c>
      <c r="J84" s="35">
        <f>IF(VENTAS[[#This Row],[Nombre del Gestor]]&gt;1,VENTAS[[#This Row],[Total]]*10%,0)</f>
        <v>0</v>
      </c>
      <c r="K84" s="35">
        <f>IFERROR(VLOOKUP(VENTAS[[#This Row],[Código del producto Vendido]],STOCK[],16,FALSE)*VENTAS[[#This Row],[Cantidad]]+VLOOKUP(VENTAS[[#This Row],[Código del producto Vendido]],STOCK[],19,FALSE)*VENTAS[[#This Row],[Cantidad]],VENTAS[[#This Row],[Total]])</f>
        <v>32.1666666666667</v>
      </c>
      <c r="L84" s="35">
        <f>VENTAS[[#This Row],[Total]]-VENTAS[[#This Row],[Comisión 10%]]-VENTAS[[#This Row],[Costo SIN Comision]]</f>
        <v>12.8333333333333</v>
      </c>
      <c r="M84" s="35"/>
    </row>
    <row r="85" ht="20" customHeight="1" spans="1:13">
      <c r="A85" s="29"/>
      <c r="B85" s="30" t="s">
        <v>3295</v>
      </c>
      <c r="C85" s="30"/>
      <c r="D85" s="30"/>
      <c r="E85" s="30" t="s">
        <v>569</v>
      </c>
      <c r="F85" s="30" t="str">
        <f>IFERROR(VLOOKUP(VENTAS[[#This Row],[Código del producto Vendido]],STOCK[],5,FALSE),"-")</f>
        <v>Vestido de manga farol de cuello cuadrado_M</v>
      </c>
      <c r="G85" s="34">
        <v>3</v>
      </c>
      <c r="H85" s="35">
        <v>15</v>
      </c>
      <c r="I85" s="35">
        <f>VENTAS[[#This Row],[Cantidad]]*VENTAS[[#This Row],[Precio Venta]]</f>
        <v>45</v>
      </c>
      <c r="J85" s="35">
        <f>IF(VENTAS[[#This Row],[Nombre del Gestor]]&gt;1,VENTAS[[#This Row],[Total]]*10%,0)</f>
        <v>0</v>
      </c>
      <c r="K85" s="35">
        <f>IFERROR(VLOOKUP(VENTAS[[#This Row],[Código del producto Vendido]],STOCK[],16,FALSE)*VENTAS[[#This Row],[Cantidad]]+VLOOKUP(VENTAS[[#This Row],[Código del producto Vendido]],STOCK[],19,FALSE)*VENTAS[[#This Row],[Cantidad]],VENTAS[[#This Row],[Total]])</f>
        <v>32.1666666666667</v>
      </c>
      <c r="L85" s="35">
        <f>VENTAS[[#This Row],[Total]]-VENTAS[[#This Row],[Comisión 10%]]-VENTAS[[#This Row],[Costo SIN Comision]]</f>
        <v>12.8333333333333</v>
      </c>
      <c r="M85" s="35"/>
    </row>
    <row r="86" ht="20" customHeight="1" spans="1:13">
      <c r="A86" s="29"/>
      <c r="B86" s="30" t="s">
        <v>3295</v>
      </c>
      <c r="C86" s="30"/>
      <c r="D86" s="30"/>
      <c r="E86" s="30" t="s">
        <v>567</v>
      </c>
      <c r="F86" s="30" t="str">
        <f>IFERROR(VLOOKUP(VENTAS[[#This Row],[Código del producto Vendido]],STOCK[],5,FALSE),"-")</f>
        <v>Vestido de manga farol de cuello cuadrado_L</v>
      </c>
      <c r="G86" s="34">
        <v>3</v>
      </c>
      <c r="H86" s="35">
        <v>15</v>
      </c>
      <c r="I86" s="35">
        <f>VENTAS[[#This Row],[Cantidad]]*VENTAS[[#This Row],[Precio Venta]]</f>
        <v>45</v>
      </c>
      <c r="J86" s="35">
        <f>IF(VENTAS[[#This Row],[Nombre del Gestor]]&gt;1,VENTAS[[#This Row],[Total]]*10%,0)</f>
        <v>0</v>
      </c>
      <c r="K86" s="35">
        <f>IFERROR(VLOOKUP(VENTAS[[#This Row],[Código del producto Vendido]],STOCK[],16,FALSE)*VENTAS[[#This Row],[Cantidad]]+VLOOKUP(VENTAS[[#This Row],[Código del producto Vendido]],STOCK[],19,FALSE)*VENTAS[[#This Row],[Cantidad]],VENTAS[[#This Row],[Total]])</f>
        <v>32.1666666666667</v>
      </c>
      <c r="L86" s="35">
        <f>VENTAS[[#This Row],[Total]]-VENTAS[[#This Row],[Comisión 10%]]-VENTAS[[#This Row],[Costo SIN Comision]]</f>
        <v>12.8333333333333</v>
      </c>
      <c r="M86" s="35"/>
    </row>
    <row r="87" ht="20" customHeight="1" spans="1:13">
      <c r="A87" s="29"/>
      <c r="B87" s="30" t="s">
        <v>3295</v>
      </c>
      <c r="C87" s="30"/>
      <c r="D87" s="30"/>
      <c r="E87" s="30" t="s">
        <v>498</v>
      </c>
      <c r="F87" s="30" t="str">
        <f>IFERROR(VLOOKUP(VENTAS[[#This Row],[Código del producto Vendido]],STOCK[],5,FALSE),"-")</f>
        <v>Vestido Bohemio</v>
      </c>
      <c r="G87" s="34">
        <v>1</v>
      </c>
      <c r="H87" s="35">
        <v>25</v>
      </c>
      <c r="I87" s="35">
        <f>VENTAS[[#This Row],[Cantidad]]*VENTAS[[#This Row],[Precio Venta]]</f>
        <v>25</v>
      </c>
      <c r="J87" s="35">
        <f>IF(VENTAS[[#This Row],[Nombre del Gestor]]&gt;1,VENTAS[[#This Row],[Total]]*10%,0)</f>
        <v>0</v>
      </c>
      <c r="K87" s="35">
        <f>IFERROR(VLOOKUP(VENTAS[[#This Row],[Código del producto Vendido]],STOCK[],16,FALSE)*VENTAS[[#This Row],[Cantidad]]+VLOOKUP(VENTAS[[#This Row],[Código del producto Vendido]],STOCK[],19,FALSE)*VENTAS[[#This Row],[Cantidad]],VENTAS[[#This Row],[Total]])</f>
        <v>10.1894444444444</v>
      </c>
      <c r="L87" s="35">
        <f>VENTAS[[#This Row],[Total]]-VENTAS[[#This Row],[Comisión 10%]]-VENTAS[[#This Row],[Costo SIN Comision]]</f>
        <v>14.8105555555556</v>
      </c>
      <c r="M87" s="35"/>
    </row>
    <row r="88" ht="20" customHeight="1" spans="1:13">
      <c r="A88" s="29"/>
      <c r="B88" s="30" t="s">
        <v>3295</v>
      </c>
      <c r="C88" s="30"/>
      <c r="D88" s="30"/>
      <c r="E88" s="30" t="s">
        <v>451</v>
      </c>
      <c r="F88" s="30" t="str">
        <f>IFERROR(VLOOKUP(VENTAS[[#This Row],[Código del producto Vendido]],STOCK[],5,FALSE),"-")</f>
        <v>Bañador bikini de manga raglán con cordón floral</v>
      </c>
      <c r="G88" s="34">
        <v>3</v>
      </c>
      <c r="H88" s="35">
        <v>25</v>
      </c>
      <c r="I88" s="35">
        <f>VENTAS[[#This Row],[Cantidad]]*VENTAS[[#This Row],[Precio Venta]]</f>
        <v>75</v>
      </c>
      <c r="J88" s="35">
        <f>IF(VENTAS[[#This Row],[Nombre del Gestor]]&gt;1,VENTAS[[#This Row],[Total]]*10%,0)</f>
        <v>0</v>
      </c>
      <c r="K88" s="35">
        <f>IFERROR(VLOOKUP(VENTAS[[#This Row],[Código del producto Vendido]],STOCK[],16,FALSE)*VENTAS[[#This Row],[Cantidad]]+VLOOKUP(VENTAS[[#This Row],[Código del producto Vendido]],STOCK[],19,FALSE)*VENTAS[[#This Row],[Cantidad]],VENTAS[[#This Row],[Total]])</f>
        <v>59.3833333333332</v>
      </c>
      <c r="L88" s="35">
        <f>VENTAS[[#This Row],[Total]]-VENTAS[[#This Row],[Comisión 10%]]-VENTAS[[#This Row],[Costo SIN Comision]]</f>
        <v>15.6166666666668</v>
      </c>
      <c r="M88" s="35"/>
    </row>
    <row r="89" ht="20" customHeight="1" spans="1:13">
      <c r="A89" s="29"/>
      <c r="B89" s="30" t="s">
        <v>3295</v>
      </c>
      <c r="C89" s="30"/>
      <c r="D89" s="30"/>
      <c r="E89" s="30" t="s">
        <v>323</v>
      </c>
      <c r="F89" s="30" t="str">
        <f>IFERROR(VLOOKUP(VENTAS[[#This Row],[Código del producto Vendido]],STOCK[],5,FALSE),"-")</f>
        <v>Vestido Tie-Dye Bohemio</v>
      </c>
      <c r="G89" s="34">
        <v>1</v>
      </c>
      <c r="H89" s="35">
        <v>12</v>
      </c>
      <c r="I89" s="35">
        <f>VENTAS[[#This Row],[Cantidad]]*VENTAS[[#This Row],[Precio Venta]]</f>
        <v>12</v>
      </c>
      <c r="J89" s="35">
        <f>IF(VENTAS[[#This Row],[Nombre del Gestor]]&gt;1,VENTAS[[#This Row],[Total]]*10%,0)</f>
        <v>0</v>
      </c>
      <c r="K89" s="35">
        <f>IFERROR(VLOOKUP(VENTAS[[#This Row],[Código del producto Vendido]],STOCK[],16,FALSE)*VENTAS[[#This Row],[Cantidad]]+VLOOKUP(VENTAS[[#This Row],[Código del producto Vendido]],STOCK[],19,FALSE)*VENTAS[[#This Row],[Cantidad]],VENTAS[[#This Row],[Total]])</f>
        <v>7.24555555555556</v>
      </c>
      <c r="L89" s="35">
        <f>VENTAS[[#This Row],[Total]]-VENTAS[[#This Row],[Comisión 10%]]-VENTAS[[#This Row],[Costo SIN Comision]]</f>
        <v>4.75444444444444</v>
      </c>
      <c r="M89" s="35"/>
    </row>
    <row r="90" ht="20" customHeight="1" spans="1:13">
      <c r="A90" s="29"/>
      <c r="B90" s="30" t="s">
        <v>3295</v>
      </c>
      <c r="C90" s="30"/>
      <c r="D90" s="30"/>
      <c r="E90" s="30" t="s">
        <v>327</v>
      </c>
      <c r="F90" s="30" t="str">
        <f>IFERROR(VLOOKUP(VENTAS[[#This Row],[Código del producto Vendido]],STOCK[],5,FALSE),"-")</f>
        <v>Vestido tubo con abertura de muslo con abertura</v>
      </c>
      <c r="G90" s="34">
        <v>1</v>
      </c>
      <c r="H90" s="35">
        <v>15</v>
      </c>
      <c r="I90" s="35">
        <f>VENTAS[[#This Row],[Cantidad]]*VENTAS[[#This Row],[Precio Venta]]</f>
        <v>15</v>
      </c>
      <c r="J90" s="35">
        <f>IF(VENTAS[[#This Row],[Nombre del Gestor]]&gt;1,VENTAS[[#This Row],[Total]]*10%,0)</f>
        <v>0</v>
      </c>
      <c r="K90" s="35">
        <f>IFERROR(VLOOKUP(VENTAS[[#This Row],[Código del producto Vendido]],STOCK[],16,FALSE)*VENTAS[[#This Row],[Cantidad]]+VLOOKUP(VENTAS[[#This Row],[Código del producto Vendido]],STOCK[],19,FALSE)*VENTAS[[#This Row],[Cantidad]],VENTAS[[#This Row],[Total]])</f>
        <v>12.14</v>
      </c>
      <c r="L90" s="35">
        <f>VENTAS[[#This Row],[Total]]-VENTAS[[#This Row],[Comisión 10%]]-VENTAS[[#This Row],[Costo SIN Comision]]</f>
        <v>2.86</v>
      </c>
      <c r="M90" s="35"/>
    </row>
    <row r="91" ht="20" customHeight="1" spans="1:13">
      <c r="A91" s="29"/>
      <c r="B91" s="30" t="s">
        <v>3295</v>
      </c>
      <c r="C91" s="30"/>
      <c r="D91" s="30"/>
      <c r="E91" s="30" t="s">
        <v>398</v>
      </c>
      <c r="F91" s="30" t="str">
        <f>IFERROR(VLOOKUP(VENTAS[[#This Row],[Código del producto Vendido]],STOCK[],5,FALSE),"-")</f>
        <v>EMERY ROSE Vestido Volante rígido Floral Sencillo_L</v>
      </c>
      <c r="G91" s="34">
        <v>1</v>
      </c>
      <c r="H91" s="35">
        <v>35</v>
      </c>
      <c r="I91" s="35">
        <f>VENTAS[[#This Row],[Cantidad]]*VENTAS[[#This Row],[Precio Venta]]</f>
        <v>35</v>
      </c>
      <c r="J91" s="35">
        <f>IF(VENTAS[[#This Row],[Nombre del Gestor]]&gt;1,VENTAS[[#This Row],[Total]]*10%,0)</f>
        <v>0</v>
      </c>
      <c r="K91" s="35">
        <f>IFERROR(VLOOKUP(VENTAS[[#This Row],[Código del producto Vendido]],STOCK[],16,FALSE)*VENTAS[[#This Row],[Cantidad]]+VLOOKUP(VENTAS[[#This Row],[Código del producto Vendido]],STOCK[],19,FALSE)*VENTAS[[#This Row],[Cantidad]],VENTAS[[#This Row],[Total]])</f>
        <v>19.21</v>
      </c>
      <c r="L91" s="35">
        <f>VENTAS[[#This Row],[Total]]-VENTAS[[#This Row],[Comisión 10%]]-VENTAS[[#This Row],[Costo SIN Comision]]</f>
        <v>15.79</v>
      </c>
      <c r="M91" s="35"/>
    </row>
    <row r="92" ht="20" customHeight="1" spans="1:13">
      <c r="A92" s="29"/>
      <c r="B92" s="30" t="s">
        <v>3295</v>
      </c>
      <c r="C92" s="30"/>
      <c r="D92" s="30"/>
      <c r="E92" s="30" t="s">
        <v>973</v>
      </c>
      <c r="F92" s="30" t="str">
        <f>IFERROR(VLOOKUP(VENTAS[[#This Row],[Código del producto Vendido]],STOCK[],5,FALSE),"-")</f>
        <v>Bañador despalda descubierta</v>
      </c>
      <c r="G92" s="34">
        <v>1</v>
      </c>
      <c r="H92" s="35">
        <v>25</v>
      </c>
      <c r="I92" s="35">
        <f>VENTAS[[#This Row],[Cantidad]]*VENTAS[[#This Row],[Precio Venta]]</f>
        <v>25</v>
      </c>
      <c r="J92" s="35">
        <f>IF(VENTAS[[#This Row],[Nombre del Gestor]]&gt;1,VENTAS[[#This Row],[Total]]*10%,0)</f>
        <v>0</v>
      </c>
      <c r="K92" s="35">
        <f>IFERROR(VLOOKUP(VENTAS[[#This Row],[Código del producto Vendido]],STOCK[],16,FALSE)*VENTAS[[#This Row],[Cantidad]]+VLOOKUP(VENTAS[[#This Row],[Código del producto Vendido]],STOCK[],19,FALSE)*VENTAS[[#This Row],[Cantidad]],VENTAS[[#This Row],[Total]])</f>
        <v>15.325</v>
      </c>
      <c r="L92" s="35">
        <f>VENTAS[[#This Row],[Total]]-VENTAS[[#This Row],[Comisión 10%]]-VENTAS[[#This Row],[Costo SIN Comision]]</f>
        <v>9.675</v>
      </c>
      <c r="M92" s="35"/>
    </row>
    <row r="93" ht="20" customHeight="1" spans="1:13">
      <c r="A93" s="29"/>
      <c r="B93" s="30" t="s">
        <v>3295</v>
      </c>
      <c r="C93" s="30"/>
      <c r="D93" s="30"/>
      <c r="E93" s="30" t="s">
        <v>394</v>
      </c>
      <c r="F93" s="30" t="str">
        <f>IFERROR(VLOOKUP(VENTAS[[#This Row],[Código del producto Vendido]],STOCK[],5,FALSE),"-")</f>
        <v>Bolsa cartera de cocodrilo_Naranja Quemada</v>
      </c>
      <c r="G93" s="34">
        <v>2</v>
      </c>
      <c r="H93" s="35">
        <v>16</v>
      </c>
      <c r="I93" s="35">
        <f>VENTAS[[#This Row],[Cantidad]]*VENTAS[[#This Row],[Precio Venta]]</f>
        <v>32</v>
      </c>
      <c r="J93" s="35">
        <f>IF(VENTAS[[#This Row],[Nombre del Gestor]]&gt;1,VENTAS[[#This Row],[Total]]*10%,0)</f>
        <v>0</v>
      </c>
      <c r="K93" s="35">
        <f>IFERROR(VLOOKUP(VENTAS[[#This Row],[Código del producto Vendido]],STOCK[],16,FALSE)*VENTAS[[#This Row],[Cantidad]]+VLOOKUP(VENTAS[[#This Row],[Código del producto Vendido]],STOCK[],19,FALSE)*VENTAS[[#This Row],[Cantidad]],VENTAS[[#This Row],[Total]])</f>
        <v>18.7577777777778</v>
      </c>
      <c r="L93" s="35">
        <f>VENTAS[[#This Row],[Total]]-VENTAS[[#This Row],[Comisión 10%]]-VENTAS[[#This Row],[Costo SIN Comision]]</f>
        <v>13.2422222222222</v>
      </c>
      <c r="M93" s="35"/>
    </row>
    <row r="94" ht="20" customHeight="1" spans="1:13">
      <c r="A94" s="29"/>
      <c r="B94" s="30" t="s">
        <v>3295</v>
      </c>
      <c r="C94" s="30"/>
      <c r="D94" s="30"/>
      <c r="E94" s="30" t="s">
        <v>385</v>
      </c>
      <c r="F94" s="30" t="str">
        <f>IFERROR(VLOOKUP(VENTAS[[#This Row],[Código del producto Vendido]],STOCK[],5,FALSE),"-")</f>
        <v>Bolsa cartera con manija_Negro</v>
      </c>
      <c r="G94" s="34">
        <v>2</v>
      </c>
      <c r="H94" s="35">
        <v>16</v>
      </c>
      <c r="I94" s="35">
        <f>VENTAS[[#This Row],[Cantidad]]*VENTAS[[#This Row],[Precio Venta]]</f>
        <v>32</v>
      </c>
      <c r="J94" s="35">
        <f>IF(VENTAS[[#This Row],[Nombre del Gestor]]&gt;1,VENTAS[[#This Row],[Total]]*10%,0)</f>
        <v>0</v>
      </c>
      <c r="K94" s="35">
        <f>IFERROR(VLOOKUP(VENTAS[[#This Row],[Código del producto Vendido]],STOCK[],16,FALSE)*VENTAS[[#This Row],[Cantidad]]+VLOOKUP(VENTAS[[#This Row],[Código del producto Vendido]],STOCK[],19,FALSE)*VENTAS[[#This Row],[Cantidad]],VENTAS[[#This Row],[Total]])</f>
        <v>15.6</v>
      </c>
      <c r="L94" s="35">
        <f>VENTAS[[#This Row],[Total]]-VENTAS[[#This Row],[Comisión 10%]]-VENTAS[[#This Row],[Costo SIN Comision]]</f>
        <v>16.4</v>
      </c>
      <c r="M94" s="35"/>
    </row>
    <row r="95" ht="20" customHeight="1" spans="1:13">
      <c r="A95" s="29"/>
      <c r="B95" s="30" t="s">
        <v>3295</v>
      </c>
      <c r="C95" s="30"/>
      <c r="D95" s="30"/>
      <c r="E95" s="30" t="s">
        <v>388</v>
      </c>
      <c r="F95" s="30" t="str">
        <f>IFERROR(VLOOKUP(VENTAS[[#This Row],[Código del producto Vendido]],STOCK[],5,FALSE),"-")</f>
        <v>Bolsa cartera con solapa con lagartija_Caqui</v>
      </c>
      <c r="G95" s="34">
        <v>2</v>
      </c>
      <c r="H95" s="35">
        <v>16</v>
      </c>
      <c r="I95" s="35">
        <f>VENTAS[[#This Row],[Cantidad]]*VENTAS[[#This Row],[Precio Venta]]</f>
        <v>32</v>
      </c>
      <c r="J95" s="35">
        <f>IF(VENTAS[[#This Row],[Nombre del Gestor]]&gt;1,VENTAS[[#This Row],[Total]]*10%,0)</f>
        <v>0</v>
      </c>
      <c r="K95" s="35">
        <f>IFERROR(VLOOKUP(VENTAS[[#This Row],[Código del producto Vendido]],STOCK[],16,FALSE)*VENTAS[[#This Row],[Cantidad]]+VLOOKUP(VENTAS[[#This Row],[Código del producto Vendido]],STOCK[],19,FALSE)*VENTAS[[#This Row],[Cantidad]],VENTAS[[#This Row],[Total]])</f>
        <v>16.0622222222222</v>
      </c>
      <c r="L95" s="35">
        <f>VENTAS[[#This Row],[Total]]-VENTAS[[#This Row],[Comisión 10%]]-VENTAS[[#This Row],[Costo SIN Comision]]</f>
        <v>15.9377777777778</v>
      </c>
      <c r="M95" s="35"/>
    </row>
    <row r="96" ht="20" customHeight="1" spans="1:13">
      <c r="A96" s="29"/>
      <c r="B96" s="30" t="s">
        <v>3295</v>
      </c>
      <c r="C96" s="30"/>
      <c r="D96" s="30"/>
      <c r="E96" s="30" t="s">
        <v>382</v>
      </c>
      <c r="F96" s="30" t="str">
        <f>IFERROR(VLOOKUP(VENTAS[[#This Row],[Código del producto Vendido]],STOCK[],5,FALSE),"-")</f>
        <v>Cinturón con hebilla_Unitalla</v>
      </c>
      <c r="G96" s="34">
        <v>1</v>
      </c>
      <c r="H96" s="35">
        <v>10</v>
      </c>
      <c r="I96" s="35">
        <f>VENTAS[[#This Row],[Cantidad]]*VENTAS[[#This Row],[Precio Venta]]</f>
        <v>10</v>
      </c>
      <c r="J96" s="35">
        <f>IF(VENTAS[[#This Row],[Nombre del Gestor]]&gt;1,VENTAS[[#This Row],[Total]]*10%,0)</f>
        <v>0</v>
      </c>
      <c r="K96" s="35">
        <f>IFERROR(VLOOKUP(VENTAS[[#This Row],[Código del producto Vendido]],STOCK[],16,FALSE)*VENTAS[[#This Row],[Cantidad]]+VLOOKUP(VENTAS[[#This Row],[Código del producto Vendido]],STOCK[],19,FALSE)*VENTAS[[#This Row],[Cantidad]],VENTAS[[#This Row],[Total]])</f>
        <v>5.72944444444444</v>
      </c>
      <c r="L96" s="35">
        <f>VENTAS[[#This Row],[Total]]-VENTAS[[#This Row],[Comisión 10%]]-VENTAS[[#This Row],[Costo SIN Comision]]</f>
        <v>4.27055555555556</v>
      </c>
      <c r="M96" s="35"/>
    </row>
    <row r="97" ht="20" customHeight="1" spans="1:13">
      <c r="A97" s="29"/>
      <c r="B97" s="30" t="s">
        <v>3295</v>
      </c>
      <c r="C97" s="30"/>
      <c r="D97" s="30"/>
      <c r="E97" s="30" t="s">
        <v>376</v>
      </c>
      <c r="F97" s="30" t="str">
        <f>IFERROR(VLOOKUP(VENTAS[[#This Row],[Código del producto Vendido]],STOCK[],5,FALSE),"-")</f>
        <v>SHEIN Felegant Vestido ajustado con estampado de leopardo_M</v>
      </c>
      <c r="G97" s="34">
        <v>1</v>
      </c>
      <c r="H97" s="35">
        <v>15</v>
      </c>
      <c r="I97" s="35">
        <f>VENTAS[[#This Row],[Cantidad]]*VENTAS[[#This Row],[Precio Venta]]</f>
        <v>15</v>
      </c>
      <c r="J97" s="35">
        <f>IF(VENTAS[[#This Row],[Nombre del Gestor]]&gt;1,VENTAS[[#This Row],[Total]]*10%,0)</f>
        <v>0</v>
      </c>
      <c r="K97" s="35">
        <f>IFERROR(VLOOKUP(VENTAS[[#This Row],[Código del producto Vendido]],STOCK[],16,FALSE)*VENTAS[[#This Row],[Cantidad]]+VLOOKUP(VENTAS[[#This Row],[Código del producto Vendido]],STOCK[],19,FALSE)*VENTAS[[#This Row],[Cantidad]],VENTAS[[#This Row],[Total]])</f>
        <v>7.24833333333333</v>
      </c>
      <c r="L97" s="35">
        <f>VENTAS[[#This Row],[Total]]-VENTAS[[#This Row],[Comisión 10%]]-VENTAS[[#This Row],[Costo SIN Comision]]</f>
        <v>7.75166666666667</v>
      </c>
      <c r="M97" s="35"/>
    </row>
    <row r="98" ht="20" customHeight="1" spans="1:13">
      <c r="A98" s="29"/>
      <c r="B98" s="30" t="s">
        <v>3295</v>
      </c>
      <c r="C98" s="30"/>
      <c r="D98" s="30"/>
      <c r="E98" s="30" t="s">
        <v>374</v>
      </c>
      <c r="F98" s="30" t="str">
        <f>IFERROR(VLOOKUP(VENTAS[[#This Row],[Código del producto Vendido]],STOCK[],5,FALSE),"-")</f>
        <v>SHEIN Belle Vestido de dama de honor de hombros descubiertos fruncido cruzado_S</v>
      </c>
      <c r="G98" s="34">
        <v>1</v>
      </c>
      <c r="H98" s="35">
        <v>30</v>
      </c>
      <c r="I98" s="35">
        <f>VENTAS[[#This Row],[Cantidad]]*VENTAS[[#This Row],[Precio Venta]]</f>
        <v>30</v>
      </c>
      <c r="J98" s="35">
        <f>IF(VENTAS[[#This Row],[Nombre del Gestor]]&gt;1,VENTAS[[#This Row],[Total]]*10%,0)</f>
        <v>0</v>
      </c>
      <c r="K98" s="35">
        <f>IFERROR(VLOOKUP(VENTAS[[#This Row],[Código del producto Vendido]],STOCK[],16,FALSE)*VENTAS[[#This Row],[Cantidad]]+VLOOKUP(VENTAS[[#This Row],[Código del producto Vendido]],STOCK[],19,FALSE)*VENTAS[[#This Row],[Cantidad]],VENTAS[[#This Row],[Total]])</f>
        <v>19.4577777777778</v>
      </c>
      <c r="L98" s="35">
        <f>VENTAS[[#This Row],[Total]]-VENTAS[[#This Row],[Comisión 10%]]-VENTAS[[#This Row],[Costo SIN Comision]]</f>
        <v>10.5422222222222</v>
      </c>
      <c r="M98" s="35"/>
    </row>
    <row r="99" ht="20" customHeight="1" spans="1:13">
      <c r="A99" s="29"/>
      <c r="B99" s="30" t="s">
        <v>3295</v>
      </c>
      <c r="C99" s="30"/>
      <c r="D99" s="30"/>
      <c r="E99" s="30" t="s">
        <v>372</v>
      </c>
      <c r="F99" s="30" t="str">
        <f>IFERROR(VLOOKUP(VENTAS[[#This Row],[Código del producto Vendido]],STOCK[],5,FALSE),"-")</f>
        <v>SHEIN VCAY Vestido ajustado con estampado de corazón de confeti de hombros descubiertos ribete fruncido_S</v>
      </c>
      <c r="G99" s="34">
        <v>1</v>
      </c>
      <c r="H99" s="35">
        <v>12</v>
      </c>
      <c r="I99" s="35">
        <f>VENTAS[[#This Row],[Cantidad]]*VENTAS[[#This Row],[Precio Venta]]</f>
        <v>12</v>
      </c>
      <c r="J99" s="35">
        <f>IF(VENTAS[[#This Row],[Nombre del Gestor]]&gt;1,VENTAS[[#This Row],[Total]]*10%,0)</f>
        <v>0</v>
      </c>
      <c r="K99" s="35">
        <f>IFERROR(VLOOKUP(VENTAS[[#This Row],[Código del producto Vendido]],STOCK[],16,FALSE)*VENTAS[[#This Row],[Cantidad]]+VLOOKUP(VENTAS[[#This Row],[Código del producto Vendido]],STOCK[],19,FALSE)*VENTAS[[#This Row],[Cantidad]],VENTAS[[#This Row],[Total]])</f>
        <v>8.37444444444444</v>
      </c>
      <c r="L99" s="35">
        <f>VENTAS[[#This Row],[Total]]-VENTAS[[#This Row],[Comisión 10%]]-VENTAS[[#This Row],[Costo SIN Comision]]</f>
        <v>3.62555555555556</v>
      </c>
      <c r="M99" s="35"/>
    </row>
    <row r="100" ht="20" customHeight="1" spans="1:13">
      <c r="A100" s="29"/>
      <c r="B100" s="30" t="s">
        <v>3295</v>
      </c>
      <c r="C100" s="30"/>
      <c r="D100" s="30"/>
      <c r="E100" s="30" t="s">
        <v>369</v>
      </c>
      <c r="F100" s="30" t="str">
        <f>IFERROR(VLOOKUP(VENTAS[[#This Row],[Código del producto Vendido]],STOCK[],5,FALSE),"-")</f>
        <v>SHEIN Vestido niña ceremonia de tirantes bajo con malla con lazo grande_98CM</v>
      </c>
      <c r="G100" s="34">
        <v>1</v>
      </c>
      <c r="H100" s="35">
        <v>30</v>
      </c>
      <c r="I100" s="35">
        <f>VENTAS[[#This Row],[Cantidad]]*VENTAS[[#This Row],[Precio Venta]]</f>
        <v>30</v>
      </c>
      <c r="J100" s="35">
        <f>IF(VENTAS[[#This Row],[Nombre del Gestor]]&gt;1,VENTAS[[#This Row],[Total]]*10%,0)</f>
        <v>0</v>
      </c>
      <c r="K100" s="35">
        <f>IFERROR(VLOOKUP(VENTAS[[#This Row],[Código del producto Vendido]],STOCK[],16,FALSE)*VENTAS[[#This Row],[Cantidad]]+VLOOKUP(VENTAS[[#This Row],[Código del producto Vendido]],STOCK[],19,FALSE)*VENTAS[[#This Row],[Cantidad]],VENTAS[[#This Row],[Total]])</f>
        <v>12.4555555555556</v>
      </c>
      <c r="L100" s="35">
        <f>VENTAS[[#This Row],[Total]]-VENTAS[[#This Row],[Comisión 10%]]-VENTAS[[#This Row],[Costo SIN Comision]]</f>
        <v>17.5444444444444</v>
      </c>
      <c r="M100" s="35"/>
    </row>
    <row r="101" ht="20" customHeight="1" spans="1:13">
      <c r="A101" s="29"/>
      <c r="B101" s="30" t="s">
        <v>3295</v>
      </c>
      <c r="C101" s="30"/>
      <c r="D101" s="30"/>
      <c r="E101" s="30" t="s">
        <v>355</v>
      </c>
      <c r="F101" s="30" t="str">
        <f>IFERROR(VLOOKUP(VENTAS[[#This Row],[Código del producto Vendido]],STOCK[],5,FALSE),"-")</f>
        <v>EMERY ROSE Vestido maxi floral con estampado de pañuelo de manga farol bajo con fruncido</v>
      </c>
      <c r="G101" s="34">
        <v>1</v>
      </c>
      <c r="H101" s="35">
        <v>35</v>
      </c>
      <c r="I101" s="35">
        <f>VENTAS[[#This Row],[Cantidad]]*VENTAS[[#This Row],[Precio Venta]]</f>
        <v>35</v>
      </c>
      <c r="J101" s="35">
        <f>IF(VENTAS[[#This Row],[Nombre del Gestor]]&gt;1,VENTAS[[#This Row],[Total]]*10%,0)</f>
        <v>0</v>
      </c>
      <c r="K101" s="35">
        <f>IFERROR(VLOOKUP(VENTAS[[#This Row],[Código del producto Vendido]],STOCK[],16,FALSE)*VENTAS[[#This Row],[Cantidad]]+VLOOKUP(VENTAS[[#This Row],[Código del producto Vendido]],STOCK[],19,FALSE)*VENTAS[[#This Row],[Cantidad]],VENTAS[[#This Row],[Total]])</f>
        <v>19.7327777777778</v>
      </c>
      <c r="L101" s="35">
        <f>VENTAS[[#This Row],[Total]]-VENTAS[[#This Row],[Comisión 10%]]-VENTAS[[#This Row],[Costo SIN Comision]]</f>
        <v>15.2672222222222</v>
      </c>
      <c r="M101" s="35"/>
    </row>
    <row r="102" ht="20" customHeight="1" spans="1:13">
      <c r="A102" s="29"/>
      <c r="B102" s="30" t="s">
        <v>3295</v>
      </c>
      <c r="C102" s="30"/>
      <c r="D102" s="30"/>
      <c r="E102" s="30" t="s">
        <v>345</v>
      </c>
      <c r="F102" s="30" t="str">
        <f>IFERROR(VLOOKUP(VENTAS[[#This Row],[Código del producto Vendido]],STOCK[],5,FALSE),"-")</f>
        <v>SHEIN Belle Vestido de dama de honor de hombros descubiertos fruncido cruzado de satén</v>
      </c>
      <c r="G102" s="34">
        <v>1</v>
      </c>
      <c r="H102" s="35">
        <v>30</v>
      </c>
      <c r="I102" s="35">
        <f>VENTAS[[#This Row],[Cantidad]]*VENTAS[[#This Row],[Precio Venta]]</f>
        <v>30</v>
      </c>
      <c r="J102" s="35">
        <f>IF(VENTAS[[#This Row],[Nombre del Gestor]]&gt;1,VENTAS[[#This Row],[Total]]*10%,0)</f>
        <v>0</v>
      </c>
      <c r="K102" s="35">
        <f>IFERROR(VLOOKUP(VENTAS[[#This Row],[Código del producto Vendido]],STOCK[],16,FALSE)*VENTAS[[#This Row],[Cantidad]]+VLOOKUP(VENTAS[[#This Row],[Código del producto Vendido]],STOCK[],19,FALSE)*VENTAS[[#This Row],[Cantidad]],VENTAS[[#This Row],[Total]])</f>
        <v>19.6888888888889</v>
      </c>
      <c r="L102" s="35">
        <f>VENTAS[[#This Row],[Total]]-VENTAS[[#This Row],[Comisión 10%]]-VENTAS[[#This Row],[Costo SIN Comision]]</f>
        <v>10.3111111111111</v>
      </c>
      <c r="M102" s="35"/>
    </row>
    <row r="103" ht="20" customHeight="1" spans="1:13">
      <c r="A103" s="29"/>
      <c r="B103" s="30" t="s">
        <v>3295</v>
      </c>
      <c r="C103" s="30"/>
      <c r="D103" s="30"/>
      <c r="E103" s="30" t="s">
        <v>335</v>
      </c>
      <c r="F103" s="30" t="str">
        <f>IFERROR(VLOOKUP(VENTAS[[#This Row],[Código del producto Vendido]],STOCK[],5,FALSE),"-")</f>
        <v>Vestido cruzado de lunares </v>
      </c>
      <c r="G103" s="34">
        <v>1</v>
      </c>
      <c r="H103" s="35">
        <v>25</v>
      </c>
      <c r="I103" s="35">
        <f>VENTAS[[#This Row],[Cantidad]]*VENTAS[[#This Row],[Precio Venta]]</f>
        <v>25</v>
      </c>
      <c r="J103" s="35">
        <f>IF(VENTAS[[#This Row],[Nombre del Gestor]]&gt;1,VENTAS[[#This Row],[Total]]*10%,0)</f>
        <v>0</v>
      </c>
      <c r="K103" s="35">
        <f>IFERROR(VLOOKUP(VENTAS[[#This Row],[Código del producto Vendido]],STOCK[],16,FALSE)*VENTAS[[#This Row],[Cantidad]]+VLOOKUP(VENTAS[[#This Row],[Código del producto Vendido]],STOCK[],19,FALSE)*VENTAS[[#This Row],[Cantidad]],VENTAS[[#This Row],[Total]])</f>
        <v>12.7216666666667</v>
      </c>
      <c r="L103" s="35">
        <f>VENTAS[[#This Row],[Total]]-VENTAS[[#This Row],[Comisión 10%]]-VENTAS[[#This Row],[Costo SIN Comision]]</f>
        <v>12.2783333333333</v>
      </c>
      <c r="M103" s="35"/>
    </row>
    <row r="104" ht="20" customHeight="1" spans="1:13">
      <c r="A104" s="29"/>
      <c r="B104" s="30" t="s">
        <v>3295</v>
      </c>
      <c r="C104" s="30"/>
      <c r="D104" s="30"/>
      <c r="E104" s="30" t="s">
        <v>333</v>
      </c>
      <c r="F104" s="30" t="str">
        <f>IFERROR(VLOOKUP(VENTAS[[#This Row],[Código del producto Vendido]],STOCK[],5,FALSE),"-")</f>
        <v>Vestido cruzado de lunares </v>
      </c>
      <c r="G104" s="34">
        <v>1</v>
      </c>
      <c r="H104" s="35">
        <v>25</v>
      </c>
      <c r="I104" s="35">
        <f>VENTAS[[#This Row],[Cantidad]]*VENTAS[[#This Row],[Precio Venta]]</f>
        <v>25</v>
      </c>
      <c r="J104" s="35">
        <f>IF(VENTAS[[#This Row],[Nombre del Gestor]]&gt;1,VENTAS[[#This Row],[Total]]*10%,0)</f>
        <v>0</v>
      </c>
      <c r="K104" s="35">
        <f>IFERROR(VLOOKUP(VENTAS[[#This Row],[Código del producto Vendido]],STOCK[],16,FALSE)*VENTAS[[#This Row],[Cantidad]]+VLOOKUP(VENTAS[[#This Row],[Código del producto Vendido]],STOCK[],19,FALSE)*VENTAS[[#This Row],[Cantidad]],VENTAS[[#This Row],[Total]])</f>
        <v>12.7216666666667</v>
      </c>
      <c r="L104" s="35">
        <f>VENTAS[[#This Row],[Total]]-VENTAS[[#This Row],[Comisión 10%]]-VENTAS[[#This Row],[Costo SIN Comision]]</f>
        <v>12.2783333333333</v>
      </c>
      <c r="M104" s="35"/>
    </row>
    <row r="105" ht="20" customHeight="1" spans="1:13">
      <c r="A105" s="29"/>
      <c r="B105" s="30" t="s">
        <v>3295</v>
      </c>
      <c r="C105" s="30"/>
      <c r="D105" s="30"/>
      <c r="E105" s="30" t="s">
        <v>616</v>
      </c>
      <c r="F105" s="30" t="str">
        <f>IFERROR(VLOOKUP(VENTAS[[#This Row],[Código del producto Vendido]],STOCK[],5,FALSE),"-")</f>
        <v>Cinturón trenzado </v>
      </c>
      <c r="G105" s="34">
        <v>2</v>
      </c>
      <c r="H105" s="35">
        <v>10</v>
      </c>
      <c r="I105" s="35">
        <f>VENTAS[[#This Row],[Cantidad]]*VENTAS[[#This Row],[Precio Venta]]</f>
        <v>20</v>
      </c>
      <c r="J105" s="35">
        <f>IF(VENTAS[[#This Row],[Nombre del Gestor]]&gt;1,VENTAS[[#This Row],[Total]]*10%,0)</f>
        <v>0</v>
      </c>
      <c r="K105" s="35">
        <f>IFERROR(VLOOKUP(VENTAS[[#This Row],[Código del producto Vendido]],STOCK[],16,FALSE)*VENTAS[[#This Row],[Cantidad]]+VLOOKUP(VENTAS[[#This Row],[Código del producto Vendido]],STOCK[],19,FALSE)*VENTAS[[#This Row],[Cantidad]],VENTAS[[#This Row],[Total]])</f>
        <v>8.3</v>
      </c>
      <c r="L105" s="35">
        <f>VENTAS[[#This Row],[Total]]-VENTAS[[#This Row],[Comisión 10%]]-VENTAS[[#This Row],[Costo SIN Comision]]</f>
        <v>11.7</v>
      </c>
      <c r="M105" s="35"/>
    </row>
    <row r="106" ht="20" customHeight="1" spans="1:13">
      <c r="A106" s="29"/>
      <c r="B106" s="30"/>
      <c r="C106" s="30"/>
      <c r="D106" s="30"/>
      <c r="E106" s="30" t="s">
        <v>616</v>
      </c>
      <c r="F106" s="30" t="str">
        <f>IFERROR(VLOOKUP(VENTAS[[#This Row],[Código del producto Vendido]],STOCK[],5,FALSE),"-")</f>
        <v>Cinturón trenzado </v>
      </c>
      <c r="G106" s="34">
        <v>1</v>
      </c>
      <c r="H106" s="35">
        <v>10</v>
      </c>
      <c r="I106" s="35">
        <f>VENTAS[[#This Row],[Cantidad]]*VENTAS[[#This Row],[Precio Venta]]</f>
        <v>10</v>
      </c>
      <c r="J106" s="35">
        <f>IF(VENTAS[[#This Row],[Nombre del Gestor]]&gt;1,VENTAS[[#This Row],[Total]]*10%,0)</f>
        <v>0</v>
      </c>
      <c r="K106" s="35">
        <f>IFERROR(VLOOKUP(VENTAS[[#This Row],[Código del producto Vendido]],STOCK[],16,FALSE)*VENTAS[[#This Row],[Cantidad]]+VLOOKUP(VENTAS[[#This Row],[Código del producto Vendido]],STOCK[],19,FALSE)*VENTAS[[#This Row],[Cantidad]],VENTAS[[#This Row],[Total]])</f>
        <v>4.15</v>
      </c>
      <c r="L106" s="35">
        <f>VENTAS[[#This Row],[Total]]-VENTAS[[#This Row],[Comisión 10%]]-VENTAS[[#This Row],[Costo SIN Comision]]</f>
        <v>5.85</v>
      </c>
      <c r="M106" s="35"/>
    </row>
    <row r="107" ht="20" customHeight="1" spans="1:13">
      <c r="A107" s="29"/>
      <c r="B107" s="30" t="s">
        <v>3295</v>
      </c>
      <c r="C107" s="30"/>
      <c r="D107" s="30"/>
      <c r="E107" s="30" t="s">
        <v>684</v>
      </c>
      <c r="F107" s="30" t="str">
        <f>IFERROR(VLOOKUP(VENTAS[[#This Row],[Código del producto Vendido]],STOCK[],5,FALSE),"-")</f>
        <v>Top de cuello cruzado con nudo lateral</v>
      </c>
      <c r="G107" s="34">
        <v>3</v>
      </c>
      <c r="H107" s="35">
        <v>10</v>
      </c>
      <c r="I107" s="35">
        <f>VENTAS[[#This Row],[Cantidad]]*VENTAS[[#This Row],[Precio Venta]]</f>
        <v>30</v>
      </c>
      <c r="J107" s="35">
        <f>IF(VENTAS[[#This Row],[Nombre del Gestor]]&gt;1,VENTAS[[#This Row],[Total]]*10%,0)</f>
        <v>0</v>
      </c>
      <c r="K107" s="35">
        <f>IFERROR(VLOOKUP(VENTAS[[#This Row],[Código del producto Vendido]],STOCK[],16,FALSE)*VENTAS[[#This Row],[Cantidad]]+VLOOKUP(VENTAS[[#This Row],[Código del producto Vendido]],STOCK[],19,FALSE)*VENTAS[[#This Row],[Cantidad]],VENTAS[[#This Row],[Total]])</f>
        <v>15.805</v>
      </c>
      <c r="L107" s="35">
        <f>VENTAS[[#This Row],[Total]]-VENTAS[[#This Row],[Comisión 10%]]-VENTAS[[#This Row],[Costo SIN Comision]]</f>
        <v>14.195</v>
      </c>
      <c r="M107" s="35"/>
    </row>
    <row r="108" ht="20" customHeight="1" spans="1:13">
      <c r="A108" s="29"/>
      <c r="B108" s="30" t="s">
        <v>3295</v>
      </c>
      <c r="C108" s="30"/>
      <c r="D108" s="30"/>
      <c r="E108" s="30" t="s">
        <v>577</v>
      </c>
      <c r="F108" s="30" t="str">
        <f>IFERROR(VLOOKUP(VENTAS[[#This Row],[Código del producto Vendido]],STOCK[],5,FALSE),"-")</f>
        <v>SHEIN SXY Camiseta corta unicolor con abertura_XS</v>
      </c>
      <c r="G108" s="34">
        <v>3</v>
      </c>
      <c r="H108" s="35">
        <v>10</v>
      </c>
      <c r="I108" s="35">
        <f>VENTAS[[#This Row],[Cantidad]]*VENTAS[[#This Row],[Precio Venta]]</f>
        <v>30</v>
      </c>
      <c r="J108" s="35">
        <f>IF(VENTAS[[#This Row],[Nombre del Gestor]]&gt;1,VENTAS[[#This Row],[Total]]*10%,0)</f>
        <v>0</v>
      </c>
      <c r="K108" s="35">
        <f>IFERROR(VLOOKUP(VENTAS[[#This Row],[Código del producto Vendido]],STOCK[],16,FALSE)*VENTAS[[#This Row],[Cantidad]]+VLOOKUP(VENTAS[[#This Row],[Código del producto Vendido]],STOCK[],19,FALSE)*VENTAS[[#This Row],[Cantidad]],VENTAS[[#This Row],[Total]])</f>
        <v>16.4</v>
      </c>
      <c r="L108" s="35">
        <f>VENTAS[[#This Row],[Total]]-VENTAS[[#This Row],[Comisión 10%]]-VENTAS[[#This Row],[Costo SIN Comision]]</f>
        <v>13.6</v>
      </c>
      <c r="M108" s="35"/>
    </row>
    <row r="109" ht="20" customHeight="1" spans="1:13">
      <c r="A109" s="29"/>
      <c r="B109" s="30" t="s">
        <v>3295</v>
      </c>
      <c r="C109" s="30"/>
      <c r="D109" s="30"/>
      <c r="E109" s="30" t="s">
        <v>581</v>
      </c>
      <c r="F109" s="30" t="str">
        <f>IFERROR(VLOOKUP(VENTAS[[#This Row],[Código del producto Vendido]],STOCK[],5,FALSE),"-")</f>
        <v>SHEIN SXY Camiseta corta unicolor con abertura</v>
      </c>
      <c r="G109" s="34">
        <v>3</v>
      </c>
      <c r="H109" s="35">
        <v>10</v>
      </c>
      <c r="I109" s="35">
        <f>VENTAS[[#This Row],[Cantidad]]*VENTAS[[#This Row],[Precio Venta]]</f>
        <v>30</v>
      </c>
      <c r="J109" s="35">
        <f>IF(VENTAS[[#This Row],[Nombre del Gestor]]&gt;1,VENTAS[[#This Row],[Total]]*10%,0)</f>
        <v>0</v>
      </c>
      <c r="K109" s="35">
        <f>IFERROR(VLOOKUP(VENTAS[[#This Row],[Código del producto Vendido]],STOCK[],16,FALSE)*VENTAS[[#This Row],[Cantidad]]+VLOOKUP(VENTAS[[#This Row],[Código del producto Vendido]],STOCK[],19,FALSE)*VENTAS[[#This Row],[Cantidad]],VENTAS[[#This Row],[Total]])</f>
        <v>15.08</v>
      </c>
      <c r="L109" s="35">
        <f>VENTAS[[#This Row],[Total]]-VENTAS[[#This Row],[Comisión 10%]]-VENTAS[[#This Row],[Costo SIN Comision]]</f>
        <v>14.92</v>
      </c>
      <c r="M109" s="35"/>
    </row>
    <row r="110" ht="20" customHeight="1" spans="1:13">
      <c r="A110" s="29"/>
      <c r="B110" s="30" t="s">
        <v>3295</v>
      </c>
      <c r="C110" s="30"/>
      <c r="D110" s="30"/>
      <c r="E110" s="30" t="s">
        <v>579</v>
      </c>
      <c r="F110" s="30" t="str">
        <f>IFERROR(VLOOKUP(VENTAS[[#This Row],[Código del producto Vendido]],STOCK[],5,FALSE),"-")</f>
        <v>Camiseta corta unicolor con abertura</v>
      </c>
      <c r="G110" s="34">
        <v>2</v>
      </c>
      <c r="H110" s="35">
        <v>9</v>
      </c>
      <c r="I110" s="35">
        <f>VENTAS[[#This Row],[Cantidad]]*VENTAS[[#This Row],[Precio Venta]]</f>
        <v>18</v>
      </c>
      <c r="J110" s="35">
        <f>IF(VENTAS[[#This Row],[Nombre del Gestor]]&gt;1,VENTAS[[#This Row],[Total]]*10%,0)</f>
        <v>0</v>
      </c>
      <c r="K110" s="35">
        <f>IFERROR(VLOOKUP(VENTAS[[#This Row],[Código del producto Vendido]],STOCK[],16,FALSE)*VENTAS[[#This Row],[Cantidad]]+VLOOKUP(VENTAS[[#This Row],[Código del producto Vendido]],STOCK[],19,FALSE)*VENTAS[[#This Row],[Cantidad]],VENTAS[[#This Row],[Total]])</f>
        <v>10.0533333333333</v>
      </c>
      <c r="L110" s="35">
        <f>VENTAS[[#This Row],[Total]]-VENTAS[[#This Row],[Comisión 10%]]-VENTAS[[#This Row],[Costo SIN Comision]]</f>
        <v>7.94666666666666</v>
      </c>
      <c r="M110" s="35"/>
    </row>
    <row r="111" ht="20" customHeight="1" spans="1:13">
      <c r="A111" s="29"/>
      <c r="B111" s="30" t="s">
        <v>3295</v>
      </c>
      <c r="C111" s="30"/>
      <c r="D111" s="30"/>
      <c r="E111" s="30" t="s">
        <v>3305</v>
      </c>
      <c r="F111" s="30" t="str">
        <f>IFERROR(VLOOKUP(VENTAS[[#This Row],[Código del producto Vendido]],STOCK[],5,FALSE),"-")</f>
        <v>-</v>
      </c>
      <c r="G111" s="34">
        <v>2</v>
      </c>
      <c r="H111" s="35">
        <v>14</v>
      </c>
      <c r="I111" s="35">
        <f>VENTAS[[#This Row],[Cantidad]]*VENTAS[[#This Row],[Precio Venta]]</f>
        <v>28</v>
      </c>
      <c r="J111" s="35">
        <f>IF(VENTAS[[#This Row],[Nombre del Gestor]]&gt;1,VENTAS[[#This Row],[Total]]*10%,0)</f>
        <v>0</v>
      </c>
      <c r="K111" s="35">
        <f>IFERROR(VLOOKUP(VENTAS[[#This Row],[Código del producto Vendido]],STOCK[],16,FALSE)*VENTAS[[#This Row],[Cantidad]]+VLOOKUP(VENTAS[[#This Row],[Código del producto Vendido]],STOCK[],19,FALSE)*VENTAS[[#This Row],[Cantidad]],VENTAS[[#This Row],[Total]])</f>
        <v>28</v>
      </c>
      <c r="L111" s="35">
        <f>VENTAS[[#This Row],[Total]]-VENTAS[[#This Row],[Comisión 10%]]-VENTAS[[#This Row],[Costo SIN Comision]]</f>
        <v>0</v>
      </c>
      <c r="M111" s="35"/>
    </row>
    <row r="112" ht="20" customHeight="1" spans="1:13">
      <c r="A112" s="29"/>
      <c r="B112" s="30" t="s">
        <v>3295</v>
      </c>
      <c r="C112" s="30"/>
      <c r="D112" s="30"/>
      <c r="E112" s="30" t="s">
        <v>589</v>
      </c>
      <c r="F112" s="30" t="str">
        <f>IFERROR(VLOOKUP(VENTAS[[#This Row],[Código del producto Vendido]],STOCK[],5,FALSE),"-")</f>
        <v>SHEIN SXY Top corto con nudo con abertura de manga farol_S</v>
      </c>
      <c r="G112" s="34">
        <v>1</v>
      </c>
      <c r="H112" s="35">
        <v>9</v>
      </c>
      <c r="I112" s="35">
        <f>VENTAS[[#This Row],[Cantidad]]*VENTAS[[#This Row],[Precio Venta]]</f>
        <v>9</v>
      </c>
      <c r="J112" s="35">
        <f>IF(VENTAS[[#This Row],[Nombre del Gestor]]&gt;1,VENTAS[[#This Row],[Total]]*10%,0)</f>
        <v>0</v>
      </c>
      <c r="K112" s="35">
        <f>IFERROR(VLOOKUP(VENTAS[[#This Row],[Código del producto Vendido]],STOCK[],16,FALSE)*VENTAS[[#This Row],[Cantidad]]+VLOOKUP(VENTAS[[#This Row],[Código del producto Vendido]],STOCK[],19,FALSE)*VENTAS[[#This Row],[Cantidad]],VENTAS[[#This Row],[Total]])</f>
        <v>5.735</v>
      </c>
      <c r="L112" s="35">
        <f>VENTAS[[#This Row],[Total]]-VENTAS[[#This Row],[Comisión 10%]]-VENTAS[[#This Row],[Costo SIN Comision]]</f>
        <v>3.265</v>
      </c>
      <c r="M112" s="35"/>
    </row>
    <row r="113" ht="20" customHeight="1" spans="1:13">
      <c r="A113" s="29"/>
      <c r="B113" s="30" t="s">
        <v>3295</v>
      </c>
      <c r="C113" s="30"/>
      <c r="D113" s="30"/>
      <c r="E113" s="30" t="s">
        <v>591</v>
      </c>
      <c r="F113" s="30" t="str">
        <f>IFERROR(VLOOKUP(VENTAS[[#This Row],[Código del producto Vendido]],STOCK[],5,FALSE),"-")</f>
        <v>SHEIN SXY Top corto con nudo con abertura de manga farol_M</v>
      </c>
      <c r="G113" s="34">
        <v>3</v>
      </c>
      <c r="H113" s="35">
        <v>9</v>
      </c>
      <c r="I113" s="35">
        <f>VENTAS[[#This Row],[Cantidad]]*VENTAS[[#This Row],[Precio Venta]]</f>
        <v>27</v>
      </c>
      <c r="J113" s="35">
        <f>IF(VENTAS[[#This Row],[Nombre del Gestor]]&gt;1,VENTAS[[#This Row],[Total]]*10%,0)</f>
        <v>0</v>
      </c>
      <c r="K113" s="35">
        <f>IFERROR(VLOOKUP(VENTAS[[#This Row],[Código del producto Vendido]],STOCK[],16,FALSE)*VENTAS[[#This Row],[Cantidad]]+VLOOKUP(VENTAS[[#This Row],[Código del producto Vendido]],STOCK[],19,FALSE)*VENTAS[[#This Row],[Cantidad]],VENTAS[[#This Row],[Total]])</f>
        <v>17.205</v>
      </c>
      <c r="L113" s="35">
        <f>VENTAS[[#This Row],[Total]]-VENTAS[[#This Row],[Comisión 10%]]-VENTAS[[#This Row],[Costo SIN Comision]]</f>
        <v>9.795</v>
      </c>
      <c r="M113" s="35"/>
    </row>
    <row r="114" ht="20" customHeight="1" spans="1:13">
      <c r="A114" s="29"/>
      <c r="B114" s="30" t="s">
        <v>3295</v>
      </c>
      <c r="C114" s="30"/>
      <c r="D114" s="30"/>
      <c r="E114" s="30" t="s">
        <v>665</v>
      </c>
      <c r="F114" s="30" t="str">
        <f>IFERROR(VLOOKUP(VENTAS[[#This Row],[Código del producto Vendido]],STOCK[],5,FALSE),"-")</f>
        <v>SHEIN SXY Camiseta con abertura de malla_M</v>
      </c>
      <c r="G114" s="34">
        <v>3</v>
      </c>
      <c r="H114" s="35">
        <v>10</v>
      </c>
      <c r="I114" s="35">
        <f>VENTAS[[#This Row],[Cantidad]]*VENTAS[[#This Row],[Precio Venta]]</f>
        <v>30</v>
      </c>
      <c r="J114" s="35">
        <f>IF(VENTAS[[#This Row],[Nombre del Gestor]]&gt;1,VENTAS[[#This Row],[Total]]*10%,0)</f>
        <v>0</v>
      </c>
      <c r="K114" s="35">
        <f>IFERROR(VLOOKUP(VENTAS[[#This Row],[Código del producto Vendido]],STOCK[],16,FALSE)*VENTAS[[#This Row],[Cantidad]]+VLOOKUP(VENTAS[[#This Row],[Código del producto Vendido]],STOCK[],19,FALSE)*VENTAS[[#This Row],[Cantidad]],VENTAS[[#This Row],[Total]])</f>
        <v>16.33</v>
      </c>
      <c r="L114" s="35">
        <f>VENTAS[[#This Row],[Total]]-VENTAS[[#This Row],[Comisión 10%]]-VENTAS[[#This Row],[Costo SIN Comision]]</f>
        <v>13.67</v>
      </c>
      <c r="M114" s="35"/>
    </row>
    <row r="115" ht="20" customHeight="1" spans="1:13">
      <c r="A115" s="29"/>
      <c r="B115" s="30" t="s">
        <v>3295</v>
      </c>
      <c r="C115" s="30"/>
      <c r="D115" s="30"/>
      <c r="E115" s="30" t="s">
        <v>667</v>
      </c>
      <c r="F115" s="30" t="str">
        <f>IFERROR(VLOOKUP(VENTAS[[#This Row],[Código del producto Vendido]],STOCK[],5,FALSE),"-")</f>
        <v>SHEIN SXY Camiseta con abertura de malla_S</v>
      </c>
      <c r="G115" s="34">
        <v>3</v>
      </c>
      <c r="H115" s="35">
        <v>10</v>
      </c>
      <c r="I115" s="35">
        <f>VENTAS[[#This Row],[Cantidad]]*VENTAS[[#This Row],[Precio Venta]]</f>
        <v>30</v>
      </c>
      <c r="J115" s="35">
        <f>IF(VENTAS[[#This Row],[Nombre del Gestor]]&gt;1,VENTAS[[#This Row],[Total]]*10%,0)</f>
        <v>0</v>
      </c>
      <c r="K115" s="35">
        <f>IFERROR(VLOOKUP(VENTAS[[#This Row],[Código del producto Vendido]],STOCK[],16,FALSE)*VENTAS[[#This Row],[Cantidad]]+VLOOKUP(VENTAS[[#This Row],[Código del producto Vendido]],STOCK[],19,FALSE)*VENTAS[[#This Row],[Cantidad]],VENTAS[[#This Row],[Total]])</f>
        <v>16.33</v>
      </c>
      <c r="L115" s="35">
        <f>VENTAS[[#This Row],[Total]]-VENTAS[[#This Row],[Comisión 10%]]-VENTAS[[#This Row],[Costo SIN Comision]]</f>
        <v>13.67</v>
      </c>
      <c r="M115" s="35"/>
    </row>
    <row r="116" ht="20" customHeight="1" spans="1:13">
      <c r="A116" s="29"/>
      <c r="B116" s="30" t="s">
        <v>3295</v>
      </c>
      <c r="C116" s="30"/>
      <c r="D116" s="30"/>
      <c r="E116" s="30" t="s">
        <v>669</v>
      </c>
      <c r="F116" s="30" t="str">
        <f>IFERROR(VLOOKUP(VENTAS[[#This Row],[Código del producto Vendido]],STOCK[],5,FALSE),"-")</f>
        <v>SHEIN SXY Camiseta con abertura de malla_XS</v>
      </c>
      <c r="G116" s="34">
        <v>3</v>
      </c>
      <c r="H116" s="35">
        <v>9</v>
      </c>
      <c r="I116" s="35">
        <f>VENTAS[[#This Row],[Cantidad]]*VENTAS[[#This Row],[Precio Venta]]</f>
        <v>27</v>
      </c>
      <c r="J116" s="35">
        <f>IF(VENTAS[[#This Row],[Nombre del Gestor]]&gt;1,VENTAS[[#This Row],[Total]]*10%,0)</f>
        <v>0</v>
      </c>
      <c r="K116" s="35">
        <f>IFERROR(VLOOKUP(VENTAS[[#This Row],[Código del producto Vendido]],STOCK[],16,FALSE)*VENTAS[[#This Row],[Cantidad]]+VLOOKUP(VENTAS[[#This Row],[Código del producto Vendido]],STOCK[],19,FALSE)*VENTAS[[#This Row],[Cantidad]],VENTAS[[#This Row],[Total]])</f>
        <v>16.33</v>
      </c>
      <c r="L116" s="35">
        <f>VENTAS[[#This Row],[Total]]-VENTAS[[#This Row],[Comisión 10%]]-VENTAS[[#This Row],[Costo SIN Comision]]</f>
        <v>10.67</v>
      </c>
      <c r="M116" s="35"/>
    </row>
    <row r="117" ht="20" customHeight="1" spans="1:13">
      <c r="A117" s="29"/>
      <c r="B117" s="30" t="s">
        <v>3295</v>
      </c>
      <c r="C117" s="30"/>
      <c r="D117" s="30"/>
      <c r="E117" s="30" t="s">
        <v>3306</v>
      </c>
      <c r="F117" s="30" t="str">
        <f>IFERROR(VLOOKUP(VENTAS[[#This Row],[Código del producto Vendido]],STOCK[],5,FALSE),"-")</f>
        <v>-</v>
      </c>
      <c r="G117" s="34">
        <v>1</v>
      </c>
      <c r="H117" s="35">
        <v>9</v>
      </c>
      <c r="I117" s="35">
        <f>VENTAS[[#This Row],[Cantidad]]*VENTAS[[#This Row],[Precio Venta]]</f>
        <v>9</v>
      </c>
      <c r="J117" s="35">
        <f>IF(VENTAS[[#This Row],[Nombre del Gestor]]&gt;1,VENTAS[[#This Row],[Total]]*10%,0)</f>
        <v>0</v>
      </c>
      <c r="K117" s="35">
        <f>IFERROR(VLOOKUP(VENTAS[[#This Row],[Código del producto Vendido]],STOCK[],16,FALSE)*VENTAS[[#This Row],[Cantidad]]+VLOOKUP(VENTAS[[#This Row],[Código del producto Vendido]],STOCK[],19,FALSE)*VENTAS[[#This Row],[Cantidad]],VENTAS[[#This Row],[Total]])</f>
        <v>9</v>
      </c>
      <c r="L117" s="35">
        <f>VENTAS[[#This Row],[Total]]-VENTAS[[#This Row],[Comisión 10%]]-VENTAS[[#This Row],[Costo SIN Comision]]</f>
        <v>0</v>
      </c>
      <c r="M117" s="35"/>
    </row>
    <row r="118" ht="20" customHeight="1" spans="1:13">
      <c r="A118" s="29"/>
      <c r="B118" s="30" t="s">
        <v>3295</v>
      </c>
      <c r="C118" s="30"/>
      <c r="D118" s="30"/>
      <c r="E118" s="30" t="s">
        <v>3307</v>
      </c>
      <c r="F118" s="30" t="str">
        <f>IFERROR(VLOOKUP(VENTAS[[#This Row],[Código del producto Vendido]],STOCK[],5,FALSE),"-")</f>
        <v>-</v>
      </c>
      <c r="G118" s="34">
        <v>1</v>
      </c>
      <c r="H118" s="35">
        <v>10</v>
      </c>
      <c r="I118" s="35">
        <f>VENTAS[[#This Row],[Cantidad]]*VENTAS[[#This Row],[Precio Venta]]</f>
        <v>10</v>
      </c>
      <c r="J118" s="35">
        <f>IF(VENTAS[[#This Row],[Nombre del Gestor]]&gt;1,VENTAS[[#This Row],[Total]]*10%,0)</f>
        <v>0</v>
      </c>
      <c r="K118" s="35">
        <f>IFERROR(VLOOKUP(VENTAS[[#This Row],[Código del producto Vendido]],STOCK[],16,FALSE)*VENTAS[[#This Row],[Cantidad]]+VLOOKUP(VENTAS[[#This Row],[Código del producto Vendido]],STOCK[],19,FALSE)*VENTAS[[#This Row],[Cantidad]],VENTAS[[#This Row],[Total]])</f>
        <v>10</v>
      </c>
      <c r="L118" s="35">
        <f>VENTAS[[#This Row],[Total]]-VENTAS[[#This Row],[Comisión 10%]]-VENTAS[[#This Row],[Costo SIN Comision]]</f>
        <v>0</v>
      </c>
      <c r="M118" s="35"/>
    </row>
    <row r="119" ht="20" customHeight="1" spans="1:13">
      <c r="A119" s="29"/>
      <c r="B119" s="30" t="s">
        <v>3295</v>
      </c>
      <c r="C119" s="30"/>
      <c r="D119" s="30"/>
      <c r="E119" s="30" t="s">
        <v>3308</v>
      </c>
      <c r="F119" s="30" t="str">
        <f>IFERROR(VLOOKUP(VENTAS[[#This Row],[Código del producto Vendido]],STOCK[],5,FALSE),"-")</f>
        <v>-</v>
      </c>
      <c r="G119" s="34">
        <v>2</v>
      </c>
      <c r="H119" s="35">
        <v>9</v>
      </c>
      <c r="I119" s="35">
        <f>VENTAS[[#This Row],[Cantidad]]*VENTAS[[#This Row],[Precio Venta]]</f>
        <v>18</v>
      </c>
      <c r="J119" s="35">
        <f>IF(VENTAS[[#This Row],[Nombre del Gestor]]&gt;1,VENTAS[[#This Row],[Total]]*10%,0)</f>
        <v>0</v>
      </c>
      <c r="K119" s="35">
        <f>IFERROR(VLOOKUP(VENTAS[[#This Row],[Código del producto Vendido]],STOCK[],16,FALSE)*VENTAS[[#This Row],[Cantidad]]+VLOOKUP(VENTAS[[#This Row],[Código del producto Vendido]],STOCK[],19,FALSE)*VENTAS[[#This Row],[Cantidad]],VENTAS[[#This Row],[Total]])</f>
        <v>18</v>
      </c>
      <c r="L119" s="35">
        <f>VENTAS[[#This Row],[Total]]-VENTAS[[#This Row],[Comisión 10%]]-VENTAS[[#This Row],[Costo SIN Comision]]</f>
        <v>0</v>
      </c>
      <c r="M119" s="35"/>
    </row>
    <row r="120" ht="20" customHeight="1" spans="1:13">
      <c r="A120" s="29"/>
      <c r="B120" s="30" t="s">
        <v>3295</v>
      </c>
      <c r="C120" s="30"/>
      <c r="D120" s="30"/>
      <c r="E120" s="30" t="s">
        <v>3309</v>
      </c>
      <c r="F120" s="30" t="str">
        <f>IFERROR(VLOOKUP(VENTAS[[#This Row],[Código del producto Vendido]],STOCK[],5,FALSE),"-")</f>
        <v>-</v>
      </c>
      <c r="G120" s="34">
        <v>2</v>
      </c>
      <c r="H120" s="35">
        <v>9</v>
      </c>
      <c r="I120" s="35">
        <f>VENTAS[[#This Row],[Cantidad]]*VENTAS[[#This Row],[Precio Venta]]</f>
        <v>18</v>
      </c>
      <c r="J120" s="35">
        <f>IF(VENTAS[[#This Row],[Nombre del Gestor]]&gt;1,VENTAS[[#This Row],[Total]]*10%,0)</f>
        <v>0</v>
      </c>
      <c r="K120" s="35">
        <f>IFERROR(VLOOKUP(VENTAS[[#This Row],[Código del producto Vendido]],STOCK[],16,FALSE)*VENTAS[[#This Row],[Cantidad]]+VLOOKUP(VENTAS[[#This Row],[Código del producto Vendido]],STOCK[],19,FALSE)*VENTAS[[#This Row],[Cantidad]],VENTAS[[#This Row],[Total]])</f>
        <v>18</v>
      </c>
      <c r="L120" s="35">
        <f>VENTAS[[#This Row],[Total]]-VENTAS[[#This Row],[Comisión 10%]]-VENTAS[[#This Row],[Costo SIN Comision]]</f>
        <v>0</v>
      </c>
      <c r="M120" s="35"/>
    </row>
    <row r="121" ht="20" customHeight="1" spans="1:13">
      <c r="A121" s="29"/>
      <c r="B121" s="30" t="s">
        <v>3295</v>
      </c>
      <c r="C121" s="30"/>
      <c r="D121" s="30"/>
      <c r="E121" s="30" t="s">
        <v>615</v>
      </c>
      <c r="F121" s="30" t="str">
        <f>IFERROR(VLOOKUP(VENTAS[[#This Row],[Código del producto Vendido]],STOCK[],5,FALSE),"-")</f>
        <v>Camiseta corta de manga farol</v>
      </c>
      <c r="G121" s="34">
        <v>2</v>
      </c>
      <c r="H121" s="35">
        <v>9</v>
      </c>
      <c r="I121" s="35">
        <f>VENTAS[[#This Row],[Cantidad]]*VENTAS[[#This Row],[Precio Venta]]</f>
        <v>18</v>
      </c>
      <c r="J121" s="35">
        <f>IF(VENTAS[[#This Row],[Nombre del Gestor]]&gt;1,VENTAS[[#This Row],[Total]]*10%,0)</f>
        <v>0</v>
      </c>
      <c r="K121" s="35">
        <f>IFERROR(VLOOKUP(VENTAS[[#This Row],[Código del producto Vendido]],STOCK[],16,FALSE)*VENTAS[[#This Row],[Cantidad]]+VLOOKUP(VENTAS[[#This Row],[Código del producto Vendido]],STOCK[],19,FALSE)*VENTAS[[#This Row],[Cantidad]],VENTAS[[#This Row],[Total]])</f>
        <v>11.47</v>
      </c>
      <c r="L121" s="35">
        <f>VENTAS[[#This Row],[Total]]-VENTAS[[#This Row],[Comisión 10%]]-VENTAS[[#This Row],[Costo SIN Comision]]</f>
        <v>6.53</v>
      </c>
      <c r="M121" s="35"/>
    </row>
    <row r="122" ht="20" customHeight="1" spans="1:13">
      <c r="A122" s="29"/>
      <c r="B122" s="30" t="s">
        <v>3295</v>
      </c>
      <c r="C122" s="30"/>
      <c r="D122" s="30"/>
      <c r="E122" s="30" t="s">
        <v>3310</v>
      </c>
      <c r="F122" s="30" t="str">
        <f>IFERROR(VLOOKUP(VENTAS[[#This Row],[Código del producto Vendido]],STOCK[],5,FALSE),"-")</f>
        <v>-</v>
      </c>
      <c r="G122" s="34">
        <v>1</v>
      </c>
      <c r="H122" s="35">
        <v>9</v>
      </c>
      <c r="I122" s="35">
        <f>VENTAS[[#This Row],[Cantidad]]*VENTAS[[#This Row],[Precio Venta]]</f>
        <v>9</v>
      </c>
      <c r="J122" s="35">
        <f>IF(VENTAS[[#This Row],[Nombre del Gestor]]&gt;1,VENTAS[[#This Row],[Total]]*10%,0)</f>
        <v>0</v>
      </c>
      <c r="K122" s="35">
        <f>IFERROR(VLOOKUP(VENTAS[[#This Row],[Código del producto Vendido]],STOCK[],16,FALSE)*VENTAS[[#This Row],[Cantidad]]+VLOOKUP(VENTAS[[#This Row],[Código del producto Vendido]],STOCK[],19,FALSE)*VENTAS[[#This Row],[Cantidad]],VENTAS[[#This Row],[Total]])</f>
        <v>9</v>
      </c>
      <c r="L122" s="35">
        <f>VENTAS[[#This Row],[Total]]-VENTAS[[#This Row],[Comisión 10%]]-VENTAS[[#This Row],[Costo SIN Comision]]</f>
        <v>0</v>
      </c>
      <c r="M122" s="35"/>
    </row>
    <row r="123" ht="20" customHeight="1" spans="1:13">
      <c r="A123" s="29"/>
      <c r="B123" s="30" t="s">
        <v>3295</v>
      </c>
      <c r="C123" s="30"/>
      <c r="D123" s="30"/>
      <c r="E123" s="30" t="s">
        <v>613</v>
      </c>
      <c r="F123" s="30" t="str">
        <f>IFERROR(VLOOKUP(VENTAS[[#This Row],[Código del producto Vendido]],STOCK[],5,FALSE),"-")</f>
        <v>Camiseta corta de manga farol</v>
      </c>
      <c r="G123" s="34">
        <v>2</v>
      </c>
      <c r="H123" s="35">
        <v>9</v>
      </c>
      <c r="I123" s="35">
        <f>VENTAS[[#This Row],[Cantidad]]*VENTAS[[#This Row],[Precio Venta]]</f>
        <v>18</v>
      </c>
      <c r="J123" s="35">
        <f>IF(VENTAS[[#This Row],[Nombre del Gestor]]&gt;1,VENTAS[[#This Row],[Total]]*10%,0)</f>
        <v>0</v>
      </c>
      <c r="K123" s="35">
        <f>IFERROR(VLOOKUP(VENTAS[[#This Row],[Código del producto Vendido]],STOCK[],16,FALSE)*VENTAS[[#This Row],[Cantidad]]+VLOOKUP(VENTAS[[#This Row],[Código del producto Vendido]],STOCK[],19,FALSE)*VENTAS[[#This Row],[Cantidad]],VENTAS[[#This Row],[Total]])</f>
        <v>11.47</v>
      </c>
      <c r="L123" s="35">
        <f>VENTAS[[#This Row],[Total]]-VENTAS[[#This Row],[Comisión 10%]]-VENTAS[[#This Row],[Costo SIN Comision]]</f>
        <v>6.53</v>
      </c>
      <c r="M123" s="35"/>
    </row>
    <row r="124" ht="20" customHeight="1" spans="1:13">
      <c r="A124" s="29"/>
      <c r="B124" s="30" t="s">
        <v>3295</v>
      </c>
      <c r="C124" s="30"/>
      <c r="D124" s="30"/>
      <c r="E124" s="30" t="s">
        <v>3311</v>
      </c>
      <c r="F124" s="30" t="str">
        <f>IFERROR(VLOOKUP(VENTAS[[#This Row],[Código del producto Vendido]],STOCK[],5,FALSE),"-")</f>
        <v>-</v>
      </c>
      <c r="G124" s="34">
        <v>1</v>
      </c>
      <c r="H124" s="35">
        <v>9</v>
      </c>
      <c r="I124" s="35">
        <f>VENTAS[[#This Row],[Cantidad]]*VENTAS[[#This Row],[Precio Venta]]</f>
        <v>9</v>
      </c>
      <c r="J124" s="35">
        <f>IF(VENTAS[[#This Row],[Nombre del Gestor]]&gt;1,VENTAS[[#This Row],[Total]]*10%,0)</f>
        <v>0</v>
      </c>
      <c r="K124" s="35">
        <f>IFERROR(VLOOKUP(VENTAS[[#This Row],[Código del producto Vendido]],STOCK[],16,FALSE)*VENTAS[[#This Row],[Cantidad]]+VLOOKUP(VENTAS[[#This Row],[Código del producto Vendido]],STOCK[],19,FALSE)*VENTAS[[#This Row],[Cantidad]],VENTAS[[#This Row],[Total]])</f>
        <v>9</v>
      </c>
      <c r="L124" s="35">
        <f>VENTAS[[#This Row],[Total]]-VENTAS[[#This Row],[Comisión 10%]]-VENTAS[[#This Row],[Costo SIN Comision]]</f>
        <v>0</v>
      </c>
      <c r="M124" s="35"/>
    </row>
    <row r="125" ht="20" customHeight="1" spans="1:13">
      <c r="A125" s="29"/>
      <c r="B125" s="30" t="s">
        <v>3295</v>
      </c>
      <c r="C125" s="30"/>
      <c r="D125" s="30"/>
      <c r="E125" s="30" t="s">
        <v>587</v>
      </c>
      <c r="F125" s="30" t="str">
        <f>IFERROR(VLOOKUP(VENTAS[[#This Row],[Código del producto Vendido]],STOCK[],5,FALSE),"-")</f>
        <v>Top corto manga farol</v>
      </c>
      <c r="G125" s="34">
        <v>2</v>
      </c>
      <c r="H125" s="35">
        <v>9</v>
      </c>
      <c r="I125" s="35">
        <f>VENTAS[[#This Row],[Cantidad]]*VENTAS[[#This Row],[Precio Venta]]</f>
        <v>18</v>
      </c>
      <c r="J125" s="35">
        <f>IF(VENTAS[[#This Row],[Nombre del Gestor]]&gt;1,VENTAS[[#This Row],[Total]]*10%,0)</f>
        <v>0</v>
      </c>
      <c r="K125" s="35">
        <f>IFERROR(VLOOKUP(VENTAS[[#This Row],[Código del producto Vendido]],STOCK[],16,FALSE)*VENTAS[[#This Row],[Cantidad]]+VLOOKUP(VENTAS[[#This Row],[Código del producto Vendido]],STOCK[],19,FALSE)*VENTAS[[#This Row],[Cantidad]],VENTAS[[#This Row],[Total]])</f>
        <v>11.47</v>
      </c>
      <c r="L125" s="35">
        <f>VENTAS[[#This Row],[Total]]-VENTAS[[#This Row],[Comisión 10%]]-VENTAS[[#This Row],[Costo SIN Comision]]</f>
        <v>6.53</v>
      </c>
      <c r="M125" s="35"/>
    </row>
    <row r="126" ht="20" customHeight="1" spans="1:13">
      <c r="A126" s="29"/>
      <c r="B126" s="30" t="s">
        <v>3295</v>
      </c>
      <c r="C126" s="30"/>
      <c r="D126" s="30"/>
      <c r="E126" s="30" t="s">
        <v>575</v>
      </c>
      <c r="F126" s="30" t="str">
        <f>IFERROR(VLOOKUP(VENTAS[[#This Row],[Código del producto Vendido]],STOCK[],5,FALSE),"-")</f>
        <v>Top de hombros descubiertos unicolor ribete con fruncido_S</v>
      </c>
      <c r="G126" s="34">
        <v>3</v>
      </c>
      <c r="H126" s="35">
        <v>12</v>
      </c>
      <c r="I126" s="35">
        <f>VENTAS[[#This Row],[Cantidad]]*VENTAS[[#This Row],[Precio Venta]]</f>
        <v>36</v>
      </c>
      <c r="J126" s="35">
        <f>IF(VENTAS[[#This Row],[Nombre del Gestor]]&gt;1,VENTAS[[#This Row],[Total]]*10%,0)</f>
        <v>0</v>
      </c>
      <c r="K126" s="35">
        <f>IFERROR(VLOOKUP(VENTAS[[#This Row],[Código del producto Vendido]],STOCK[],16,FALSE)*VENTAS[[#This Row],[Cantidad]]+VLOOKUP(VENTAS[[#This Row],[Código del producto Vendido]],STOCK[],19,FALSE)*VENTAS[[#This Row],[Cantidad]],VENTAS[[#This Row],[Total]])</f>
        <v>15.275</v>
      </c>
      <c r="L126" s="35">
        <f>VENTAS[[#This Row],[Total]]-VENTAS[[#This Row],[Comisión 10%]]-VENTAS[[#This Row],[Costo SIN Comision]]</f>
        <v>20.725</v>
      </c>
      <c r="M126" s="35"/>
    </row>
    <row r="127" ht="20" customHeight="1" spans="1:13">
      <c r="A127" s="29">
        <v>45045</v>
      </c>
      <c r="B127" s="30"/>
      <c r="C127" s="30" t="s">
        <v>3312</v>
      </c>
      <c r="D127" s="30"/>
      <c r="E127" s="30" t="s">
        <v>52</v>
      </c>
      <c r="F127" s="30" t="str">
        <f>IFERROR(VLOOKUP(VENTAS[[#This Row],[Código del producto Vendido]],STOCK[],5,FALSE),"-")</f>
        <v>Pareo pantalón</v>
      </c>
      <c r="G127" s="34">
        <v>1</v>
      </c>
      <c r="H127" s="35">
        <v>15</v>
      </c>
      <c r="I127" s="35">
        <f>VENTAS[[#This Row],[Cantidad]]*VENTAS[[#This Row],[Precio Venta]]</f>
        <v>15</v>
      </c>
      <c r="J127" s="35">
        <f>IF(VENTAS[[#This Row],[Nombre del Gestor]]&gt;1,VENTAS[[#This Row],[Total]]*10%,0)</f>
        <v>0</v>
      </c>
      <c r="K127" s="35">
        <f>IFERROR(VLOOKUP(VENTAS[[#This Row],[Código del producto Vendido]],STOCK[],16,FALSE)*VENTAS[[#This Row],[Cantidad]]+VLOOKUP(VENTAS[[#This Row],[Código del producto Vendido]],STOCK[],19,FALSE)*VENTAS[[#This Row],[Cantidad]],VENTAS[[#This Row],[Total]])</f>
        <v>10.0633333333333</v>
      </c>
      <c r="L127" s="35">
        <f>VENTAS[[#This Row],[Total]]-VENTAS[[#This Row],[Comisión 10%]]-VENTAS[[#This Row],[Costo SIN Comision]]</f>
        <v>4.93666666666667</v>
      </c>
      <c r="M127" s="35"/>
    </row>
    <row r="128" ht="20" customHeight="1" spans="1:13">
      <c r="A128" s="29">
        <v>45045</v>
      </c>
      <c r="B128" s="30"/>
      <c r="C128" s="30" t="s">
        <v>3313</v>
      </c>
      <c r="D128" s="30"/>
      <c r="E128" s="30" t="s">
        <v>137</v>
      </c>
      <c r="F128" s="30" t="str">
        <f>IFERROR(VLOOKUP(VENTAS[[#This Row],[Código del producto Vendido]],STOCK[],5,FALSE),"-")</f>
        <v>Bañador con estampado de girasol con cover up</v>
      </c>
      <c r="G128" s="34">
        <v>1</v>
      </c>
      <c r="H128" s="35">
        <v>20</v>
      </c>
      <c r="I128" s="35">
        <f>VENTAS[[#This Row],[Cantidad]]*VENTAS[[#This Row],[Precio Venta]]</f>
        <v>20</v>
      </c>
      <c r="J128" s="35">
        <f>IF(VENTAS[[#This Row],[Nombre del Gestor]]&gt;1,VENTAS[[#This Row],[Total]]*10%,0)</f>
        <v>0</v>
      </c>
      <c r="K128" s="35">
        <f>IFERROR(VLOOKUP(VENTAS[[#This Row],[Código del producto Vendido]],STOCK[],16,FALSE)*VENTAS[[#This Row],[Cantidad]]+VLOOKUP(VENTAS[[#This Row],[Código del producto Vendido]],STOCK[],19,FALSE)*VENTAS[[#This Row],[Cantidad]],VENTAS[[#This Row],[Total]])</f>
        <v>12.805</v>
      </c>
      <c r="L128" s="35">
        <f>VENTAS[[#This Row],[Total]]-VENTAS[[#This Row],[Comisión 10%]]-VENTAS[[#This Row],[Costo SIN Comision]]</f>
        <v>7.195</v>
      </c>
      <c r="M128" s="35"/>
    </row>
    <row r="129" ht="20" customHeight="1" spans="1:13">
      <c r="A129" s="29">
        <v>45045</v>
      </c>
      <c r="B129" s="30"/>
      <c r="C129" s="30" t="s">
        <v>3314</v>
      </c>
      <c r="D129" s="30"/>
      <c r="E129" s="30" t="s">
        <v>624</v>
      </c>
      <c r="F129" s="30" t="str">
        <f>IFERROR(VLOOKUP(VENTAS[[#This Row],[Código del producto Vendido]],STOCK[],5,FALSE),"-")</f>
        <v>Vestido pecho con fruncido cruzado cintura con estampado floral_L</v>
      </c>
      <c r="G129" s="34">
        <v>1</v>
      </c>
      <c r="H129" s="35">
        <v>15</v>
      </c>
      <c r="I129" s="35">
        <f>VENTAS[[#This Row],[Cantidad]]*VENTAS[[#This Row],[Precio Venta]]</f>
        <v>15</v>
      </c>
      <c r="J129" s="35">
        <f>IF(VENTAS[[#This Row],[Nombre del Gestor]]&gt;1,VENTAS[[#This Row],[Total]]*10%,0)</f>
        <v>0</v>
      </c>
      <c r="K129" s="35">
        <f>IFERROR(VLOOKUP(VENTAS[[#This Row],[Código del producto Vendido]],STOCK[],16,FALSE)*VENTAS[[#This Row],[Cantidad]]+VLOOKUP(VENTAS[[#This Row],[Código del producto Vendido]],STOCK[],19,FALSE)*VENTAS[[#This Row],[Cantidad]],VENTAS[[#This Row],[Total]])</f>
        <v>10.7222222222222</v>
      </c>
      <c r="L129" s="35">
        <f>VENTAS[[#This Row],[Total]]-VENTAS[[#This Row],[Comisión 10%]]-VENTAS[[#This Row],[Costo SIN Comision]]</f>
        <v>4.27777777777778</v>
      </c>
      <c r="M129" s="35"/>
    </row>
    <row r="130" ht="20" customHeight="1" spans="1:13">
      <c r="A130" s="29">
        <v>45045</v>
      </c>
      <c r="B130" s="30"/>
      <c r="C130" s="30" t="s">
        <v>3315</v>
      </c>
      <c r="D130" s="30"/>
      <c r="E130" s="30" t="s">
        <v>601</v>
      </c>
      <c r="F130" s="30" t="str">
        <f>IFERROR(VLOOKUP(VENTAS[[#This Row],[Código del producto Vendido]],STOCK[],5,FALSE),"-")</f>
        <v>Vestido floral de mangas farol</v>
      </c>
      <c r="G130" s="34">
        <v>1</v>
      </c>
      <c r="H130" s="35">
        <v>15</v>
      </c>
      <c r="I130" s="35">
        <f>VENTAS[[#This Row],[Cantidad]]*VENTAS[[#This Row],[Precio Venta]]</f>
        <v>15</v>
      </c>
      <c r="J130" s="35">
        <f>IF(VENTAS[[#This Row],[Nombre del Gestor]]&gt;1,VENTAS[[#This Row],[Total]]*10%,0)</f>
        <v>0</v>
      </c>
      <c r="K130" s="35">
        <f>IFERROR(VLOOKUP(VENTAS[[#This Row],[Código del producto Vendido]],STOCK[],16,FALSE)*VENTAS[[#This Row],[Cantidad]]+VLOOKUP(VENTAS[[#This Row],[Código del producto Vendido]],STOCK[],19,FALSE)*VENTAS[[#This Row],[Cantidad]],VENTAS[[#This Row],[Total]])</f>
        <v>10.7222222222222</v>
      </c>
      <c r="L130" s="35">
        <f>VENTAS[[#This Row],[Total]]-VENTAS[[#This Row],[Comisión 10%]]-VENTAS[[#This Row],[Costo SIN Comision]]</f>
        <v>4.27777777777778</v>
      </c>
      <c r="M130" s="35"/>
    </row>
    <row r="131" ht="20" customHeight="1" spans="1:13">
      <c r="A131" s="29">
        <v>45045</v>
      </c>
      <c r="B131" s="30"/>
      <c r="C131" s="30" t="s">
        <v>3316</v>
      </c>
      <c r="D131" s="30"/>
      <c r="E131" s="30" t="s">
        <v>642</v>
      </c>
      <c r="F131" s="30" t="str">
        <f>IFERROR(VLOOKUP(VENTAS[[#This Row],[Código del producto Vendido]],STOCK[],5,FALSE),"-")</f>
        <v>Vestido floral de manga farol escote corazón con cordón lateral_S</v>
      </c>
      <c r="G131" s="34">
        <v>1</v>
      </c>
      <c r="H131" s="35">
        <v>15</v>
      </c>
      <c r="I131" s="35">
        <f>VENTAS[[#This Row],[Cantidad]]*VENTAS[[#This Row],[Precio Venta]]</f>
        <v>15</v>
      </c>
      <c r="J131" s="35">
        <f>IF(VENTAS[[#This Row],[Nombre del Gestor]]&gt;1,VENTAS[[#This Row],[Total]]*10%,0)</f>
        <v>0</v>
      </c>
      <c r="K131" s="35">
        <f>IFERROR(VLOOKUP(VENTAS[[#This Row],[Código del producto Vendido]],STOCK[],16,FALSE)*VENTAS[[#This Row],[Cantidad]]+VLOOKUP(VENTAS[[#This Row],[Código del producto Vendido]],STOCK[],19,FALSE)*VENTAS[[#This Row],[Cantidad]],VENTAS[[#This Row],[Total]])</f>
        <v>10.7222222222222</v>
      </c>
      <c r="L131" s="35">
        <f>VENTAS[[#This Row],[Total]]-VENTAS[[#This Row],[Comisión 10%]]-VENTAS[[#This Row],[Costo SIN Comision]]</f>
        <v>4.27777777777778</v>
      </c>
      <c r="M131" s="35"/>
    </row>
    <row r="132" ht="20" customHeight="1" spans="1:13">
      <c r="A132" s="29"/>
      <c r="B132" s="30" t="s">
        <v>3295</v>
      </c>
      <c r="C132" s="30"/>
      <c r="D132" s="30"/>
      <c r="E132" s="30" t="s">
        <v>721</v>
      </c>
      <c r="F132" s="30" t="str">
        <f>IFERROR(VLOOKUP(VENTAS[[#This Row],[Código del producto Vendido]],STOCK[],5,FALSE),"-")</f>
        <v>Top acanalado sin mangas</v>
      </c>
      <c r="G132" s="34">
        <v>5</v>
      </c>
      <c r="H132" s="35">
        <v>9</v>
      </c>
      <c r="I132" s="35">
        <f>VENTAS[[#This Row],[Cantidad]]*VENTAS[[#This Row],[Precio Venta]]</f>
        <v>45</v>
      </c>
      <c r="J132" s="35">
        <f>IF(VENTAS[[#This Row],[Nombre del Gestor]]&gt;1,VENTAS[[#This Row],[Total]]*10%,0)</f>
        <v>0</v>
      </c>
      <c r="K132" s="35">
        <f>IFERROR(VLOOKUP(VENTAS[[#This Row],[Código del producto Vendido]],STOCK[],16,FALSE)*VENTAS[[#This Row],[Cantidad]]+VLOOKUP(VENTAS[[#This Row],[Código del producto Vendido]],STOCK[],19,FALSE)*VENTAS[[#This Row],[Cantidad]],VENTAS[[#This Row],[Total]])</f>
        <v>25.1111111111111</v>
      </c>
      <c r="L132" s="35">
        <f>VENTAS[[#This Row],[Total]]-VENTAS[[#This Row],[Comisión 10%]]-VENTAS[[#This Row],[Costo SIN Comision]]</f>
        <v>19.8888888888889</v>
      </c>
      <c r="M132" s="35"/>
    </row>
    <row r="133" ht="20" customHeight="1" spans="1:13">
      <c r="A133" s="29"/>
      <c r="B133" s="30" t="s">
        <v>3295</v>
      </c>
      <c r="C133" s="30"/>
      <c r="D133" s="30"/>
      <c r="E133" s="30" t="s">
        <v>726</v>
      </c>
      <c r="F133" s="30" t="str">
        <f>IFERROR(VLOOKUP(VENTAS[[#This Row],[Código del producto Vendido]],STOCK[],5,FALSE),"-")</f>
        <v>Top acanalado sin mangas</v>
      </c>
      <c r="G133" s="34">
        <v>5</v>
      </c>
      <c r="H133" s="35">
        <v>9</v>
      </c>
      <c r="I133" s="35">
        <f>VENTAS[[#This Row],[Cantidad]]*VENTAS[[#This Row],[Precio Venta]]</f>
        <v>45</v>
      </c>
      <c r="J133" s="35">
        <f>IF(VENTAS[[#This Row],[Nombre del Gestor]]&gt;1,VENTAS[[#This Row],[Total]]*10%,0)</f>
        <v>0</v>
      </c>
      <c r="K133" s="35">
        <f>IFERROR(VLOOKUP(VENTAS[[#This Row],[Código del producto Vendido]],STOCK[],16,FALSE)*VENTAS[[#This Row],[Cantidad]]+VLOOKUP(VENTAS[[#This Row],[Código del producto Vendido]],STOCK[],19,FALSE)*VENTAS[[#This Row],[Cantidad]],VENTAS[[#This Row],[Total]])</f>
        <v>25.1111111111111</v>
      </c>
      <c r="L133" s="35">
        <f>VENTAS[[#This Row],[Total]]-VENTAS[[#This Row],[Comisión 10%]]-VENTAS[[#This Row],[Costo SIN Comision]]</f>
        <v>19.8888888888889</v>
      </c>
      <c r="M133" s="35"/>
    </row>
    <row r="134" ht="20" customHeight="1" spans="1:13">
      <c r="A134" s="29">
        <v>45047</v>
      </c>
      <c r="B134" s="30"/>
      <c r="C134" s="30" t="s">
        <v>3317</v>
      </c>
      <c r="D134" s="30"/>
      <c r="E134" s="30" t="s">
        <v>126</v>
      </c>
      <c r="F134" s="30" t="str">
        <f>IFERROR(VLOOKUP(VENTAS[[#This Row],[Código del producto Vendido]],STOCK[],5,FALSE),"-")</f>
        <v>Bañador chicas con estampado de letra con cremallera</v>
      </c>
      <c r="G134" s="34">
        <v>1</v>
      </c>
      <c r="H134" s="35">
        <v>20</v>
      </c>
      <c r="I134" s="35">
        <f>VENTAS[[#This Row],[Cantidad]]*VENTAS[[#This Row],[Precio Venta]]</f>
        <v>20</v>
      </c>
      <c r="J134" s="35">
        <f>IF(VENTAS[[#This Row],[Nombre del Gestor]]&gt;1,VENTAS[[#This Row],[Total]]*10%,0)</f>
        <v>0</v>
      </c>
      <c r="K134" s="35">
        <f>IFERROR(VLOOKUP(VENTAS[[#This Row],[Código del producto Vendido]],STOCK[],16,FALSE)*VENTAS[[#This Row],[Cantidad]]+VLOOKUP(VENTAS[[#This Row],[Código del producto Vendido]],STOCK[],19,FALSE)*VENTAS[[#This Row],[Cantidad]],VENTAS[[#This Row],[Total]])</f>
        <v>14.7661111111111</v>
      </c>
      <c r="L134" s="35">
        <f>VENTAS[[#This Row],[Total]]-VENTAS[[#This Row],[Comisión 10%]]-VENTAS[[#This Row],[Costo SIN Comision]]</f>
        <v>5.2338888888889</v>
      </c>
      <c r="M134" s="35"/>
    </row>
    <row r="135" ht="20" customHeight="1" spans="1:13">
      <c r="A135" s="29">
        <v>45047</v>
      </c>
      <c r="B135" s="30"/>
      <c r="C135" s="30" t="s">
        <v>3317</v>
      </c>
      <c r="D135" s="30"/>
      <c r="E135" s="30" t="s">
        <v>93</v>
      </c>
      <c r="F135" s="30" t="str">
        <f>IFERROR(VLOOKUP(VENTAS[[#This Row],[Código del producto Vendido]],STOCK[],5,FALSE),"-")</f>
        <v>Sets de Bikini Casual</v>
      </c>
      <c r="G135" s="34">
        <v>1</v>
      </c>
      <c r="H135" s="35">
        <v>25</v>
      </c>
      <c r="I135" s="35">
        <f>VENTAS[[#This Row],[Cantidad]]*VENTAS[[#This Row],[Precio Venta]]</f>
        <v>25</v>
      </c>
      <c r="J135" s="35">
        <f>IF(VENTAS[[#This Row],[Nombre del Gestor]]&gt;1,VENTAS[[#This Row],[Total]]*10%,0)</f>
        <v>0</v>
      </c>
      <c r="K135" s="35">
        <f>IFERROR(VLOOKUP(VENTAS[[#This Row],[Código del producto Vendido]],STOCK[],16,FALSE)*VENTAS[[#This Row],[Cantidad]]+VLOOKUP(VENTAS[[#This Row],[Código del producto Vendido]],STOCK[],19,FALSE)*VENTAS[[#This Row],[Cantidad]],VENTAS[[#This Row],[Total]])</f>
        <v>14.4261111111111</v>
      </c>
      <c r="L135" s="35">
        <f>VENTAS[[#This Row],[Total]]-VENTAS[[#This Row],[Comisión 10%]]-VENTAS[[#This Row],[Costo SIN Comision]]</f>
        <v>10.5738888888889</v>
      </c>
      <c r="M135" s="35"/>
    </row>
    <row r="136" s="22" customFormat="1" ht="20" customHeight="1" spans="1:13">
      <c r="A136" s="40">
        <v>45047</v>
      </c>
      <c r="B136" s="41"/>
      <c r="C136" s="41" t="s">
        <v>3318</v>
      </c>
      <c r="D136" s="41"/>
      <c r="E136" s="41" t="s">
        <v>618</v>
      </c>
      <c r="F136" s="41" t="str">
        <f>IFERROR(VLOOKUP(VENTAS[[#This Row],[Código del producto Vendido]],STOCK[],5,FALSE),"-")</f>
        <v>Vestido pecho con fruncido </v>
      </c>
      <c r="G136" s="43">
        <v>1</v>
      </c>
      <c r="H136" s="44">
        <v>15</v>
      </c>
      <c r="I136" s="44">
        <f>VENTAS[[#This Row],[Cantidad]]*VENTAS[[#This Row],[Precio Venta]]</f>
        <v>15</v>
      </c>
      <c r="J136" s="44">
        <f>IF(VENTAS[[#This Row],[Nombre del Gestor]]&gt;1,VENTAS[[#This Row],[Total]]*10%,0)</f>
        <v>0</v>
      </c>
      <c r="K136" s="44">
        <f>IFERROR(VLOOKUP(VENTAS[[#This Row],[Código del producto Vendido]],STOCK[],16,FALSE)*VENTAS[[#This Row],[Cantidad]]+VLOOKUP(VENTAS[[#This Row],[Código del producto Vendido]],STOCK[],19,FALSE)*VENTAS[[#This Row],[Cantidad]],VENTAS[[#This Row],[Total]])</f>
        <v>10.7222222222222</v>
      </c>
      <c r="L136" s="35">
        <f>VENTAS[[#This Row],[Total]]-VENTAS[[#This Row],[Comisión 10%]]-VENTAS[[#This Row],[Costo SIN Comision]]</f>
        <v>4.27777777777778</v>
      </c>
      <c r="M136" s="44"/>
    </row>
    <row r="137" ht="20" customHeight="1" spans="1:13">
      <c r="A137" s="29"/>
      <c r="B137" s="30"/>
      <c r="C137" s="30"/>
      <c r="D137" s="30"/>
      <c r="E137" s="30" t="s">
        <v>118</v>
      </c>
      <c r="F137" s="30" t="str">
        <f>IFERROR(VLOOKUP(VENTAS[[#This Row],[Código del producto Vendido]],STOCK[],5,FALSE),"-")</f>
        <v>Bañador color combinado con cremallera_S</v>
      </c>
      <c r="G137" s="34">
        <v>1</v>
      </c>
      <c r="H137" s="35">
        <v>25</v>
      </c>
      <c r="I137" s="35">
        <f>VENTAS[[#This Row],[Cantidad]]*VENTAS[[#This Row],[Precio Venta]]</f>
        <v>25</v>
      </c>
      <c r="J137" s="35">
        <f>IF(VENTAS[[#This Row],[Nombre del Gestor]]&gt;1,VENTAS[[#This Row],[Total]]*10%,0)</f>
        <v>0</v>
      </c>
      <c r="K137" s="35">
        <f>IFERROR(VLOOKUP(VENTAS[[#This Row],[Código del producto Vendido]],STOCK[],16,FALSE)*VENTAS[[#This Row],[Cantidad]]+VLOOKUP(VENTAS[[#This Row],[Código del producto Vendido]],STOCK[],19,FALSE)*VENTAS[[#This Row],[Cantidad]],VENTAS[[#This Row],[Total]])</f>
        <v>16.7727777777778</v>
      </c>
      <c r="L137" s="35">
        <f>VENTAS[[#This Row],[Total]]-VENTAS[[#This Row],[Comisión 10%]]-VENTAS[[#This Row],[Costo SIN Comision]]</f>
        <v>8.2272222222222</v>
      </c>
      <c r="M137" s="35"/>
    </row>
    <row r="138" ht="20" customHeight="1" spans="1:13">
      <c r="A138" s="29">
        <v>45048</v>
      </c>
      <c r="B138" s="30"/>
      <c r="C138" s="30"/>
      <c r="D138" s="30"/>
      <c r="E138" s="30" t="s">
        <v>29</v>
      </c>
      <c r="F138" s="30" t="str">
        <f>IFERROR(VLOOKUP(VENTAS[[#This Row],[Código del producto Vendido]],STOCK[],5,FALSE),"-")</f>
        <v>Pareo falda </v>
      </c>
      <c r="G138" s="34">
        <v>1</v>
      </c>
      <c r="H138" s="35">
        <v>8</v>
      </c>
      <c r="I138" s="35">
        <f>VENTAS[[#This Row],[Cantidad]]*VENTAS[[#This Row],[Precio Venta]]</f>
        <v>8</v>
      </c>
      <c r="J138" s="35">
        <f>IF(VENTAS[[#This Row],[Nombre del Gestor]]&gt;1,VENTAS[[#This Row],[Total]]*10%,0)</f>
        <v>0</v>
      </c>
      <c r="K138" s="35">
        <f>IFERROR(VLOOKUP(VENTAS[[#This Row],[Código del producto Vendido]],STOCK[],16,FALSE)*VENTAS[[#This Row],[Cantidad]]+VLOOKUP(VENTAS[[#This Row],[Código del producto Vendido]],STOCK[],19,FALSE)*VENTAS[[#This Row],[Cantidad]],VENTAS[[#This Row],[Total]])</f>
        <v>4.33722222222222</v>
      </c>
      <c r="L138" s="35">
        <f>VENTAS[[#This Row],[Total]]-VENTAS[[#This Row],[Comisión 10%]]-VENTAS[[#This Row],[Costo SIN Comision]]</f>
        <v>3.66277777777778</v>
      </c>
      <c r="M138" s="35"/>
    </row>
    <row r="139" ht="20" customHeight="1" spans="1:13">
      <c r="A139" s="29">
        <v>45048</v>
      </c>
      <c r="B139" s="30"/>
      <c r="C139" s="30"/>
      <c r="D139" s="30"/>
      <c r="E139" s="30" t="s">
        <v>109</v>
      </c>
      <c r="F139" s="34" t="str">
        <f>IFERROR(VLOOKUP(VENTAS[[#This Row],[Código del producto Vendido]],STOCK[],5,FALSE),"-")</f>
        <v>Bañador de zíper en color combinado</v>
      </c>
      <c r="G139" s="34">
        <v>1</v>
      </c>
      <c r="H139" s="35">
        <v>25</v>
      </c>
      <c r="I139" s="35">
        <f>VENTAS[[#This Row],[Cantidad]]*VENTAS[[#This Row],[Precio Venta]]</f>
        <v>25</v>
      </c>
      <c r="J139" s="35">
        <f>IF(VENTAS[[#This Row],[Nombre del Gestor]]&gt;1,VENTAS[[#This Row],[Total]]*10%,0)</f>
        <v>0</v>
      </c>
      <c r="K139" s="35">
        <f>IFERROR(VLOOKUP(VENTAS[[#This Row],[Código del producto Vendido]],STOCK[],16,FALSE)*VENTAS[[#This Row],[Cantidad]]+VLOOKUP(VENTAS[[#This Row],[Código del producto Vendido]],STOCK[],19,FALSE)*VENTAS[[#This Row],[Cantidad]],VENTAS[[#This Row],[Total]])</f>
        <v>19.1588888888889</v>
      </c>
      <c r="L139" s="35">
        <f>VENTAS[[#This Row],[Total]]-VENTAS[[#This Row],[Comisión 10%]]-VENTAS[[#This Row],[Costo SIN Comision]]</f>
        <v>5.8411111111111</v>
      </c>
      <c r="M139" s="35"/>
    </row>
    <row r="140" ht="20" customHeight="1" spans="1:13">
      <c r="A140" s="29">
        <v>45048</v>
      </c>
      <c r="B140" s="30"/>
      <c r="C140" s="30"/>
      <c r="D140" s="30"/>
      <c r="E140" s="30" t="s">
        <v>122</v>
      </c>
      <c r="F140" s="34" t="str">
        <f>IFERROR(VLOOKUP(VENTAS[[#This Row],[Código del producto Vendido]],STOCK[],5,FALSE),"-")</f>
        <v>Bikini chicas estampado tropical</v>
      </c>
      <c r="G140" s="34">
        <v>1</v>
      </c>
      <c r="H140" s="35">
        <v>20</v>
      </c>
      <c r="I140" s="35">
        <f>VENTAS[[#This Row],[Cantidad]]*VENTAS[[#This Row],[Precio Venta]]</f>
        <v>20</v>
      </c>
      <c r="J140" s="35">
        <f>IF(VENTAS[[#This Row],[Nombre del Gestor]]&gt;1,VENTAS[[#This Row],[Total]]*10%,0)</f>
        <v>0</v>
      </c>
      <c r="K140" s="35">
        <f>IFERROR(VLOOKUP(VENTAS[[#This Row],[Código del producto Vendido]],STOCK[],16,FALSE)*VENTAS[[#This Row],[Cantidad]]+VLOOKUP(VENTAS[[#This Row],[Código del producto Vendido]],STOCK[],19,FALSE)*VENTAS[[#This Row],[Cantidad]],VENTAS[[#This Row],[Total]])</f>
        <v>12.8444444444444</v>
      </c>
      <c r="L140" s="35">
        <f>VENTAS[[#This Row],[Total]]-VENTAS[[#This Row],[Comisión 10%]]-VENTAS[[#This Row],[Costo SIN Comision]]</f>
        <v>7.15555555555556</v>
      </c>
      <c r="M140" s="35"/>
    </row>
    <row r="141" ht="20" customHeight="1" spans="1:13">
      <c r="A141" s="29">
        <v>45051</v>
      </c>
      <c r="B141" s="30"/>
      <c r="C141" s="30" t="s">
        <v>3319</v>
      </c>
      <c r="D141" s="30"/>
      <c r="E141" s="30" t="s">
        <v>102</v>
      </c>
      <c r="F141" s="34" t="str">
        <f>IFERROR(VLOOKUP(VENTAS[[#This Row],[Código del producto Vendido]],STOCK[],5,FALSE),"-")</f>
        <v>Bañador con tira cruzada </v>
      </c>
      <c r="G141" s="34">
        <v>1</v>
      </c>
      <c r="H141" s="35">
        <v>22</v>
      </c>
      <c r="I141" s="35">
        <f>VENTAS[[#This Row],[Cantidad]]*VENTAS[[#This Row],[Precio Venta]]</f>
        <v>22</v>
      </c>
      <c r="J141" s="35">
        <f>IF(VENTAS[[#This Row],[Nombre del Gestor]]&gt;1,VENTAS[[#This Row],[Total]]*10%,0)</f>
        <v>0</v>
      </c>
      <c r="K141" s="35">
        <f>IFERROR(VLOOKUP(VENTAS[[#This Row],[Código del producto Vendido]],STOCK[],16,FALSE)*VENTAS[[#This Row],[Cantidad]]+VLOOKUP(VENTAS[[#This Row],[Código del producto Vendido]],STOCK[],19,FALSE)*VENTAS[[#This Row],[Cantidad]],VENTAS[[#This Row],[Total]])</f>
        <v>14.8283333333333</v>
      </c>
      <c r="L141" s="35">
        <f>VENTAS[[#This Row],[Total]]-VENTAS[[#This Row],[Comisión 10%]]-VENTAS[[#This Row],[Costo SIN Comision]]</f>
        <v>7.1716666666667</v>
      </c>
      <c r="M141" s="35"/>
    </row>
    <row r="142" ht="20" customHeight="1" spans="1:13">
      <c r="A142" s="29">
        <v>45057</v>
      </c>
      <c r="B142" s="30"/>
      <c r="C142" s="30" t="s">
        <v>3320</v>
      </c>
      <c r="D142" s="30"/>
      <c r="E142" s="30" t="s">
        <v>48</v>
      </c>
      <c r="F142" s="34" t="str">
        <f>IFERROR(VLOOKUP(VENTAS[[#This Row],[Código del producto Vendido]],STOCK[],5,FALSE),"-")</f>
        <v>Vestido Camisero Elegante</v>
      </c>
      <c r="G142" s="34">
        <v>1</v>
      </c>
      <c r="H142" s="35">
        <v>30</v>
      </c>
      <c r="I142" s="35">
        <f>VENTAS[[#This Row],[Cantidad]]*VENTAS[[#This Row],[Precio Venta]]</f>
        <v>30</v>
      </c>
      <c r="J142" s="35">
        <f>IF(VENTAS[[#This Row],[Nombre del Gestor]]&gt;1,VENTAS[[#This Row],[Total]]*10%,0)</f>
        <v>0</v>
      </c>
      <c r="K142" s="35">
        <f>IFERROR(VLOOKUP(VENTAS[[#This Row],[Código del producto Vendido]],STOCK[],16,FALSE)*VENTAS[[#This Row],[Cantidad]]+VLOOKUP(VENTAS[[#This Row],[Código del producto Vendido]],STOCK[],19,FALSE)*VENTAS[[#This Row],[Cantidad]],VENTAS[[#This Row],[Total]])</f>
        <v>18.5772222222222</v>
      </c>
      <c r="L142" s="35">
        <f>VENTAS[[#This Row],[Total]]-VENTAS[[#This Row],[Comisión 10%]]-VENTAS[[#This Row],[Costo SIN Comision]]</f>
        <v>11.4227777777778</v>
      </c>
      <c r="M142" s="35"/>
    </row>
    <row r="143" ht="20" customHeight="1" spans="1:13">
      <c r="A143" s="29">
        <v>45057</v>
      </c>
      <c r="B143" s="30"/>
      <c r="C143" s="30" t="s">
        <v>3320</v>
      </c>
      <c r="D143" s="30"/>
      <c r="E143" s="30" t="s">
        <v>289</v>
      </c>
      <c r="F143" s="34" t="str">
        <f>IFERROR(VLOOKUP(VENTAS[[#This Row],[Código del producto Vendido]],STOCK[],5,FALSE),"-")</f>
        <v>Conjunto de cuello profundo con girante delantero con falda</v>
      </c>
      <c r="G143" s="34">
        <v>1</v>
      </c>
      <c r="H143" s="35">
        <v>25</v>
      </c>
      <c r="I143" s="35">
        <f>VENTAS[[#This Row],[Cantidad]]*VENTAS[[#This Row],[Precio Venta]]</f>
        <v>25</v>
      </c>
      <c r="J143" s="35">
        <f>IF(VENTAS[[#This Row],[Nombre del Gestor]]&gt;1,VENTAS[[#This Row],[Total]]*10%,0)</f>
        <v>0</v>
      </c>
      <c r="K143" s="35">
        <f>IFERROR(VLOOKUP(VENTAS[[#This Row],[Código del producto Vendido]],STOCK[],16,FALSE)*VENTAS[[#This Row],[Cantidad]]+VLOOKUP(VENTAS[[#This Row],[Código del producto Vendido]],STOCK[],19,FALSE)*VENTAS[[#This Row],[Cantidad]],VENTAS[[#This Row],[Total]])</f>
        <v>13.2333333333333</v>
      </c>
      <c r="L143" s="35">
        <f>VENTAS[[#This Row],[Total]]-VENTAS[[#This Row],[Comisión 10%]]-VENTAS[[#This Row],[Costo SIN Comision]]</f>
        <v>11.7666666666667</v>
      </c>
      <c r="M143" s="35"/>
    </row>
    <row r="144" ht="20" customHeight="1" spans="1:13">
      <c r="A144" s="29">
        <v>45057</v>
      </c>
      <c r="B144" s="30"/>
      <c r="C144" s="30" t="s">
        <v>3321</v>
      </c>
      <c r="D144" s="30"/>
      <c r="E144" s="30" t="s">
        <v>319</v>
      </c>
      <c r="F144" s="34" t="str">
        <f>IFERROR(VLOOKUP(VENTAS[[#This Row],[Código del producto Vendido]],STOCK[],5,FALSE),"-")</f>
        <v>Falda en mezclilla de talle alto con abertura</v>
      </c>
      <c r="G144" s="34">
        <v>1</v>
      </c>
      <c r="H144" s="35">
        <v>35</v>
      </c>
      <c r="I144" s="35">
        <f>VENTAS[[#This Row],[Cantidad]]*VENTAS[[#This Row],[Precio Venta]]</f>
        <v>35</v>
      </c>
      <c r="J144" s="35">
        <f>IF(VENTAS[[#This Row],[Nombre del Gestor]]&gt;1,VENTAS[[#This Row],[Total]]*10%,0)</f>
        <v>0</v>
      </c>
      <c r="K144" s="35">
        <f>IFERROR(VLOOKUP(VENTAS[[#This Row],[Código del producto Vendido]],STOCK[],16,FALSE)*VENTAS[[#This Row],[Cantidad]]+VLOOKUP(VENTAS[[#This Row],[Código del producto Vendido]],STOCK[],19,FALSE)*VENTAS[[#This Row],[Cantidad]],VENTAS[[#This Row],[Total]])</f>
        <v>19</v>
      </c>
      <c r="L144" s="35">
        <f>VENTAS[[#This Row],[Total]]-VENTAS[[#This Row],[Comisión 10%]]-VENTAS[[#This Row],[Costo SIN Comision]]</f>
        <v>16</v>
      </c>
      <c r="M144" s="35"/>
    </row>
    <row r="145" ht="20" customHeight="1" spans="1:13">
      <c r="A145" s="29">
        <v>45057</v>
      </c>
      <c r="B145" s="30"/>
      <c r="C145" s="30" t="s">
        <v>3322</v>
      </c>
      <c r="D145" s="30"/>
      <c r="E145" s="30" t="s">
        <v>52</v>
      </c>
      <c r="F145" s="34" t="str">
        <f>IFERROR(VLOOKUP(VENTAS[[#This Row],[Código del producto Vendido]],STOCK[],5,FALSE),"-")</f>
        <v>Pareo pantalón</v>
      </c>
      <c r="G145" s="34">
        <v>1</v>
      </c>
      <c r="H145" s="35">
        <v>15</v>
      </c>
      <c r="I145" s="35">
        <f>VENTAS[[#This Row],[Cantidad]]*VENTAS[[#This Row],[Precio Venta]]</f>
        <v>15</v>
      </c>
      <c r="J145" s="35">
        <f>IF(VENTAS[[#This Row],[Nombre del Gestor]]&gt;1,VENTAS[[#This Row],[Total]]*10%,0)</f>
        <v>0</v>
      </c>
      <c r="K145" s="35">
        <f>IFERROR(VLOOKUP(VENTAS[[#This Row],[Código del producto Vendido]],STOCK[],16,FALSE)*VENTAS[[#This Row],[Cantidad]]+VLOOKUP(VENTAS[[#This Row],[Código del producto Vendido]],STOCK[],19,FALSE)*VENTAS[[#This Row],[Cantidad]],VENTAS[[#This Row],[Total]])</f>
        <v>10.0633333333333</v>
      </c>
      <c r="L145" s="35">
        <f>VENTAS[[#This Row],[Total]]-VENTAS[[#This Row],[Comisión 10%]]-VENTAS[[#This Row],[Costo SIN Comision]]</f>
        <v>4.93666666666667</v>
      </c>
      <c r="M145" s="35"/>
    </row>
    <row r="146" ht="20" customHeight="1" spans="1:13">
      <c r="A146" s="29"/>
      <c r="B146" s="30" t="s">
        <v>3323</v>
      </c>
      <c r="C146" s="30"/>
      <c r="D146" s="30"/>
      <c r="E146" s="30" t="s">
        <v>71</v>
      </c>
      <c r="F146" s="34" t="str">
        <f>IFERROR(VLOOKUP(VENTAS[[#This Row],[Código del producto Vendido]],STOCK[],5,FALSE),"-")</f>
        <v>Bañador con estampado floral</v>
      </c>
      <c r="G146" s="34">
        <v>1</v>
      </c>
      <c r="H146" s="35">
        <v>25</v>
      </c>
      <c r="I146" s="35">
        <f>VENTAS[[#This Row],[Cantidad]]*VENTAS[[#This Row],[Precio Venta]]</f>
        <v>25</v>
      </c>
      <c r="J146" s="35">
        <f>IF(VENTAS[[#This Row],[Nombre del Gestor]]&gt;1,VENTAS[[#This Row],[Total]]*10%,0)</f>
        <v>0</v>
      </c>
      <c r="K146" s="35">
        <f>IFERROR(VLOOKUP(VENTAS[[#This Row],[Código del producto Vendido]],STOCK[],16,FALSE)*VENTAS[[#This Row],[Cantidad]]+VLOOKUP(VENTAS[[#This Row],[Código del producto Vendido]],STOCK[],19,FALSE)*VENTAS[[#This Row],[Cantidad]],VENTAS[[#This Row],[Total]])</f>
        <v>19.8388888888889</v>
      </c>
      <c r="L146" s="35">
        <f>VENTAS[[#This Row],[Total]]-VENTAS[[#This Row],[Comisión 10%]]-VENTAS[[#This Row],[Costo SIN Comision]]</f>
        <v>5.1611111111111</v>
      </c>
      <c r="M146" s="35"/>
    </row>
    <row r="147" ht="20" customHeight="1" spans="1:13">
      <c r="A147" s="29">
        <v>45062</v>
      </c>
      <c r="B147" s="30"/>
      <c r="C147" s="30" t="s">
        <v>3324</v>
      </c>
      <c r="D147" s="30"/>
      <c r="E147" s="30" t="s">
        <v>544</v>
      </c>
      <c r="F147" s="34" t="str">
        <f>IFERROR(VLOOKUP(VENTAS[[#This Row],[Código del producto Vendido]],STOCK[],5,FALSE),"-")</f>
        <v>Cubierta de pezón de metal vinculado</v>
      </c>
      <c r="G147" s="34">
        <v>1</v>
      </c>
      <c r="H147" s="35">
        <v>8</v>
      </c>
      <c r="I147" s="35">
        <f>VENTAS[[#This Row],[Cantidad]]*VENTAS[[#This Row],[Precio Venta]]</f>
        <v>8</v>
      </c>
      <c r="J147" s="35">
        <f>IF(VENTAS[[#This Row],[Nombre del Gestor]]&gt;1,VENTAS[[#This Row],[Total]]*10%,0)</f>
        <v>0</v>
      </c>
      <c r="K147" s="35">
        <f>IFERROR(VLOOKUP(VENTAS[[#This Row],[Código del producto Vendido]],STOCK[],16,FALSE)*VENTAS[[#This Row],[Cantidad]]+VLOOKUP(VENTAS[[#This Row],[Código del producto Vendido]],STOCK[],19,FALSE)*VENTAS[[#This Row],[Cantidad]],VENTAS[[#This Row],[Total]])</f>
        <v>3.86444444444444</v>
      </c>
      <c r="L147" s="35">
        <f>VENTAS[[#This Row],[Total]]-VENTAS[[#This Row],[Comisión 10%]]-VENTAS[[#This Row],[Costo SIN Comision]]</f>
        <v>4.13555555555556</v>
      </c>
      <c r="M147" s="35"/>
    </row>
    <row r="148" ht="20" customHeight="1" spans="1:13">
      <c r="A148" s="29"/>
      <c r="B148" s="30" t="s">
        <v>3323</v>
      </c>
      <c r="C148" s="30"/>
      <c r="D148" s="30"/>
      <c r="E148" s="30" t="s">
        <v>54</v>
      </c>
      <c r="F148" s="34" t="str">
        <f>IFERROR(VLOOKUP(VENTAS[[#This Row],[Código del producto Vendido]],STOCK[],5,FALSE),"-")</f>
        <v>Pareo pantalón en malla</v>
      </c>
      <c r="G148" s="34">
        <v>1</v>
      </c>
      <c r="H148" s="35">
        <v>15</v>
      </c>
      <c r="I148" s="35">
        <f>VENTAS[[#This Row],[Cantidad]]*VENTAS[[#This Row],[Precio Venta]]</f>
        <v>15</v>
      </c>
      <c r="J148" s="35">
        <f>IF(VENTAS[[#This Row],[Nombre del Gestor]]&gt;1,VENTAS[[#This Row],[Total]]*10%,0)</f>
        <v>0</v>
      </c>
      <c r="K148" s="35">
        <f>IFERROR(VLOOKUP(VENTAS[[#This Row],[Código del producto Vendido]],STOCK[],16,FALSE)*VENTAS[[#This Row],[Cantidad]]+VLOOKUP(VENTAS[[#This Row],[Código del producto Vendido]],STOCK[],19,FALSE)*VENTAS[[#This Row],[Cantidad]],VENTAS[[#This Row],[Total]])</f>
        <v>10.0633333333333</v>
      </c>
      <c r="L148" s="35">
        <f>VENTAS[[#This Row],[Total]]-VENTAS[[#This Row],[Comisión 10%]]-VENTAS[[#This Row],[Costo SIN Comision]]</f>
        <v>4.93666666666667</v>
      </c>
      <c r="M148" s="35"/>
    </row>
    <row r="149" ht="20" customHeight="1" spans="1:13">
      <c r="A149" s="29">
        <v>45062</v>
      </c>
      <c r="B149" s="30"/>
      <c r="C149" s="30" t="s">
        <v>3324</v>
      </c>
      <c r="D149" s="30"/>
      <c r="E149" s="30" t="s">
        <v>432</v>
      </c>
      <c r="F149" s="34" t="str">
        <f>IFERROR(VLOOKUP(VENTAS[[#This Row],[Código del producto Vendido]],STOCK[],5,FALSE),"-")</f>
        <v>Vestido con cordón de espalda abierta </v>
      </c>
      <c r="G149" s="34">
        <v>1</v>
      </c>
      <c r="H149" s="35">
        <v>25</v>
      </c>
      <c r="I149" s="35">
        <f>VENTAS[[#This Row],[Cantidad]]*VENTAS[[#This Row],[Precio Venta]]</f>
        <v>25</v>
      </c>
      <c r="J149" s="35">
        <f>IF(VENTAS[[#This Row],[Nombre del Gestor]]&gt;1,VENTAS[[#This Row],[Total]]*10%,0)</f>
        <v>0</v>
      </c>
      <c r="K149" s="35">
        <f>IFERROR(VLOOKUP(VENTAS[[#This Row],[Código del producto Vendido]],STOCK[],16,FALSE)*VENTAS[[#This Row],[Cantidad]]+VLOOKUP(VENTAS[[#This Row],[Código del producto Vendido]],STOCK[],19,FALSE)*VENTAS[[#This Row],[Cantidad]],VENTAS[[#This Row],[Total]])</f>
        <v>15.9077777777778</v>
      </c>
      <c r="L149" s="35">
        <f>VENTAS[[#This Row],[Total]]-VENTAS[[#This Row],[Comisión 10%]]-VENTAS[[#This Row],[Costo SIN Comision]]</f>
        <v>9.0922222222222</v>
      </c>
      <c r="M149" s="35"/>
    </row>
    <row r="150" ht="20" customHeight="1" spans="1:13">
      <c r="A150" s="29">
        <v>45062</v>
      </c>
      <c r="B150" s="30"/>
      <c r="C150" s="30" t="s">
        <v>3324</v>
      </c>
      <c r="D150" s="30"/>
      <c r="E150" s="30" t="s">
        <v>906</v>
      </c>
      <c r="F150" s="34" t="str">
        <f>IFERROR(VLOOKUP(VENTAS[[#This Row],[Código del producto Vendido]],STOCK[],5,FALSE),"-")</f>
        <v> Top Cuello V Verde</v>
      </c>
      <c r="G150" s="34">
        <v>1</v>
      </c>
      <c r="H150" s="35">
        <v>12</v>
      </c>
      <c r="I150" s="35">
        <f>VENTAS[[#This Row],[Cantidad]]*VENTAS[[#This Row],[Precio Venta]]</f>
        <v>12</v>
      </c>
      <c r="J150" s="35">
        <f>IF(VENTAS[[#This Row],[Nombre del Gestor]]&gt;1,VENTAS[[#This Row],[Total]]*10%,0)</f>
        <v>0</v>
      </c>
      <c r="K150" s="35">
        <f>IFERROR(VLOOKUP(VENTAS[[#This Row],[Código del producto Vendido]],STOCK[],16,FALSE)*VENTAS[[#This Row],[Cantidad]]+VLOOKUP(VENTAS[[#This Row],[Código del producto Vendido]],STOCK[],19,FALSE)*VENTAS[[#This Row],[Cantidad]],VENTAS[[#This Row],[Total]])</f>
        <v>8.00545454545454</v>
      </c>
      <c r="L150" s="35">
        <f>VENTAS[[#This Row],[Total]]-VENTAS[[#This Row],[Comisión 10%]]-VENTAS[[#This Row],[Costo SIN Comision]]</f>
        <v>3.99454545454546</v>
      </c>
      <c r="M150" s="35"/>
    </row>
    <row r="151" ht="20" customHeight="1" spans="1:13">
      <c r="A151" s="42">
        <v>45062</v>
      </c>
      <c r="B151" s="30"/>
      <c r="C151" s="30" t="s">
        <v>3324</v>
      </c>
      <c r="D151" s="30"/>
      <c r="E151" s="30" t="s">
        <v>889</v>
      </c>
      <c r="F151" s="34" t="str">
        <f>IFERROR(VLOOKUP(VENTAS[[#This Row],[Código del producto Vendido]],STOCK[],5,FALSE),"-")</f>
        <v>Top Cuello encaje y mangas abombadas</v>
      </c>
      <c r="G151" s="34">
        <v>1</v>
      </c>
      <c r="H151" s="35">
        <v>12</v>
      </c>
      <c r="I151" s="35">
        <f>VENTAS[[#This Row],[Cantidad]]*VENTAS[[#This Row],[Precio Venta]]</f>
        <v>12</v>
      </c>
      <c r="J151" s="35">
        <f>IF(VENTAS[[#This Row],[Nombre del Gestor]]&gt;1,VENTAS[[#This Row],[Total]]*10%,0)</f>
        <v>0</v>
      </c>
      <c r="K151" s="35">
        <f>IFERROR(VLOOKUP(VENTAS[[#This Row],[Código del producto Vendido]],STOCK[],16,FALSE)*VENTAS[[#This Row],[Cantidad]]+VLOOKUP(VENTAS[[#This Row],[Código del producto Vendido]],STOCK[],19,FALSE)*VENTAS[[#This Row],[Cantidad]],VENTAS[[#This Row],[Total]])</f>
        <v>6.35818181818182</v>
      </c>
      <c r="L151" s="35">
        <f>VENTAS[[#This Row],[Total]]-VENTAS[[#This Row],[Comisión 10%]]-VENTAS[[#This Row],[Costo SIN Comision]]</f>
        <v>5.64181818181818</v>
      </c>
      <c r="M151" s="35"/>
    </row>
    <row r="152" ht="20" customHeight="1" spans="1:13">
      <c r="A152" s="29">
        <v>45062</v>
      </c>
      <c r="B152" s="30"/>
      <c r="C152" s="30" t="s">
        <v>3324</v>
      </c>
      <c r="D152" s="30"/>
      <c r="E152" s="30" t="s">
        <v>632</v>
      </c>
      <c r="F152" s="34" t="str">
        <f>IFERROR(VLOOKUP(VENTAS[[#This Row],[Código del producto Vendido]],STOCK[],5,FALSE),"-")</f>
        <v>Vestido floral con abertura trasera</v>
      </c>
      <c r="G152" s="34">
        <v>1</v>
      </c>
      <c r="H152" s="35">
        <v>15</v>
      </c>
      <c r="I152" s="35">
        <f>VENTAS[[#This Row],[Cantidad]]*VENTAS[[#This Row],[Precio Venta]]</f>
        <v>15</v>
      </c>
      <c r="J152" s="35">
        <f>IF(VENTAS[[#This Row],[Nombre del Gestor]]&gt;1,VENTAS[[#This Row],[Total]]*10%,0)</f>
        <v>0</v>
      </c>
      <c r="K152" s="35">
        <f>IFERROR(VLOOKUP(VENTAS[[#This Row],[Código del producto Vendido]],STOCK[],16,FALSE)*VENTAS[[#This Row],[Cantidad]]+VLOOKUP(VENTAS[[#This Row],[Código del producto Vendido]],STOCK[],19,FALSE)*VENTAS[[#This Row],[Cantidad]],VENTAS[[#This Row],[Total]])</f>
        <v>10.7222222222222</v>
      </c>
      <c r="L152" s="35">
        <f>VENTAS[[#This Row],[Total]]-VENTAS[[#This Row],[Comisión 10%]]-VENTAS[[#This Row],[Costo SIN Comision]]</f>
        <v>4.27777777777778</v>
      </c>
      <c r="M152" s="35"/>
    </row>
    <row r="153" ht="20" customHeight="1" spans="1:13">
      <c r="A153" s="29">
        <v>45062</v>
      </c>
      <c r="B153" s="30"/>
      <c r="C153" s="30" t="s">
        <v>3324</v>
      </c>
      <c r="D153" s="30"/>
      <c r="E153" s="30" t="s">
        <v>1003</v>
      </c>
      <c r="F153" s="34" t="str">
        <f>IFERROR(VLOOKUP(VENTAS[[#This Row],[Código del producto Vendido]],STOCK[],5,FALSE),"-")</f>
        <v>Vestido frenchy de puntos</v>
      </c>
      <c r="G153" s="34">
        <v>1</v>
      </c>
      <c r="H153" s="35">
        <v>22</v>
      </c>
      <c r="I153" s="35">
        <f>VENTAS[[#This Row],[Cantidad]]*VENTAS[[#This Row],[Precio Venta]]</f>
        <v>22</v>
      </c>
      <c r="J153" s="35">
        <f>IF(VENTAS[[#This Row],[Nombre del Gestor]]&gt;1,VENTAS[[#This Row],[Total]]*10%,0)</f>
        <v>0</v>
      </c>
      <c r="K153" s="35">
        <f>IFERROR(VLOOKUP(VENTAS[[#This Row],[Código del producto Vendido]],STOCK[],16,FALSE)*VENTAS[[#This Row],[Cantidad]]+VLOOKUP(VENTAS[[#This Row],[Código del producto Vendido]],STOCK[],19,FALSE)*VENTAS[[#This Row],[Cantidad]],VENTAS[[#This Row],[Total]])</f>
        <v>15.3272727272727</v>
      </c>
      <c r="L153" s="35">
        <f>VENTAS[[#This Row],[Total]]-VENTAS[[#This Row],[Comisión 10%]]-VENTAS[[#This Row],[Costo SIN Comision]]</f>
        <v>6.6727272727273</v>
      </c>
      <c r="M153" s="35"/>
    </row>
    <row r="154" ht="20" customHeight="1" spans="1:13">
      <c r="A154" s="42">
        <v>45062</v>
      </c>
      <c r="B154" s="30"/>
      <c r="C154" s="30" t="s">
        <v>3324</v>
      </c>
      <c r="D154" s="30"/>
      <c r="E154" s="30" t="s">
        <v>998</v>
      </c>
      <c r="F154" s="34" t="str">
        <f>IFERROR(VLOOKUP(VENTAS[[#This Row],[Código del producto Vendido]],STOCK[],5,FALSE),"-")</f>
        <v>Top Acanalado</v>
      </c>
      <c r="G154" s="34">
        <v>1</v>
      </c>
      <c r="H154" s="35">
        <v>12</v>
      </c>
      <c r="I154" s="35">
        <f>VENTAS[[#This Row],[Cantidad]]*VENTAS[[#This Row],[Precio Venta]]</f>
        <v>12</v>
      </c>
      <c r="J154" s="35">
        <f>IF(VENTAS[[#This Row],[Nombre del Gestor]]&gt;1,VENTAS[[#This Row],[Total]]*10%,0)</f>
        <v>0</v>
      </c>
      <c r="K154" s="35">
        <f>IFERROR(VLOOKUP(VENTAS[[#This Row],[Código del producto Vendido]],STOCK[],16,FALSE)*VENTAS[[#This Row],[Cantidad]]+VLOOKUP(VENTAS[[#This Row],[Código del producto Vendido]],STOCK[],19,FALSE)*VENTAS[[#This Row],[Cantidad]],VENTAS[[#This Row],[Total]])</f>
        <v>9.28</v>
      </c>
      <c r="L154" s="35">
        <f>VENTAS[[#This Row],[Total]]-VENTAS[[#This Row],[Comisión 10%]]-VENTAS[[#This Row],[Costo SIN Comision]]</f>
        <v>2.72</v>
      </c>
      <c r="M154" s="35"/>
    </row>
    <row r="155" ht="20" customHeight="1" spans="1:13">
      <c r="A155" s="29">
        <v>45061</v>
      </c>
      <c r="B155" s="30"/>
      <c r="C155" s="30" t="s">
        <v>3325</v>
      </c>
      <c r="D155" s="30"/>
      <c r="E155" s="30" t="s">
        <v>1021</v>
      </c>
      <c r="F155" s="34" t="str">
        <f>IFERROR(VLOOKUP(VENTAS[[#This Row],[Código del producto Vendido]],STOCK[],5,FALSE),"-")</f>
        <v>Falda Margarita</v>
      </c>
      <c r="G155" s="34">
        <v>1</v>
      </c>
      <c r="H155" s="35">
        <v>18</v>
      </c>
      <c r="I155" s="35">
        <f>VENTAS[[#This Row],[Cantidad]]*VENTAS[[#This Row],[Precio Venta]]</f>
        <v>18</v>
      </c>
      <c r="J155" s="35">
        <f>IF(VENTAS[[#This Row],[Nombre del Gestor]]&gt;1,VENTAS[[#This Row],[Total]]*10%,0)</f>
        <v>0</v>
      </c>
      <c r="K155" s="35">
        <f>IFERROR(VLOOKUP(VENTAS[[#This Row],[Código del producto Vendido]],STOCK[],16,FALSE)*VENTAS[[#This Row],[Cantidad]]+VLOOKUP(VENTAS[[#This Row],[Código del producto Vendido]],STOCK[],19,FALSE)*VENTAS[[#This Row],[Cantidad]],VENTAS[[#This Row],[Total]])</f>
        <v>8.105</v>
      </c>
      <c r="L155" s="35">
        <f>VENTAS[[#This Row],[Total]]-VENTAS[[#This Row],[Comisión 10%]]-VENTAS[[#This Row],[Costo SIN Comision]]</f>
        <v>9.895</v>
      </c>
      <c r="M155" s="35"/>
    </row>
    <row r="156" ht="20" customHeight="1" spans="1:13">
      <c r="A156" s="29">
        <v>45061</v>
      </c>
      <c r="B156" s="30"/>
      <c r="C156" s="30" t="s">
        <v>3325</v>
      </c>
      <c r="D156" s="30"/>
      <c r="E156" s="30" t="s">
        <v>1015</v>
      </c>
      <c r="F156" s="34" t="str">
        <f>IFERROR(VLOOKUP(VENTAS[[#This Row],[Código del producto Vendido]],STOCK[],5,FALSE),"-")</f>
        <v>Top Dreamer Negro</v>
      </c>
      <c r="G156" s="34">
        <v>1</v>
      </c>
      <c r="H156" s="35">
        <v>12</v>
      </c>
      <c r="I156" s="35">
        <f>VENTAS[[#This Row],[Cantidad]]*VENTAS[[#This Row],[Precio Venta]]</f>
        <v>12</v>
      </c>
      <c r="J156" s="35">
        <f>IF(VENTAS[[#This Row],[Nombre del Gestor]]&gt;1,VENTAS[[#This Row],[Total]]*10%,0)</f>
        <v>0</v>
      </c>
      <c r="K156" s="35">
        <f>IFERROR(VLOOKUP(VENTAS[[#This Row],[Código del producto Vendido]],STOCK[],16,FALSE)*VENTAS[[#This Row],[Cantidad]]+VLOOKUP(VENTAS[[#This Row],[Código del producto Vendido]],STOCK[],19,FALSE)*VENTAS[[#This Row],[Cantidad]],VENTAS[[#This Row],[Total]])</f>
        <v>7.15681818181818</v>
      </c>
      <c r="L156" s="35">
        <f>VENTAS[[#This Row],[Total]]-VENTAS[[#This Row],[Comisión 10%]]-VENTAS[[#This Row],[Costo SIN Comision]]</f>
        <v>4.84318181818182</v>
      </c>
      <c r="M156" s="35"/>
    </row>
    <row r="157" ht="20" customHeight="1" spans="1:13">
      <c r="A157" s="29">
        <v>45061</v>
      </c>
      <c r="B157" s="30"/>
      <c r="C157" s="30" t="s">
        <v>3325</v>
      </c>
      <c r="D157" s="30"/>
      <c r="E157" s="30" t="s">
        <v>979</v>
      </c>
      <c r="F157" s="34" t="str">
        <f>IFERROR(VLOOKUP(VENTAS[[#This Row],[Código del producto Vendido]],STOCK[],5,FALSE),"-")</f>
        <v> Top Mangas Fruncidas</v>
      </c>
      <c r="G157" s="34">
        <v>1</v>
      </c>
      <c r="H157" s="35">
        <v>11</v>
      </c>
      <c r="I157" s="35">
        <f>VENTAS[[#This Row],[Cantidad]]*VENTAS[[#This Row],[Precio Venta]]</f>
        <v>11</v>
      </c>
      <c r="J157" s="35">
        <f>IF(VENTAS[[#This Row],[Nombre del Gestor]]&gt;1,VENTAS[[#This Row],[Total]]*10%,0)</f>
        <v>0</v>
      </c>
      <c r="K157" s="35">
        <f>IFERROR(VLOOKUP(VENTAS[[#This Row],[Código del producto Vendido]],STOCK[],16,FALSE)*VENTAS[[#This Row],[Cantidad]]+VLOOKUP(VENTAS[[#This Row],[Código del producto Vendido]],STOCK[],19,FALSE)*VENTAS[[#This Row],[Cantidad]],VENTAS[[#This Row],[Total]])</f>
        <v>6.81136363636364</v>
      </c>
      <c r="L157" s="35">
        <f>VENTAS[[#This Row],[Total]]-VENTAS[[#This Row],[Comisión 10%]]-VENTAS[[#This Row],[Costo SIN Comision]]</f>
        <v>4.18863636363636</v>
      </c>
      <c r="M157" s="35"/>
    </row>
    <row r="158" ht="20" customHeight="1" spans="1:13">
      <c r="A158" s="29">
        <v>45061</v>
      </c>
      <c r="B158" s="30"/>
      <c r="C158" s="30" t="s">
        <v>3325</v>
      </c>
      <c r="D158" s="30"/>
      <c r="E158" s="30" t="s">
        <v>1047</v>
      </c>
      <c r="F158" s="34" t="str">
        <f>IFERROR(VLOOKUP(VENTAS[[#This Row],[Código del producto Vendido]],STOCK[],5,FALSE),"-")</f>
        <v>Pantaloneta Camel</v>
      </c>
      <c r="G158" s="34">
        <v>1</v>
      </c>
      <c r="H158" s="35">
        <v>30</v>
      </c>
      <c r="I158" s="35">
        <f>VENTAS[[#This Row],[Cantidad]]*VENTAS[[#This Row],[Precio Venta]]</f>
        <v>30</v>
      </c>
      <c r="J158" s="35">
        <f>IF(VENTAS[[#This Row],[Nombre del Gestor]]&gt;1,VENTAS[[#This Row],[Total]]*10%,0)</f>
        <v>0</v>
      </c>
      <c r="K158" s="35">
        <f>IFERROR(VLOOKUP(VENTAS[[#This Row],[Código del producto Vendido]],STOCK[],16,FALSE)*VENTAS[[#This Row],[Cantidad]]+VLOOKUP(VENTAS[[#This Row],[Código del producto Vendido]],STOCK[],19,FALSE)*VENTAS[[#This Row],[Cantidad]],VENTAS[[#This Row],[Total]])</f>
        <v>18.6477272727273</v>
      </c>
      <c r="L158" s="35">
        <f>VENTAS[[#This Row],[Total]]-VENTAS[[#This Row],[Comisión 10%]]-VENTAS[[#This Row],[Costo SIN Comision]]</f>
        <v>11.3522727272727</v>
      </c>
      <c r="M158" s="35"/>
    </row>
    <row r="159" ht="20" customHeight="1" spans="1:13">
      <c r="A159" s="29">
        <v>45061</v>
      </c>
      <c r="B159" s="30"/>
      <c r="C159" s="30" t="s">
        <v>3325</v>
      </c>
      <c r="D159" s="30"/>
      <c r="E159" s="30" t="s">
        <v>913</v>
      </c>
      <c r="F159" s="34" t="str">
        <f>IFERROR(VLOOKUP(VENTAS[[#This Row],[Código del producto Vendido]],STOCK[],5,FALSE),"-")</f>
        <v>Camiseta con figura</v>
      </c>
      <c r="G159" s="34">
        <v>1</v>
      </c>
      <c r="H159" s="35">
        <v>15</v>
      </c>
      <c r="I159" s="35">
        <f>VENTAS[[#This Row],[Cantidad]]*VENTAS[[#This Row],[Precio Venta]]</f>
        <v>15</v>
      </c>
      <c r="J159" s="35">
        <f>IF(VENTAS[[#This Row],[Nombre del Gestor]]&gt;1,VENTAS[[#This Row],[Total]]*10%,0)</f>
        <v>0</v>
      </c>
      <c r="K159" s="35">
        <f>IFERROR(VLOOKUP(VENTAS[[#This Row],[Código del producto Vendido]],STOCK[],16,FALSE)*VENTAS[[#This Row],[Cantidad]]+VLOOKUP(VENTAS[[#This Row],[Código del producto Vendido]],STOCK[],19,FALSE)*VENTAS[[#This Row],[Cantidad]],VENTAS[[#This Row],[Total]])</f>
        <v>10.0772727272727</v>
      </c>
      <c r="L159" s="35">
        <f>VENTAS[[#This Row],[Total]]-VENTAS[[#This Row],[Comisión 10%]]-VENTAS[[#This Row],[Costo SIN Comision]]</f>
        <v>4.92272727272727</v>
      </c>
      <c r="M159" s="35"/>
    </row>
    <row r="160" ht="20" customHeight="1" spans="1:13">
      <c r="A160" s="29">
        <v>45061</v>
      </c>
      <c r="B160" s="30"/>
      <c r="C160" s="30" t="s">
        <v>3325</v>
      </c>
      <c r="D160" s="30"/>
      <c r="E160" s="30" t="s">
        <v>1042</v>
      </c>
      <c r="F160" s="34" t="str">
        <f>IFERROR(VLOOKUP(VENTAS[[#This Row],[Código del producto Vendido]],STOCK[],5,FALSE),"-")</f>
        <v>Jeans Elastizados Pierna Ancha</v>
      </c>
      <c r="G160" s="34">
        <v>1</v>
      </c>
      <c r="H160" s="35">
        <v>35</v>
      </c>
      <c r="I160" s="35">
        <f>VENTAS[[#This Row],[Cantidad]]*VENTAS[[#This Row],[Precio Venta]]</f>
        <v>35</v>
      </c>
      <c r="J160" s="35">
        <f>IF(VENTAS[[#This Row],[Nombre del Gestor]]&gt;1,VENTAS[[#This Row],[Total]]*10%,0)</f>
        <v>0</v>
      </c>
      <c r="K160" s="35">
        <f>IFERROR(VLOOKUP(VENTAS[[#This Row],[Código del producto Vendido]],STOCK[],16,FALSE)*VENTAS[[#This Row],[Cantidad]]+VLOOKUP(VENTAS[[#This Row],[Código del producto Vendido]],STOCK[],19,FALSE)*VENTAS[[#This Row],[Cantidad]],VENTAS[[#This Row],[Total]])</f>
        <v>27.5227272727273</v>
      </c>
      <c r="L160" s="35">
        <f>VENTAS[[#This Row],[Total]]-VENTAS[[#This Row],[Comisión 10%]]-VENTAS[[#This Row],[Costo SIN Comision]]</f>
        <v>7.4772727272727</v>
      </c>
      <c r="M160" s="35"/>
    </row>
    <row r="161" ht="20" customHeight="1" spans="1:13">
      <c r="A161" s="29">
        <v>45062</v>
      </c>
      <c r="B161" s="30"/>
      <c r="C161" s="30" t="s">
        <v>3326</v>
      </c>
      <c r="D161" s="30"/>
      <c r="E161" s="30" t="s">
        <v>49</v>
      </c>
      <c r="F161" s="34" t="str">
        <f>IFERROR(VLOOKUP(VENTAS[[#This Row],[Código del producto Vendido]],STOCK[],5,FALSE),"-")</f>
        <v>Pareo Pantalón</v>
      </c>
      <c r="G161" s="34">
        <v>1</v>
      </c>
      <c r="H161" s="35">
        <v>15</v>
      </c>
      <c r="I161" s="35">
        <f>VENTAS[[#This Row],[Cantidad]]*VENTAS[[#This Row],[Precio Venta]]</f>
        <v>15</v>
      </c>
      <c r="J161" s="35">
        <f>IF(VENTAS[[#This Row],[Nombre del Gestor]]&gt;1,VENTAS[[#This Row],[Total]]*10%,0)</f>
        <v>0</v>
      </c>
      <c r="K161" s="35">
        <f>IFERROR(VLOOKUP(VENTAS[[#This Row],[Código del producto Vendido]],STOCK[],16,FALSE)*VENTAS[[#This Row],[Cantidad]]+VLOOKUP(VENTAS[[#This Row],[Código del producto Vendido]],STOCK[],19,FALSE)*VENTAS[[#This Row],[Cantidad]],VENTAS[[#This Row],[Total]])</f>
        <v>10.0633333333333</v>
      </c>
      <c r="L161" s="35">
        <f>VENTAS[[#This Row],[Total]]-VENTAS[[#This Row],[Comisión 10%]]-VENTAS[[#This Row],[Costo SIN Comision]]</f>
        <v>4.93666666666667</v>
      </c>
      <c r="M161" s="35"/>
    </row>
    <row r="162" ht="20" customHeight="1" spans="1:13">
      <c r="A162" s="29">
        <v>45062</v>
      </c>
      <c r="B162" s="30"/>
      <c r="C162" s="30" t="s">
        <v>3326</v>
      </c>
      <c r="D162" s="30"/>
      <c r="E162" s="30" t="s">
        <v>899</v>
      </c>
      <c r="F162" s="34" t="str">
        <f>IFERROR(VLOOKUP(VENTAS[[#This Row],[Código del producto Vendido]],STOCK[],5,FALSE),"-")</f>
        <v>Bañador con adorno de malla</v>
      </c>
      <c r="G162" s="34">
        <v>1</v>
      </c>
      <c r="H162" s="35">
        <v>25</v>
      </c>
      <c r="I162" s="35">
        <f>VENTAS[[#This Row],[Cantidad]]*VENTAS[[#This Row],[Precio Venta]]</f>
        <v>25</v>
      </c>
      <c r="J162" s="35">
        <f>IF(VENTAS[[#This Row],[Nombre del Gestor]]&gt;1,VENTAS[[#This Row],[Total]]*10%,0)</f>
        <v>0</v>
      </c>
      <c r="K162" s="35">
        <f>IFERROR(VLOOKUP(VENTAS[[#This Row],[Código del producto Vendido]],STOCK[],16,FALSE)*VENTAS[[#This Row],[Cantidad]]+VLOOKUP(VENTAS[[#This Row],[Código del producto Vendido]],STOCK[],19,FALSE)*VENTAS[[#This Row],[Cantidad]],VENTAS[[#This Row],[Total]])</f>
        <v>15.3295454545455</v>
      </c>
      <c r="L162" s="35">
        <f>VENTAS[[#This Row],[Total]]-VENTAS[[#This Row],[Comisión 10%]]-VENTAS[[#This Row],[Costo SIN Comision]]</f>
        <v>9.6704545454545</v>
      </c>
      <c r="M162" s="35"/>
    </row>
    <row r="163" ht="20" customHeight="1" spans="1:13">
      <c r="A163" s="29">
        <v>45059</v>
      </c>
      <c r="B163" s="30" t="s">
        <v>1073</v>
      </c>
      <c r="C163" s="30" t="s">
        <v>3312</v>
      </c>
      <c r="D163" s="30"/>
      <c r="E163" s="30" t="s">
        <v>955</v>
      </c>
      <c r="F163" s="34" t="str">
        <f>IFERROR(VLOOKUP(VENTAS[[#This Row],[Código del producto Vendido]],STOCK[],5,FALSE),"-")</f>
        <v>Bañador una pieza con mariposa aplique fruncido</v>
      </c>
      <c r="G163" s="34">
        <v>1</v>
      </c>
      <c r="H163" s="35">
        <v>22</v>
      </c>
      <c r="I163" s="35">
        <f>VENTAS[[#This Row],[Cantidad]]*VENTAS[[#This Row],[Precio Venta]]</f>
        <v>22</v>
      </c>
      <c r="J163" s="35">
        <f>IF(VENTAS[[#This Row],[Nombre del Gestor]]&gt;1,VENTAS[[#This Row],[Total]]*10%,0)</f>
        <v>0</v>
      </c>
      <c r="K163" s="35">
        <f>IFERROR(VLOOKUP(VENTAS[[#This Row],[Código del producto Vendido]],STOCK[],16,FALSE)*VENTAS[[#This Row],[Cantidad]]+VLOOKUP(VENTAS[[#This Row],[Código del producto Vendido]],STOCK[],19,FALSE)*VENTAS[[#This Row],[Cantidad]],VENTAS[[#This Row],[Total]])</f>
        <v>11.9227272727273</v>
      </c>
      <c r="L163" s="35">
        <f>VENTAS[[#This Row],[Total]]-VENTAS[[#This Row],[Comisión 10%]]-VENTAS[[#This Row],[Costo SIN Comision]]</f>
        <v>10.0772727272727</v>
      </c>
      <c r="M163" s="35"/>
    </row>
    <row r="164" ht="20" customHeight="1" spans="1:13">
      <c r="A164" s="29">
        <v>45064</v>
      </c>
      <c r="B164" s="30"/>
      <c r="C164" s="30" t="s">
        <v>3327</v>
      </c>
      <c r="D164" s="30"/>
      <c r="E164" s="30" t="s">
        <v>1039</v>
      </c>
      <c r="F164" s="34" t="str">
        <f>IFERROR(VLOOKUP(VENTAS[[#This Row],[Código del producto Vendido]],STOCK[],5,FALSE),"-")</f>
        <v>Jeans Elastizados Pierna Ancha</v>
      </c>
      <c r="G164" s="34">
        <v>1</v>
      </c>
      <c r="H164" s="35">
        <v>35</v>
      </c>
      <c r="I164" s="35">
        <f>VENTAS[[#This Row],[Cantidad]]*VENTAS[[#This Row],[Precio Venta]]</f>
        <v>35</v>
      </c>
      <c r="J164" s="35">
        <f>IF(VENTAS[[#This Row],[Nombre del Gestor]]&gt;1,VENTAS[[#This Row],[Total]]*10%,0)</f>
        <v>0</v>
      </c>
      <c r="K164" s="35">
        <f>IFERROR(VLOOKUP(VENTAS[[#This Row],[Código del producto Vendido]],STOCK[],16,FALSE)*VENTAS[[#This Row],[Cantidad]]+VLOOKUP(VENTAS[[#This Row],[Código del producto Vendido]],STOCK[],19,FALSE)*VENTAS[[#This Row],[Cantidad]],VENTAS[[#This Row],[Total]])</f>
        <v>27.5227272727273</v>
      </c>
      <c r="L164" s="35">
        <f>VENTAS[[#This Row],[Total]]-VENTAS[[#This Row],[Comisión 10%]]-VENTAS[[#This Row],[Costo SIN Comision]]</f>
        <v>7.4772727272727</v>
      </c>
      <c r="M164" s="35"/>
    </row>
    <row r="165" ht="20" customHeight="1" spans="1:13">
      <c r="A165" s="29">
        <v>45064</v>
      </c>
      <c r="B165" s="30"/>
      <c r="C165" s="30" t="s">
        <v>3327</v>
      </c>
      <c r="D165" s="30"/>
      <c r="E165" s="30" t="s">
        <v>982</v>
      </c>
      <c r="F165" s="34" t="str">
        <f>IFERROR(VLOOKUP(VENTAS[[#This Row],[Código del producto Vendido]],STOCK[],5,FALSE),"-")</f>
        <v> Top Mangas Fruncidas</v>
      </c>
      <c r="G165" s="34">
        <v>1</v>
      </c>
      <c r="H165" s="35">
        <v>12</v>
      </c>
      <c r="I165" s="35">
        <f>VENTAS[[#This Row],[Cantidad]]*VENTAS[[#This Row],[Precio Venta]]</f>
        <v>12</v>
      </c>
      <c r="J165" s="35">
        <f>IF(VENTAS[[#This Row],[Nombre del Gestor]]&gt;1,VENTAS[[#This Row],[Total]]*10%,0)</f>
        <v>0</v>
      </c>
      <c r="K165" s="35">
        <f>IFERROR(VLOOKUP(VENTAS[[#This Row],[Código del producto Vendido]],STOCK[],16,FALSE)*VENTAS[[#This Row],[Cantidad]]+VLOOKUP(VENTAS[[#This Row],[Código del producto Vendido]],STOCK[],19,FALSE)*VENTAS[[#This Row],[Cantidad]],VENTAS[[#This Row],[Total]])</f>
        <v>6.81136363636364</v>
      </c>
      <c r="L165" s="35">
        <f>VENTAS[[#This Row],[Total]]-VENTAS[[#This Row],[Comisión 10%]]-VENTAS[[#This Row],[Costo SIN Comision]]</f>
        <v>5.18863636363636</v>
      </c>
      <c r="M165" s="35"/>
    </row>
    <row r="166" ht="20" customHeight="1" spans="1:13">
      <c r="A166" s="29">
        <v>45064</v>
      </c>
      <c r="B166" s="30"/>
      <c r="C166" s="30" t="s">
        <v>3328</v>
      </c>
      <c r="D166" s="30"/>
      <c r="E166" s="45" t="s">
        <v>941</v>
      </c>
      <c r="F166" s="34" t="str">
        <f>IFERROR(VLOOKUP(VENTAS[[#This Row],[Código del producto Vendido]],STOCK[],5,FALSE),"-")</f>
        <v>Vestido Tropical</v>
      </c>
      <c r="G166" s="34">
        <v>1</v>
      </c>
      <c r="H166" s="35">
        <v>30</v>
      </c>
      <c r="I166" s="35">
        <f>VENTAS[[#This Row],[Cantidad]]*VENTAS[[#This Row],[Precio Venta]]</f>
        <v>30</v>
      </c>
      <c r="J166" s="35">
        <f>IF(VENTAS[[#This Row],[Nombre del Gestor]]&gt;1,VENTAS[[#This Row],[Total]]*10%,0)</f>
        <v>0</v>
      </c>
      <c r="K166" s="35">
        <f>IFERROR(VLOOKUP(VENTAS[[#This Row],[Código del producto Vendido]],STOCK[],16,FALSE)*VENTAS[[#This Row],[Cantidad]]+VLOOKUP(VENTAS[[#This Row],[Código del producto Vendido]],STOCK[],19,FALSE)*VENTAS[[#This Row],[Cantidad]],VENTAS[[#This Row],[Total]])</f>
        <v>18.8486363636364</v>
      </c>
      <c r="L166" s="35">
        <f>VENTAS[[#This Row],[Total]]-VENTAS[[#This Row],[Comisión 10%]]-VENTAS[[#This Row],[Costo SIN Comision]]</f>
        <v>11.1513636363636</v>
      </c>
      <c r="M166" s="35"/>
    </row>
    <row r="167" ht="20" customHeight="1" spans="1:13">
      <c r="A167" s="29">
        <v>45064</v>
      </c>
      <c r="B167" s="30"/>
      <c r="C167" s="30" t="s">
        <v>3328</v>
      </c>
      <c r="D167" s="30"/>
      <c r="E167" s="30" t="s">
        <v>985</v>
      </c>
      <c r="F167" s="34" t="str">
        <f>IFERROR(VLOOKUP(VENTAS[[#This Row],[Código del producto Vendido]],STOCK[],5,FALSE),"-")</f>
        <v>Vestido con abertura</v>
      </c>
      <c r="G167" s="34">
        <v>1</v>
      </c>
      <c r="H167" s="35">
        <v>22</v>
      </c>
      <c r="I167" s="35">
        <f>VENTAS[[#This Row],[Cantidad]]*VENTAS[[#This Row],[Precio Venta]]</f>
        <v>22</v>
      </c>
      <c r="J167" s="35">
        <f>IF(VENTAS[[#This Row],[Nombre del Gestor]]&gt;1,VENTAS[[#This Row],[Total]]*10%,0)</f>
        <v>0</v>
      </c>
      <c r="K167" s="35">
        <f>IFERROR(VLOOKUP(VENTAS[[#This Row],[Código del producto Vendido]],STOCK[],16,FALSE)*VENTAS[[#This Row],[Cantidad]]+VLOOKUP(VENTAS[[#This Row],[Código del producto Vendido]],STOCK[],19,FALSE)*VENTAS[[#This Row],[Cantidad]],VENTAS[[#This Row],[Total]])</f>
        <v>15.5277272727273</v>
      </c>
      <c r="L167" s="35">
        <f>VENTAS[[#This Row],[Total]]-VENTAS[[#This Row],[Comisión 10%]]-VENTAS[[#This Row],[Costo SIN Comision]]</f>
        <v>6.4722727272727</v>
      </c>
      <c r="M167" s="35"/>
    </row>
    <row r="168" ht="20" customHeight="1" spans="1:13">
      <c r="A168" s="29">
        <v>45064</v>
      </c>
      <c r="B168" s="30"/>
      <c r="C168" s="30" t="s">
        <v>3319</v>
      </c>
      <c r="D168" s="30"/>
      <c r="E168" s="30" t="s">
        <v>29</v>
      </c>
      <c r="F168" s="34" t="str">
        <f>IFERROR(VLOOKUP(VENTAS[[#This Row],[Código del producto Vendido]],STOCK[],5,FALSE),"-")</f>
        <v>Pareo falda </v>
      </c>
      <c r="G168" s="34">
        <v>4</v>
      </c>
      <c r="H168" s="35">
        <v>8</v>
      </c>
      <c r="I168" s="35">
        <f>VENTAS[[#This Row],[Cantidad]]*VENTAS[[#This Row],[Precio Venta]]</f>
        <v>32</v>
      </c>
      <c r="J168" s="35">
        <f>IF(VENTAS[[#This Row],[Nombre del Gestor]]&gt;1,VENTAS[[#This Row],[Total]]*10%,0)</f>
        <v>0</v>
      </c>
      <c r="K168" s="35">
        <f>IFERROR(VLOOKUP(VENTAS[[#This Row],[Código del producto Vendido]],STOCK[],16,FALSE)*VENTAS[[#This Row],[Cantidad]]+VLOOKUP(VENTAS[[#This Row],[Código del producto Vendido]],STOCK[],19,FALSE)*VENTAS[[#This Row],[Cantidad]],VENTAS[[#This Row],[Total]])</f>
        <v>17.3488888888889</v>
      </c>
      <c r="L168" s="35">
        <f>VENTAS[[#This Row],[Total]]-VENTAS[[#This Row],[Comisión 10%]]-VENTAS[[#This Row],[Costo SIN Comision]]</f>
        <v>14.6511111111111</v>
      </c>
      <c r="M168" s="35"/>
    </row>
    <row r="169" ht="20" customHeight="1" spans="1:13">
      <c r="A169" s="29">
        <v>45064</v>
      </c>
      <c r="B169" s="30"/>
      <c r="C169" s="30" t="s">
        <v>3319</v>
      </c>
      <c r="D169" s="30"/>
      <c r="E169" s="30" t="s">
        <v>107</v>
      </c>
      <c r="F169" s="34" t="str">
        <f>IFERROR(VLOOKUP(VENTAS[[#This Row],[Código del producto Vendido]],STOCK[],5,FALSE),"-")</f>
        <v>Bañador color combinado</v>
      </c>
      <c r="G169" s="34">
        <v>1</v>
      </c>
      <c r="H169" s="35">
        <v>25</v>
      </c>
      <c r="I169" s="35">
        <f>VENTAS[[#This Row],[Cantidad]]*VENTAS[[#This Row],[Precio Venta]]</f>
        <v>25</v>
      </c>
      <c r="J169" s="35">
        <f>IF(VENTAS[[#This Row],[Nombre del Gestor]]&gt;1,VENTAS[[#This Row],[Total]]*10%,0)</f>
        <v>0</v>
      </c>
      <c r="K169" s="35">
        <f>IFERROR(VLOOKUP(VENTAS[[#This Row],[Código del producto Vendido]],STOCK[],16,FALSE)*VENTAS[[#This Row],[Cantidad]]+VLOOKUP(VENTAS[[#This Row],[Código del producto Vendido]],STOCK[],19,FALSE)*VENTAS[[#This Row],[Cantidad]],VENTAS[[#This Row],[Total]])</f>
        <v>18.4788888888889</v>
      </c>
      <c r="L169" s="35">
        <f>VENTAS[[#This Row],[Total]]-VENTAS[[#This Row],[Comisión 10%]]-VENTAS[[#This Row],[Costo SIN Comision]]</f>
        <v>6.5211111111111</v>
      </c>
      <c r="M169" s="35"/>
    </row>
    <row r="170" ht="20" customHeight="1" spans="1:13">
      <c r="A170" s="29">
        <v>45064</v>
      </c>
      <c r="B170" s="30"/>
      <c r="C170" s="30" t="s">
        <v>3329</v>
      </c>
      <c r="D170" s="30"/>
      <c r="E170" s="30" t="s">
        <v>896</v>
      </c>
      <c r="F170" s="34" t="str">
        <f>IFERROR(VLOOKUP(VENTAS[[#This Row],[Código del producto Vendido]],STOCK[],5,FALSE),"-")</f>
        <v>Bañador con adorno de malla</v>
      </c>
      <c r="G170" s="34">
        <v>1</v>
      </c>
      <c r="H170" s="35">
        <v>25</v>
      </c>
      <c r="I170" s="35">
        <f>VENTAS[[#This Row],[Cantidad]]*VENTAS[[#This Row],[Precio Venta]]</f>
        <v>25</v>
      </c>
      <c r="J170" s="35">
        <f>IF(VENTAS[[#This Row],[Nombre del Gestor]]&gt;1,VENTAS[[#This Row],[Total]]*10%,0)</f>
        <v>0</v>
      </c>
      <c r="K170" s="35">
        <f>IFERROR(VLOOKUP(VENTAS[[#This Row],[Código del producto Vendido]],STOCK[],16,FALSE)*VENTAS[[#This Row],[Cantidad]]+VLOOKUP(VENTAS[[#This Row],[Código del producto Vendido]],STOCK[],19,FALSE)*VENTAS[[#This Row],[Cantidad]],VENTAS[[#This Row],[Total]])</f>
        <v>16.1795454545455</v>
      </c>
      <c r="L170" s="35">
        <f>VENTAS[[#This Row],[Total]]-VENTAS[[#This Row],[Comisión 10%]]-VENTAS[[#This Row],[Costo SIN Comision]]</f>
        <v>8.8204545454545</v>
      </c>
      <c r="M170" s="35"/>
    </row>
    <row r="171" ht="20" customHeight="1" spans="1:13">
      <c r="A171" s="29">
        <v>45064</v>
      </c>
      <c r="B171" s="30"/>
      <c r="C171" s="30" t="s">
        <v>3330</v>
      </c>
      <c r="D171" s="30"/>
      <c r="E171" s="30" t="s">
        <v>1001</v>
      </c>
      <c r="F171" s="34" t="str">
        <f>IFERROR(VLOOKUP(VENTAS[[#This Row],[Código del producto Vendido]],STOCK[],5,FALSE),"-")</f>
        <v>Vestido frenchy de puntos</v>
      </c>
      <c r="G171" s="34">
        <v>1</v>
      </c>
      <c r="H171" s="35">
        <v>22</v>
      </c>
      <c r="I171" s="35">
        <f>VENTAS[[#This Row],[Cantidad]]*VENTAS[[#This Row],[Precio Venta]]</f>
        <v>22</v>
      </c>
      <c r="J171" s="35">
        <f>IF(VENTAS[[#This Row],[Nombre del Gestor]]&gt;1,VENTAS[[#This Row],[Total]]*10%,0)</f>
        <v>0</v>
      </c>
      <c r="K171" s="35">
        <f>IFERROR(VLOOKUP(VENTAS[[#This Row],[Código del producto Vendido]],STOCK[],16,FALSE)*VENTAS[[#This Row],[Cantidad]]+VLOOKUP(VENTAS[[#This Row],[Código del producto Vendido]],STOCK[],19,FALSE)*VENTAS[[#This Row],[Cantidad]],VENTAS[[#This Row],[Total]])</f>
        <v>15.3272727272727</v>
      </c>
      <c r="L171" s="35">
        <f>VENTAS[[#This Row],[Total]]-VENTAS[[#This Row],[Comisión 10%]]-VENTAS[[#This Row],[Costo SIN Comision]]</f>
        <v>6.6727272727273</v>
      </c>
      <c r="M171" s="35"/>
    </row>
    <row r="172" ht="20" customHeight="1" spans="1:13">
      <c r="A172" s="29">
        <v>45065</v>
      </c>
      <c r="B172" s="30"/>
      <c r="C172" s="30" t="s">
        <v>3331</v>
      </c>
      <c r="D172" s="30"/>
      <c r="E172" s="30" t="s">
        <v>951</v>
      </c>
      <c r="F172" s="34" t="str">
        <f>IFERROR(VLOOKUP(VENTAS[[#This Row],[Código del producto Vendido]],STOCK[],5,FALSE),"-")</f>
        <v> Pantaloneta Verde</v>
      </c>
      <c r="G172" s="34">
        <v>1</v>
      </c>
      <c r="H172" s="35">
        <v>25</v>
      </c>
      <c r="I172" s="35">
        <f>VENTAS[[#This Row],[Cantidad]]*VENTAS[[#This Row],[Precio Venta]]</f>
        <v>25</v>
      </c>
      <c r="J172" s="35">
        <f>IF(VENTAS[[#This Row],[Nombre del Gestor]]&gt;1,VENTAS[[#This Row],[Total]]*10%,0)</f>
        <v>0</v>
      </c>
      <c r="K172" s="35">
        <f>IFERROR(VLOOKUP(VENTAS[[#This Row],[Código del producto Vendido]],STOCK[],16,FALSE)*VENTAS[[#This Row],[Cantidad]]+VLOOKUP(VENTAS[[#This Row],[Código del producto Vendido]],STOCK[],19,FALSE)*VENTAS[[#This Row],[Cantidad]],VENTAS[[#This Row],[Total]])</f>
        <v>14.8713636363636</v>
      </c>
      <c r="L172" s="35">
        <f>VENTAS[[#This Row],[Total]]-VENTAS[[#This Row],[Comisión 10%]]-VENTAS[[#This Row],[Costo SIN Comision]]</f>
        <v>10.1286363636364</v>
      </c>
      <c r="M172" s="35"/>
    </row>
    <row r="173" ht="20" customHeight="1" spans="1:13">
      <c r="A173" s="29">
        <v>45065</v>
      </c>
      <c r="B173" s="30"/>
      <c r="C173" s="30" t="s">
        <v>3332</v>
      </c>
      <c r="D173" s="30"/>
      <c r="E173" s="30" t="s">
        <v>436</v>
      </c>
      <c r="F173" s="34" t="str">
        <f>IFERROR(VLOOKUP(VENTAS[[#This Row],[Código del producto Vendido]],STOCK[],5,FALSE),"-")</f>
        <v>Bañador bikini floral</v>
      </c>
      <c r="G173" s="34">
        <v>1</v>
      </c>
      <c r="H173" s="35">
        <v>25</v>
      </c>
      <c r="I173" s="35">
        <f>VENTAS[[#This Row],[Cantidad]]*VENTAS[[#This Row],[Precio Venta]]</f>
        <v>25</v>
      </c>
      <c r="J173" s="35">
        <f>IF(VENTAS[[#This Row],[Nombre del Gestor]]&gt;1,VENTAS[[#This Row],[Total]]*10%,0)</f>
        <v>0</v>
      </c>
      <c r="K173" s="35">
        <f>IFERROR(VLOOKUP(VENTAS[[#This Row],[Código del producto Vendido]],STOCK[],16,FALSE)*VENTAS[[#This Row],[Cantidad]]+VLOOKUP(VENTAS[[#This Row],[Código del producto Vendido]],STOCK[],19,FALSE)*VENTAS[[#This Row],[Cantidad]],VENTAS[[#This Row],[Total]])</f>
        <v>16.6044444444444</v>
      </c>
      <c r="L173" s="35">
        <f>VENTAS[[#This Row],[Total]]-VENTAS[[#This Row],[Comisión 10%]]-VENTAS[[#This Row],[Costo SIN Comision]]</f>
        <v>8.3955555555556</v>
      </c>
      <c r="M173" s="35"/>
    </row>
    <row r="174" ht="20" customHeight="1" spans="1:13">
      <c r="A174" s="29">
        <v>45065</v>
      </c>
      <c r="B174" s="30"/>
      <c r="C174" s="30" t="s">
        <v>3333</v>
      </c>
      <c r="D174" s="30"/>
      <c r="E174" s="30" t="s">
        <v>367</v>
      </c>
      <c r="F174" s="34" t="str">
        <f>IFERROR(VLOOKUP(VENTAS[[#This Row],[Código del producto Vendido]],STOCK[],5,FALSE),"-")</f>
        <v>Vestido de un hombro con nudo</v>
      </c>
      <c r="G174" s="34">
        <v>1</v>
      </c>
      <c r="H174" s="35">
        <v>15</v>
      </c>
      <c r="I174" s="35">
        <f>VENTAS[[#This Row],[Cantidad]]*VENTAS[[#This Row],[Precio Venta]]</f>
        <v>15</v>
      </c>
      <c r="J174" s="35">
        <f>IF(VENTAS[[#This Row],[Nombre del Gestor]]&gt;1,VENTAS[[#This Row],[Total]]*10%,0)</f>
        <v>0</v>
      </c>
      <c r="K174" s="35">
        <f>IFERROR(VLOOKUP(VENTAS[[#This Row],[Código del producto Vendido]],STOCK[],16,FALSE)*VENTAS[[#This Row],[Cantidad]]+VLOOKUP(VENTAS[[#This Row],[Código del producto Vendido]],STOCK[],19,FALSE)*VENTAS[[#This Row],[Cantidad]],VENTAS[[#This Row],[Total]])</f>
        <v>12.835</v>
      </c>
      <c r="L174" s="35">
        <f>VENTAS[[#This Row],[Total]]-VENTAS[[#This Row],[Comisión 10%]]-VENTAS[[#This Row],[Costo SIN Comision]]</f>
        <v>2.165</v>
      </c>
      <c r="M174" s="35"/>
    </row>
    <row r="175" ht="20" customHeight="1" spans="1:13">
      <c r="A175" s="29">
        <v>45065</v>
      </c>
      <c r="B175" s="30"/>
      <c r="C175" s="30" t="s">
        <v>3333</v>
      </c>
      <c r="D175" s="30"/>
      <c r="E175" s="30" t="s">
        <v>378</v>
      </c>
      <c r="F175" s="34" t="str">
        <f>IFERROR(VLOOKUP(VENTAS[[#This Row],[Código del producto Vendido]],STOCK[],5,FALSE),"-")</f>
        <v>Elegant Vestido ajustado con estampado de leopardo</v>
      </c>
      <c r="G175" s="34">
        <v>1</v>
      </c>
      <c r="H175" s="35">
        <v>15</v>
      </c>
      <c r="I175" s="35">
        <f>VENTAS[[#This Row],[Cantidad]]*VENTAS[[#This Row],[Precio Venta]]</f>
        <v>15</v>
      </c>
      <c r="J175" s="35">
        <f>IF(VENTAS[[#This Row],[Nombre del Gestor]]&gt;1,VENTAS[[#This Row],[Total]]*10%,0)</f>
        <v>0</v>
      </c>
      <c r="K175" s="35">
        <f>IFERROR(VLOOKUP(VENTAS[[#This Row],[Código del producto Vendido]],STOCK[],16,FALSE)*VENTAS[[#This Row],[Cantidad]]+VLOOKUP(VENTAS[[#This Row],[Código del producto Vendido]],STOCK[],19,FALSE)*VENTAS[[#This Row],[Cantidad]],VENTAS[[#This Row],[Total]])</f>
        <v>7.24833333333333</v>
      </c>
      <c r="L175" s="35">
        <f>VENTAS[[#This Row],[Total]]-VENTAS[[#This Row],[Comisión 10%]]-VENTAS[[#This Row],[Costo SIN Comision]]</f>
        <v>7.75166666666667</v>
      </c>
      <c r="M175" s="35"/>
    </row>
    <row r="176" ht="20" customHeight="1" spans="1:13">
      <c r="A176" s="29">
        <v>45065</v>
      </c>
      <c r="B176" s="30"/>
      <c r="C176" s="30" t="s">
        <v>3333</v>
      </c>
      <c r="D176" s="30"/>
      <c r="E176" s="30" t="s">
        <v>583</v>
      </c>
      <c r="F176" s="34" t="str">
        <f>IFERROR(VLOOKUP(VENTAS[[#This Row],[Código del producto Vendido]],STOCK[],5,FALSE),"-")</f>
        <v>Top cruzado blanco</v>
      </c>
      <c r="G176" s="34">
        <v>1</v>
      </c>
      <c r="H176" s="35">
        <v>9</v>
      </c>
      <c r="I176" s="35">
        <f>VENTAS[[#This Row],[Cantidad]]*VENTAS[[#This Row],[Precio Venta]]</f>
        <v>9</v>
      </c>
      <c r="J176" s="35">
        <f>IF(VENTAS[[#This Row],[Nombre del Gestor]]&gt;1,VENTAS[[#This Row],[Total]]*10%,0)</f>
        <v>0</v>
      </c>
      <c r="K176" s="35">
        <f>IFERROR(VLOOKUP(VENTAS[[#This Row],[Código del producto Vendido]],STOCK[],16,FALSE)*VENTAS[[#This Row],[Cantidad]]+VLOOKUP(VENTAS[[#This Row],[Código del producto Vendido]],STOCK[],19,FALSE)*VENTAS[[#This Row],[Cantidad]],VENTAS[[#This Row],[Total]])</f>
        <v>5.19333333333333</v>
      </c>
      <c r="L176" s="35">
        <f>VENTAS[[#This Row],[Total]]-VENTAS[[#This Row],[Comisión 10%]]-VENTAS[[#This Row],[Costo SIN Comision]]</f>
        <v>3.80666666666667</v>
      </c>
      <c r="M176" s="35"/>
    </row>
    <row r="177" ht="20" customHeight="1" spans="1:13">
      <c r="A177" s="29">
        <v>45065</v>
      </c>
      <c r="B177" s="30"/>
      <c r="C177" s="30" t="s">
        <v>3333</v>
      </c>
      <c r="D177" s="30"/>
      <c r="E177" s="30" t="s">
        <v>727</v>
      </c>
      <c r="F177" s="34" t="str">
        <f>IFERROR(VLOOKUP(VENTAS[[#This Row],[Código del producto Vendido]],STOCK[],5,FALSE),"-")</f>
        <v>Vestido acanalado de un hombro</v>
      </c>
      <c r="G177" s="34">
        <v>1</v>
      </c>
      <c r="H177" s="35">
        <v>18</v>
      </c>
      <c r="I177" s="35">
        <f>VENTAS[[#This Row],[Cantidad]]*VENTAS[[#This Row],[Precio Venta]]</f>
        <v>18</v>
      </c>
      <c r="J177" s="35">
        <f>IF(VENTAS[[#This Row],[Nombre del Gestor]]&gt;1,VENTAS[[#This Row],[Total]]*10%,0)</f>
        <v>0</v>
      </c>
      <c r="K177" s="35">
        <f>IFERROR(VLOOKUP(VENTAS[[#This Row],[Código del producto Vendido]],STOCK[],16,FALSE)*VENTAS[[#This Row],[Cantidad]]+VLOOKUP(VENTAS[[#This Row],[Código del producto Vendido]],STOCK[],19,FALSE)*VENTAS[[#This Row],[Cantidad]],VENTAS[[#This Row],[Total]])</f>
        <v>11.9444444444444</v>
      </c>
      <c r="L177" s="35">
        <f>VENTAS[[#This Row],[Total]]-VENTAS[[#This Row],[Comisión 10%]]-VENTAS[[#This Row],[Costo SIN Comision]]</f>
        <v>6.05555555555556</v>
      </c>
      <c r="M177" s="35"/>
    </row>
    <row r="178" ht="20" customHeight="1" spans="1:13">
      <c r="A178" s="29"/>
      <c r="B178" s="30" t="s">
        <v>3323</v>
      </c>
      <c r="C178" s="30" t="s">
        <v>3324</v>
      </c>
      <c r="D178" s="30"/>
      <c r="E178" s="30" t="s">
        <v>3334</v>
      </c>
      <c r="F178" s="34" t="str">
        <f>IFERROR(VLOOKUP(VENTAS[[#This Row],[Código del producto Vendido]],STOCK[],5,FALSE),"-")</f>
        <v>-</v>
      </c>
      <c r="G178" s="34">
        <v>1</v>
      </c>
      <c r="H178" s="35">
        <v>18</v>
      </c>
      <c r="I178" s="35">
        <f>VENTAS[[#This Row],[Cantidad]]*VENTAS[[#This Row],[Precio Venta]]</f>
        <v>18</v>
      </c>
      <c r="J178" s="35">
        <f>IF(VENTAS[[#This Row],[Nombre del Gestor]]&gt;1,VENTAS[[#This Row],[Total]]*10%,0)</f>
        <v>0</v>
      </c>
      <c r="K178" s="35">
        <f>IFERROR(VLOOKUP(VENTAS[[#This Row],[Código del producto Vendido]],STOCK[],16,FALSE)*VENTAS[[#This Row],[Cantidad]]+VLOOKUP(VENTAS[[#This Row],[Código del producto Vendido]],STOCK[],19,FALSE)*VENTAS[[#This Row],[Cantidad]],VENTAS[[#This Row],[Total]])</f>
        <v>18</v>
      </c>
      <c r="L178" s="35">
        <f>VENTAS[[#This Row],[Total]]-VENTAS[[#This Row],[Comisión 10%]]-VENTAS[[#This Row],[Costo SIN Comision]]</f>
        <v>0</v>
      </c>
      <c r="M178" s="35"/>
    </row>
    <row r="179" ht="20" customHeight="1" spans="1:13">
      <c r="A179" s="29">
        <v>45065</v>
      </c>
      <c r="B179" s="30"/>
      <c r="C179" s="30" t="s">
        <v>3335</v>
      </c>
      <c r="D179" s="30"/>
      <c r="E179" s="30" t="s">
        <v>1039</v>
      </c>
      <c r="F179" s="34" t="str">
        <f>IFERROR(VLOOKUP(VENTAS[[#This Row],[Código del producto Vendido]],STOCK[],5,FALSE),"-")</f>
        <v>Jeans Elastizados Pierna Ancha</v>
      </c>
      <c r="G179" s="34">
        <v>1</v>
      </c>
      <c r="H179" s="35">
        <v>35</v>
      </c>
      <c r="I179" s="35">
        <f>VENTAS[[#This Row],[Cantidad]]*VENTAS[[#This Row],[Precio Venta]]</f>
        <v>35</v>
      </c>
      <c r="J179" s="35">
        <f>IF(VENTAS[[#This Row],[Nombre del Gestor]]&gt;1,VENTAS[[#This Row],[Total]]*10%,0)</f>
        <v>0</v>
      </c>
      <c r="K179" s="35">
        <f>IFERROR(VLOOKUP(VENTAS[[#This Row],[Código del producto Vendido]],STOCK[],16,FALSE)*VENTAS[[#This Row],[Cantidad]]+VLOOKUP(VENTAS[[#This Row],[Código del producto Vendido]],STOCK[],19,FALSE)*VENTAS[[#This Row],[Cantidad]],VENTAS[[#This Row],[Total]])</f>
        <v>27.5227272727273</v>
      </c>
      <c r="L179" s="35">
        <f>VENTAS[[#This Row],[Total]]-VENTAS[[#This Row],[Comisión 10%]]-VENTAS[[#This Row],[Costo SIN Comision]]</f>
        <v>7.4772727272727</v>
      </c>
      <c r="M179" s="35"/>
    </row>
    <row r="180" ht="20" customHeight="1" spans="1:13">
      <c r="A180" s="29">
        <v>45067</v>
      </c>
      <c r="B180" s="30"/>
      <c r="C180" s="30" t="s">
        <v>3336</v>
      </c>
      <c r="D180" s="30"/>
      <c r="E180" s="30" t="s">
        <v>913</v>
      </c>
      <c r="F180" s="34" t="str">
        <f>IFERROR(VLOOKUP(VENTAS[[#This Row],[Código del producto Vendido]],STOCK[],5,FALSE),"-")</f>
        <v>Camiseta con figura</v>
      </c>
      <c r="G180" s="34">
        <v>1</v>
      </c>
      <c r="H180" s="35">
        <v>14</v>
      </c>
      <c r="I180" s="35">
        <f>VENTAS[[#This Row],[Cantidad]]*VENTAS[[#This Row],[Precio Venta]]</f>
        <v>14</v>
      </c>
      <c r="J180" s="35">
        <f>IF(VENTAS[[#This Row],[Nombre del Gestor]]&gt;1,VENTAS[[#This Row],[Total]]*10%,0)</f>
        <v>0</v>
      </c>
      <c r="K180" s="35">
        <f>IFERROR(VLOOKUP(VENTAS[[#This Row],[Código del producto Vendido]],STOCK[],16,FALSE)*VENTAS[[#This Row],[Cantidad]]+VLOOKUP(VENTAS[[#This Row],[Código del producto Vendido]],STOCK[],19,FALSE)*VENTAS[[#This Row],[Cantidad]],VENTAS[[#This Row],[Total]])</f>
        <v>10.0772727272727</v>
      </c>
      <c r="L180" s="35">
        <f>VENTAS[[#This Row],[Total]]-VENTAS[[#This Row],[Comisión 10%]]-VENTAS[[#This Row],[Costo SIN Comision]]</f>
        <v>3.92272727272727</v>
      </c>
      <c r="M180" s="35"/>
    </row>
    <row r="181" ht="20" customHeight="1" spans="1:13">
      <c r="A181" s="29">
        <v>45067</v>
      </c>
      <c r="B181" s="30"/>
      <c r="C181" s="30" t="s">
        <v>3336</v>
      </c>
      <c r="D181" s="30"/>
      <c r="E181" s="30" t="s">
        <v>1046</v>
      </c>
      <c r="F181" s="34" t="str">
        <f>IFERROR(VLOOKUP(VENTAS[[#This Row],[Código del producto Vendido]],STOCK[],5,FALSE),"-")</f>
        <v>Jeans Ajustados Claro</v>
      </c>
      <c r="G181" s="34">
        <v>1</v>
      </c>
      <c r="H181" s="35">
        <v>35</v>
      </c>
      <c r="I181" s="35">
        <f>VENTAS[[#This Row],[Cantidad]]*VENTAS[[#This Row],[Precio Venta]]</f>
        <v>35</v>
      </c>
      <c r="J181" s="35">
        <f>IF(VENTAS[[#This Row],[Nombre del Gestor]]&gt;1,VENTAS[[#This Row],[Total]]*10%,0)</f>
        <v>0</v>
      </c>
      <c r="K181" s="35">
        <f>IFERROR(VLOOKUP(VENTAS[[#This Row],[Código del producto Vendido]],STOCK[],16,FALSE)*VENTAS[[#This Row],[Cantidad]]+VLOOKUP(VENTAS[[#This Row],[Código del producto Vendido]],STOCK[],19,FALSE)*VENTAS[[#This Row],[Cantidad]],VENTAS[[#This Row],[Total]])</f>
        <v>25.8181818181818</v>
      </c>
      <c r="L181" s="35">
        <f>VENTAS[[#This Row],[Total]]-VENTAS[[#This Row],[Comisión 10%]]-VENTAS[[#This Row],[Costo SIN Comision]]</f>
        <v>9.1818181818182</v>
      </c>
      <c r="M181" s="35"/>
    </row>
    <row r="182" ht="20" customHeight="1" spans="1:13">
      <c r="A182" s="29">
        <v>45067</v>
      </c>
      <c r="B182" s="30"/>
      <c r="C182" s="30" t="s">
        <v>3336</v>
      </c>
      <c r="D182" s="30"/>
      <c r="E182" s="30" t="s">
        <v>771</v>
      </c>
      <c r="F182" s="34" t="str">
        <f>IFERROR(VLOOKUP(VENTAS[[#This Row],[Código del producto Vendido]],STOCK[],5,FALSE),"-")</f>
        <v>Sandalias prácticas</v>
      </c>
      <c r="G182" s="34">
        <v>1</v>
      </c>
      <c r="H182" s="35">
        <v>30</v>
      </c>
      <c r="I182" s="35">
        <f>VENTAS[[#This Row],[Cantidad]]*VENTAS[[#This Row],[Precio Venta]]</f>
        <v>30</v>
      </c>
      <c r="J182" s="35">
        <f>IF(VENTAS[[#This Row],[Nombre del Gestor]]&gt;1,VENTAS[[#This Row],[Total]]*10%,0)</f>
        <v>0</v>
      </c>
      <c r="K182" s="35">
        <f>IFERROR(VLOOKUP(VENTAS[[#This Row],[Código del producto Vendido]],STOCK[],16,FALSE)*VENTAS[[#This Row],[Cantidad]]+VLOOKUP(VENTAS[[#This Row],[Código del producto Vendido]],STOCK[],19,FALSE)*VENTAS[[#This Row],[Cantidad]],VENTAS[[#This Row],[Total]])</f>
        <v>23.2777777777778</v>
      </c>
      <c r="L182" s="35">
        <f>VENTAS[[#This Row],[Total]]-VENTAS[[#This Row],[Comisión 10%]]-VENTAS[[#This Row],[Costo SIN Comision]]</f>
        <v>6.7222222222222</v>
      </c>
      <c r="M182" s="35"/>
    </row>
    <row r="183" ht="20" customHeight="1" spans="1:13">
      <c r="A183" s="29">
        <v>45067</v>
      </c>
      <c r="B183" s="30"/>
      <c r="C183" s="30" t="s">
        <v>3337</v>
      </c>
      <c r="D183" s="30"/>
      <c r="E183" s="30" t="s">
        <v>190</v>
      </c>
      <c r="F183" s="34" t="str">
        <f>IFERROR(VLOOKUP(VENTAS[[#This Row],[Código del producto Vendido]],STOCK[],5,FALSE),"-")</f>
        <v>Pantalones de pierna ancha de talle alto con abertura</v>
      </c>
      <c r="G183" s="34">
        <v>1</v>
      </c>
      <c r="H183" s="35">
        <v>25</v>
      </c>
      <c r="I183" s="35">
        <f>VENTAS[[#This Row],[Cantidad]]*VENTAS[[#This Row],[Precio Venta]]</f>
        <v>25</v>
      </c>
      <c r="J183" s="35">
        <f>IF(VENTAS[[#This Row],[Nombre del Gestor]]&gt;1,VENTAS[[#This Row],[Total]]*10%,0)</f>
        <v>0</v>
      </c>
      <c r="K183" s="35">
        <f>IFERROR(VLOOKUP(VENTAS[[#This Row],[Código del producto Vendido]],STOCK[],16,FALSE)*VENTAS[[#This Row],[Cantidad]]+VLOOKUP(VENTAS[[#This Row],[Código del producto Vendido]],STOCK[],19,FALSE)*VENTAS[[#This Row],[Cantidad]],VENTAS[[#This Row],[Total]])</f>
        <v>13.0711111111111</v>
      </c>
      <c r="L183" s="35">
        <f>VENTAS[[#This Row],[Total]]-VENTAS[[#This Row],[Comisión 10%]]-VENTAS[[#This Row],[Costo SIN Comision]]</f>
        <v>11.9288888888889</v>
      </c>
      <c r="M183" s="35"/>
    </row>
    <row r="184" ht="20" customHeight="1" spans="1:13">
      <c r="A184" s="29">
        <v>45067</v>
      </c>
      <c r="B184" s="30"/>
      <c r="C184" s="30" t="s">
        <v>3337</v>
      </c>
      <c r="D184" s="30"/>
      <c r="E184" s="30" t="s">
        <v>1027</v>
      </c>
      <c r="F184" s="34" t="str">
        <f>IFERROR(VLOOKUP(VENTAS[[#This Row],[Código del producto Vendido]],STOCK[],5,FALSE),"-")</f>
        <v>Top Dreamer Blanco</v>
      </c>
      <c r="G184" s="34">
        <v>1</v>
      </c>
      <c r="H184" s="35">
        <v>12</v>
      </c>
      <c r="I184" s="35">
        <f>VENTAS[[#This Row],[Cantidad]]*VENTAS[[#This Row],[Precio Venta]]</f>
        <v>12</v>
      </c>
      <c r="J184" s="35">
        <f>IF(VENTAS[[#This Row],[Nombre del Gestor]]&gt;1,VENTAS[[#This Row],[Total]]*10%,0)</f>
        <v>0</v>
      </c>
      <c r="K184" s="35">
        <f>IFERROR(VLOOKUP(VENTAS[[#This Row],[Código del producto Vendido]],STOCK[],16,FALSE)*VENTAS[[#This Row],[Cantidad]]+VLOOKUP(VENTAS[[#This Row],[Código del producto Vendido]],STOCK[],19,FALSE)*VENTAS[[#This Row],[Cantidad]],VENTAS[[#This Row],[Total]])</f>
        <v>6.75909090909091</v>
      </c>
      <c r="L184" s="35">
        <f>VENTAS[[#This Row],[Total]]-VENTAS[[#This Row],[Comisión 10%]]-VENTAS[[#This Row],[Costo SIN Comision]]</f>
        <v>5.24090909090909</v>
      </c>
      <c r="M184" s="35"/>
    </row>
    <row r="185" ht="20" customHeight="1" spans="1:13">
      <c r="A185" s="29">
        <v>45067</v>
      </c>
      <c r="B185" s="30"/>
      <c r="C185" s="30" t="s">
        <v>3337</v>
      </c>
      <c r="D185" s="30"/>
      <c r="E185" s="30" t="s">
        <v>232</v>
      </c>
      <c r="F185" s="34" t="str">
        <f>IFERROR(VLOOKUP(VENTAS[[#This Row],[Código del producto Vendido]],STOCK[],5,FALSE),"-")</f>
        <v>Top estampado de cuello con cordón</v>
      </c>
      <c r="G185" s="34">
        <v>1</v>
      </c>
      <c r="H185" s="35">
        <v>12</v>
      </c>
      <c r="I185" s="35">
        <f>VENTAS[[#This Row],[Cantidad]]*VENTAS[[#This Row],[Precio Venta]]</f>
        <v>12</v>
      </c>
      <c r="J185" s="35">
        <f>IF(VENTAS[[#This Row],[Nombre del Gestor]]&gt;1,VENTAS[[#This Row],[Total]]*10%,0)</f>
        <v>0</v>
      </c>
      <c r="K185" s="35">
        <f>IFERROR(VLOOKUP(VENTAS[[#This Row],[Código del producto Vendido]],STOCK[],16,FALSE)*VENTAS[[#This Row],[Cantidad]]+VLOOKUP(VENTAS[[#This Row],[Código del producto Vendido]],STOCK[],19,FALSE)*VENTAS[[#This Row],[Cantidad]],VENTAS[[#This Row],[Total]])</f>
        <v>8.22222222222222</v>
      </c>
      <c r="L185" s="35">
        <f>VENTAS[[#This Row],[Total]]-VENTAS[[#This Row],[Comisión 10%]]-VENTAS[[#This Row],[Costo SIN Comision]]</f>
        <v>3.77777777777778</v>
      </c>
      <c r="M185" s="35"/>
    </row>
    <row r="186" ht="20" customHeight="1" spans="1:13">
      <c r="A186" s="29">
        <v>45067</v>
      </c>
      <c r="B186" s="30"/>
      <c r="C186" s="30" t="s">
        <v>3338</v>
      </c>
      <c r="D186" s="30"/>
      <c r="E186" s="30" t="s">
        <v>942</v>
      </c>
      <c r="F186" s="34" t="str">
        <f>IFERROR(VLOOKUP(VENTAS[[#This Row],[Código del producto Vendido]],STOCK[],5,FALSE),"-")</f>
        <v>Vestido Tropical</v>
      </c>
      <c r="G186" s="34">
        <v>1</v>
      </c>
      <c r="H186" s="35">
        <v>30</v>
      </c>
      <c r="I186" s="35">
        <f>VENTAS[[#This Row],[Cantidad]]*VENTAS[[#This Row],[Precio Venta]]</f>
        <v>30</v>
      </c>
      <c r="J186" s="35">
        <f>IF(VENTAS[[#This Row],[Nombre del Gestor]]&gt;1,VENTAS[[#This Row],[Total]]*10%,0)</f>
        <v>0</v>
      </c>
      <c r="K186" s="35">
        <f>IFERROR(VLOOKUP(VENTAS[[#This Row],[Código del producto Vendido]],STOCK[],16,FALSE)*VENTAS[[#This Row],[Cantidad]]+VLOOKUP(VENTAS[[#This Row],[Código del producto Vendido]],STOCK[],19,FALSE)*VENTAS[[#This Row],[Cantidad]],VENTAS[[#This Row],[Total]])</f>
        <v>19.0186363636364</v>
      </c>
      <c r="L186" s="35">
        <f>VENTAS[[#This Row],[Total]]-VENTAS[[#This Row],[Comisión 10%]]-VENTAS[[#This Row],[Costo SIN Comision]]</f>
        <v>10.9813636363636</v>
      </c>
      <c r="M186" s="35"/>
    </row>
    <row r="187" ht="20" customHeight="1" spans="1:13">
      <c r="A187" s="29">
        <v>45067</v>
      </c>
      <c r="B187" s="30"/>
      <c r="C187" s="30" t="s">
        <v>3338</v>
      </c>
      <c r="D187" s="30"/>
      <c r="E187" s="30" t="s">
        <v>79</v>
      </c>
      <c r="F187" s="34" t="str">
        <f>IFERROR(VLOOKUP(VENTAS[[#This Row],[Código del producto Vendido]],STOCK[],5,FALSE),"-")</f>
        <v>Pareo pantalón de malla</v>
      </c>
      <c r="G187" s="34">
        <v>1</v>
      </c>
      <c r="H187" s="35">
        <v>15</v>
      </c>
      <c r="I187" s="35">
        <f>VENTAS[[#This Row],[Cantidad]]*VENTAS[[#This Row],[Precio Venta]]</f>
        <v>15</v>
      </c>
      <c r="J187" s="35">
        <f>IF(VENTAS[[#This Row],[Nombre del Gestor]]&gt;1,VENTAS[[#This Row],[Total]]*10%,0)</f>
        <v>0</v>
      </c>
      <c r="K187" s="35">
        <f>IFERROR(VLOOKUP(VENTAS[[#This Row],[Código del producto Vendido]],STOCK[],16,FALSE)*VENTAS[[#This Row],[Cantidad]]+VLOOKUP(VENTAS[[#This Row],[Código del producto Vendido]],STOCK[],19,FALSE)*VENTAS[[#This Row],[Cantidad]],VENTAS[[#This Row],[Total]])</f>
        <v>9.95555555555556</v>
      </c>
      <c r="L187" s="35">
        <f>VENTAS[[#This Row],[Total]]-VENTAS[[#This Row],[Comisión 10%]]-VENTAS[[#This Row],[Costo SIN Comision]]</f>
        <v>5.04444444444444</v>
      </c>
      <c r="M187" s="35"/>
    </row>
    <row r="188" ht="20" customHeight="1" spans="1:13">
      <c r="A188" s="29">
        <v>45068</v>
      </c>
      <c r="B188" s="30"/>
      <c r="C188" s="30" t="s">
        <v>3339</v>
      </c>
      <c r="D188" s="30"/>
      <c r="E188" s="30" t="s">
        <v>165</v>
      </c>
      <c r="F188" s="34" t="str">
        <f>IFERROR(VLOOKUP(VENTAS[[#This Row],[Código del producto Vendido]],STOCK[],5,FALSE),"-")</f>
        <v>Vestido de manga farol con cordón delantero</v>
      </c>
      <c r="G188" s="34">
        <v>1</v>
      </c>
      <c r="H188" s="35">
        <v>25</v>
      </c>
      <c r="I188" s="35">
        <f>VENTAS[[#This Row],[Cantidad]]*VENTAS[[#This Row],[Precio Venta]]</f>
        <v>25</v>
      </c>
      <c r="J188" s="35">
        <f>IF(VENTAS[[#This Row],[Nombre del Gestor]]&gt;1,VENTAS[[#This Row],[Total]]*10%,0)</f>
        <v>0</v>
      </c>
      <c r="K188" s="35">
        <f>IFERROR(VLOOKUP(VENTAS[[#This Row],[Código del producto Vendido]],STOCK[],16,FALSE)*VENTAS[[#This Row],[Cantidad]]+VLOOKUP(VENTAS[[#This Row],[Código del producto Vendido]],STOCK[],19,FALSE)*VENTAS[[#This Row],[Cantidad]],VENTAS[[#This Row],[Total]])</f>
        <v>17.3222222222222</v>
      </c>
      <c r="L188" s="35">
        <f>VENTAS[[#This Row],[Total]]-VENTAS[[#This Row],[Comisión 10%]]-VENTAS[[#This Row],[Costo SIN Comision]]</f>
        <v>7.6777777777778</v>
      </c>
      <c r="M188" s="35"/>
    </row>
    <row r="189" ht="20" customHeight="1" spans="1:13">
      <c r="A189" s="29">
        <v>45068</v>
      </c>
      <c r="B189" s="30"/>
      <c r="C189" s="30" t="s">
        <v>3339</v>
      </c>
      <c r="D189" s="30"/>
      <c r="E189" s="30" t="s">
        <v>242</v>
      </c>
      <c r="F189" s="34" t="str">
        <f>IFERROR(VLOOKUP(VENTAS[[#This Row],[Código del producto Vendido]],STOCK[],5,FALSE),"-")</f>
        <v>Vestido de cuello cuadrado de espalda abierta</v>
      </c>
      <c r="G189" s="34">
        <v>1</v>
      </c>
      <c r="H189" s="35">
        <v>20</v>
      </c>
      <c r="I189" s="35">
        <f>VENTAS[[#This Row],[Cantidad]]*VENTAS[[#This Row],[Precio Venta]]</f>
        <v>20</v>
      </c>
      <c r="J189" s="35">
        <f>IF(VENTAS[[#This Row],[Nombre del Gestor]]&gt;1,VENTAS[[#This Row],[Total]]*10%,0)</f>
        <v>0</v>
      </c>
      <c r="K189" s="35">
        <f>IFERROR(VLOOKUP(VENTAS[[#This Row],[Código del producto Vendido]],STOCK[],16,FALSE)*VENTAS[[#This Row],[Cantidad]]+VLOOKUP(VENTAS[[#This Row],[Código del producto Vendido]],STOCK[],19,FALSE)*VENTAS[[#This Row],[Cantidad]],VENTAS[[#This Row],[Total]])</f>
        <v>11.7955555555556</v>
      </c>
      <c r="L189" s="35">
        <f>VENTAS[[#This Row],[Total]]-VENTAS[[#This Row],[Comisión 10%]]-VENTAS[[#This Row],[Costo SIN Comision]]</f>
        <v>8.2044444444444</v>
      </c>
      <c r="M189" s="35"/>
    </row>
    <row r="190" ht="20" customHeight="1" spans="1:13">
      <c r="A190" s="29">
        <v>45068</v>
      </c>
      <c r="B190" s="30"/>
      <c r="C190" s="30" t="s">
        <v>3320</v>
      </c>
      <c r="D190" s="30"/>
      <c r="E190" s="30" t="s">
        <v>199</v>
      </c>
      <c r="F190" s="34" t="str">
        <f>IFERROR(VLOOKUP(VENTAS[[#This Row],[Código del producto Vendido]],STOCK[],5,FALSE),"-")</f>
        <v>Vestido ajustado de tirantes</v>
      </c>
      <c r="G190" s="34">
        <v>1</v>
      </c>
      <c r="H190" s="35">
        <v>18</v>
      </c>
      <c r="I190" s="35">
        <f>VENTAS[[#This Row],[Cantidad]]*VENTAS[[#This Row],[Precio Venta]]</f>
        <v>18</v>
      </c>
      <c r="J190" s="35">
        <f>IF(VENTAS[[#This Row],[Nombre del Gestor]]&gt;1,VENTAS[[#This Row],[Total]]*10%,0)</f>
        <v>0</v>
      </c>
      <c r="K190" s="35">
        <f>IFERROR(VLOOKUP(VENTAS[[#This Row],[Código del producto Vendido]],STOCK[],16,FALSE)*VENTAS[[#This Row],[Cantidad]]+VLOOKUP(VENTAS[[#This Row],[Código del producto Vendido]],STOCK[],19,FALSE)*VENTAS[[#This Row],[Cantidad]],VENTAS[[#This Row],[Total]])</f>
        <v>7.70666666666667</v>
      </c>
      <c r="L190" s="35">
        <f>VENTAS[[#This Row],[Total]]-VENTAS[[#This Row],[Comisión 10%]]-VENTAS[[#This Row],[Costo SIN Comision]]</f>
        <v>10.2933333333333</v>
      </c>
      <c r="M190" s="35"/>
    </row>
    <row r="191" ht="20" customHeight="1" spans="1:13">
      <c r="A191" s="29">
        <v>45059</v>
      </c>
      <c r="B191" s="30"/>
      <c r="C191" s="30" t="s">
        <v>3340</v>
      </c>
      <c r="D191" s="30"/>
      <c r="E191" s="30" t="s">
        <v>641</v>
      </c>
      <c r="F191" s="34" t="str">
        <f>IFERROR(VLOOKUP(VENTAS[[#This Row],[Código del producto Vendido]],STOCK[],5,FALSE),"-")</f>
        <v>Vestido con estampado floral</v>
      </c>
      <c r="G191" s="34">
        <v>1</v>
      </c>
      <c r="H191" s="35">
        <v>15</v>
      </c>
      <c r="I191" s="35">
        <f>VENTAS[[#This Row],[Cantidad]]*VENTAS[[#This Row],[Precio Venta]]</f>
        <v>15</v>
      </c>
      <c r="J191" s="35">
        <f>IF(VENTAS[[#This Row],[Nombre del Gestor]]&gt;1,VENTAS[[#This Row],[Total]]*10%,0)</f>
        <v>0</v>
      </c>
      <c r="K191" s="35">
        <f>IFERROR(VLOOKUP(VENTAS[[#This Row],[Código del producto Vendido]],STOCK[],16,FALSE)*VENTAS[[#This Row],[Cantidad]]+VLOOKUP(VENTAS[[#This Row],[Código del producto Vendido]],STOCK[],19,FALSE)*VENTAS[[#This Row],[Cantidad]],VENTAS[[#This Row],[Total]])</f>
        <v>10.7222222222222</v>
      </c>
      <c r="L191" s="35">
        <f>VENTAS[[#This Row],[Total]]-VENTAS[[#This Row],[Comisión 10%]]-VENTAS[[#This Row],[Costo SIN Comision]]</f>
        <v>4.27777777777778</v>
      </c>
      <c r="M191" s="35"/>
    </row>
    <row r="192" ht="20" customHeight="1" spans="1:13">
      <c r="A192" s="29">
        <v>45059</v>
      </c>
      <c r="B192" s="30"/>
      <c r="C192" s="30" t="s">
        <v>3340</v>
      </c>
      <c r="D192" s="30"/>
      <c r="E192" s="30" t="s">
        <v>634</v>
      </c>
      <c r="F192" s="34" t="str">
        <f>IFERROR(VLOOKUP(VENTAS[[#This Row],[Código del producto Vendido]],STOCK[],5,FALSE),"-")</f>
        <v>Vestido floral escote corazón</v>
      </c>
      <c r="G192" s="34">
        <v>1</v>
      </c>
      <c r="H192" s="35">
        <v>15</v>
      </c>
      <c r="I192" s="35">
        <f>VENTAS[[#This Row],[Cantidad]]*VENTAS[[#This Row],[Precio Venta]]</f>
        <v>15</v>
      </c>
      <c r="J192" s="35">
        <f>IF(VENTAS[[#This Row],[Nombre del Gestor]]&gt;1,VENTAS[[#This Row],[Total]]*10%,0)</f>
        <v>0</v>
      </c>
      <c r="K192" s="35">
        <f>IFERROR(VLOOKUP(VENTAS[[#This Row],[Código del producto Vendido]],STOCK[],16,FALSE)*VENTAS[[#This Row],[Cantidad]]+VLOOKUP(VENTAS[[#This Row],[Código del producto Vendido]],STOCK[],19,FALSE)*VENTAS[[#This Row],[Cantidad]],VENTAS[[#This Row],[Total]])</f>
        <v>10.7222222222222</v>
      </c>
      <c r="L192" s="35">
        <f>VENTAS[[#This Row],[Total]]-VENTAS[[#This Row],[Comisión 10%]]-VENTAS[[#This Row],[Costo SIN Comision]]</f>
        <v>4.27777777777778</v>
      </c>
      <c r="M192" s="35"/>
    </row>
    <row r="193" ht="20" customHeight="1" spans="1:13">
      <c r="A193" s="29"/>
      <c r="B193" s="30"/>
      <c r="C193" s="30" t="s">
        <v>3341</v>
      </c>
      <c r="D193" s="30"/>
      <c r="E193" s="30" t="s">
        <v>908</v>
      </c>
      <c r="F193" s="34" t="str">
        <f>IFERROR(VLOOKUP(VENTAS[[#This Row],[Código del producto Vendido]],STOCK[],5,FALSE),"-")</f>
        <v>Bañador Surf</v>
      </c>
      <c r="G193" s="34">
        <v>1</v>
      </c>
      <c r="H193" s="35">
        <v>25</v>
      </c>
      <c r="I193" s="35">
        <f>VENTAS[[#This Row],[Cantidad]]*VENTAS[[#This Row],[Precio Venta]]</f>
        <v>25</v>
      </c>
      <c r="J193" s="35">
        <f>IF(VENTAS[[#This Row],[Nombre del Gestor]]&gt;1,VENTAS[[#This Row],[Total]]*10%,0)</f>
        <v>0</v>
      </c>
      <c r="K193" s="35">
        <f>IFERROR(VLOOKUP(VENTAS[[#This Row],[Código del producto Vendido]],STOCK[],16,FALSE)*VENTAS[[#This Row],[Cantidad]]+VLOOKUP(VENTAS[[#This Row],[Código del producto Vendido]],STOCK[],19,FALSE)*VENTAS[[#This Row],[Cantidad]],VENTAS[[#This Row],[Total]])</f>
        <v>15.0454545454545</v>
      </c>
      <c r="L193" s="35">
        <f>VENTAS[[#This Row],[Total]]-VENTAS[[#This Row],[Comisión 10%]]-VENTAS[[#This Row],[Costo SIN Comision]]</f>
        <v>9.9545454545455</v>
      </c>
      <c r="M193" s="35"/>
    </row>
    <row r="194" ht="20" customHeight="1" spans="1:13">
      <c r="A194" s="29"/>
      <c r="B194" s="30" t="s">
        <v>3342</v>
      </c>
      <c r="C194" s="46" t="s">
        <v>3343</v>
      </c>
      <c r="D194" s="46"/>
      <c r="E194" s="30" t="s">
        <v>923</v>
      </c>
      <c r="F194" s="34" t="str">
        <f>IFERROR(VLOOKUP(VENTAS[[#This Row],[Código del producto Vendido]],STOCK[],5,FALSE),"-")</f>
        <v>Pantaloneta Roja</v>
      </c>
      <c r="G194" s="34">
        <v>1</v>
      </c>
      <c r="H194" s="35">
        <v>15</v>
      </c>
      <c r="I194" s="35">
        <f>VENTAS[[#This Row],[Cantidad]]*VENTAS[[#This Row],[Precio Venta]]</f>
        <v>15</v>
      </c>
      <c r="J194" s="35">
        <f>IF(VENTAS[[#This Row],[Nombre del Gestor]]&gt;1,VENTAS[[#This Row],[Total]]*10%,0)</f>
        <v>0</v>
      </c>
      <c r="K194" s="35">
        <f>IFERROR(VLOOKUP(VENTAS[[#This Row],[Código del producto Vendido]],STOCK[],16,FALSE)*VENTAS[[#This Row],[Cantidad]]+VLOOKUP(VENTAS[[#This Row],[Código del producto Vendido]],STOCK[],19,FALSE)*VENTAS[[#This Row],[Cantidad]],VENTAS[[#This Row],[Total]])</f>
        <v>11.6095454545454</v>
      </c>
      <c r="L194" s="35">
        <f>VENTAS[[#This Row],[Total]]-VENTAS[[#This Row],[Comisión 10%]]-VENTAS[[#This Row],[Costo SIN Comision]]</f>
        <v>3.39045454545455</v>
      </c>
      <c r="M194" s="35"/>
    </row>
    <row r="195" ht="20" customHeight="1" spans="1:13">
      <c r="A195" s="29">
        <v>45059</v>
      </c>
      <c r="B195" s="30"/>
      <c r="C195" s="30"/>
      <c r="D195" s="30"/>
      <c r="E195" s="30" t="s">
        <v>1041</v>
      </c>
      <c r="F195" s="34" t="str">
        <f>IFERROR(VLOOKUP(VENTAS[[#This Row],[Código del producto Vendido]],STOCK[],5,FALSE),"-")</f>
        <v>Jeans Elastizados Pierna Ancha</v>
      </c>
      <c r="G195" s="34">
        <v>1</v>
      </c>
      <c r="H195" s="35">
        <v>35</v>
      </c>
      <c r="I195" s="35">
        <f>VENTAS[[#This Row],[Cantidad]]*VENTAS[[#This Row],[Precio Venta]]</f>
        <v>35</v>
      </c>
      <c r="J195" s="35">
        <f>IF(VENTAS[[#This Row],[Nombre del Gestor]]&gt;1,VENTAS[[#This Row],[Total]]*10%,0)</f>
        <v>0</v>
      </c>
      <c r="K195" s="35">
        <f>IFERROR(VLOOKUP(VENTAS[[#This Row],[Código del producto Vendido]],STOCK[],16,FALSE)*VENTAS[[#This Row],[Cantidad]]+VLOOKUP(VENTAS[[#This Row],[Código del producto Vendido]],STOCK[],19,FALSE)*VENTAS[[#This Row],[Cantidad]],VENTAS[[#This Row],[Total]])</f>
        <v>27.5227272727273</v>
      </c>
      <c r="L195" s="35">
        <f>VENTAS[[#This Row],[Total]]-VENTAS[[#This Row],[Comisión 10%]]-VENTAS[[#This Row],[Costo SIN Comision]]</f>
        <v>7.4772727272727</v>
      </c>
      <c r="M195" s="35"/>
    </row>
    <row r="196" ht="20" customHeight="1" spans="1:13">
      <c r="A196" s="29">
        <v>45070</v>
      </c>
      <c r="B196" s="30"/>
      <c r="C196" s="30"/>
      <c r="D196" s="30"/>
      <c r="E196" s="30" t="s">
        <v>436</v>
      </c>
      <c r="F196" s="34" t="str">
        <f>IFERROR(VLOOKUP(VENTAS[[#This Row],[Código del producto Vendido]],STOCK[],5,FALSE),"-")</f>
        <v>Bañador bikini floral</v>
      </c>
      <c r="G196" s="34">
        <v>1</v>
      </c>
      <c r="H196" s="35">
        <v>25</v>
      </c>
      <c r="I196" s="35">
        <f>VENTAS[[#This Row],[Cantidad]]*VENTAS[[#This Row],[Precio Venta]]</f>
        <v>25</v>
      </c>
      <c r="J196" s="35">
        <f>IF(VENTAS[[#This Row],[Nombre del Gestor]]&gt;1,VENTAS[[#This Row],[Total]]*10%,0)</f>
        <v>0</v>
      </c>
      <c r="K196" s="35">
        <f>IFERROR(VLOOKUP(VENTAS[[#This Row],[Código del producto Vendido]],STOCK[],16,FALSE)*VENTAS[[#This Row],[Cantidad]]+VLOOKUP(VENTAS[[#This Row],[Código del producto Vendido]],STOCK[],19,FALSE)*VENTAS[[#This Row],[Cantidad]],VENTAS[[#This Row],[Total]])</f>
        <v>16.6044444444444</v>
      </c>
      <c r="L196" s="35">
        <f>VENTAS[[#This Row],[Total]]-VENTAS[[#This Row],[Comisión 10%]]-VENTAS[[#This Row],[Costo SIN Comision]]</f>
        <v>8.3955555555556</v>
      </c>
      <c r="M196" s="35"/>
    </row>
    <row r="197" ht="20" customHeight="1" spans="1:13">
      <c r="A197" s="29">
        <v>45070</v>
      </c>
      <c r="B197" s="30"/>
      <c r="C197" s="30"/>
      <c r="D197" s="30"/>
      <c r="E197" s="30" t="s">
        <v>429</v>
      </c>
      <c r="F197" s="34" t="str">
        <f>IFERROR(VLOOKUP(VENTAS[[#This Row],[Código del producto Vendido]],STOCK[],5,FALSE),"-")</f>
        <v>Vestido con cordón de espalda cruzada</v>
      </c>
      <c r="G197" s="34">
        <v>1</v>
      </c>
      <c r="H197" s="35">
        <v>28</v>
      </c>
      <c r="I197" s="35">
        <f>VENTAS[[#This Row],[Cantidad]]*VENTAS[[#This Row],[Precio Venta]]</f>
        <v>28</v>
      </c>
      <c r="J197" s="35">
        <f>IF(VENTAS[[#This Row],[Nombre del Gestor]]&gt;1,VENTAS[[#This Row],[Total]]*10%,0)</f>
        <v>0</v>
      </c>
      <c r="K197" s="35">
        <f>IFERROR(VLOOKUP(VENTAS[[#This Row],[Código del producto Vendido]],STOCK[],16,FALSE)*VENTAS[[#This Row],[Cantidad]]+VLOOKUP(VENTAS[[#This Row],[Código del producto Vendido]],STOCK[],19,FALSE)*VENTAS[[#This Row],[Cantidad]],VENTAS[[#This Row],[Total]])</f>
        <v>15.9077777777778</v>
      </c>
      <c r="L197" s="35">
        <f>VENTAS[[#This Row],[Total]]-VENTAS[[#This Row],[Comisión 10%]]-VENTAS[[#This Row],[Costo SIN Comision]]</f>
        <v>12.0922222222222</v>
      </c>
      <c r="M197" s="35"/>
    </row>
    <row r="198" ht="20" customHeight="1" spans="1:13">
      <c r="A198" s="29">
        <v>45071</v>
      </c>
      <c r="B198" s="30"/>
      <c r="C198" s="30" t="s">
        <v>3344</v>
      </c>
      <c r="D198" s="30"/>
      <c r="E198" s="30" t="s">
        <v>1064</v>
      </c>
      <c r="F198" s="34" t="str">
        <f>IFERROR(VLOOKUP(VENTAS[[#This Row],[Código del producto Vendido]],STOCK[],5,FALSE),"-")</f>
        <v>Pantalones ajustados con cadena</v>
      </c>
      <c r="G198" s="34">
        <v>2</v>
      </c>
      <c r="H198" s="35">
        <v>18</v>
      </c>
      <c r="I198" s="35">
        <f>VENTAS[[#This Row],[Cantidad]]*VENTAS[[#This Row],[Precio Venta]]</f>
        <v>36</v>
      </c>
      <c r="J198" s="35">
        <f>IF(VENTAS[[#This Row],[Nombre del Gestor]]&gt;1,VENTAS[[#This Row],[Total]]*10%,0)</f>
        <v>0</v>
      </c>
      <c r="K198" s="35">
        <f>IFERROR(VLOOKUP(VENTAS[[#This Row],[Código del producto Vendido]],STOCK[],16,FALSE)*VENTAS[[#This Row],[Cantidad]]+VLOOKUP(VENTAS[[#This Row],[Código del producto Vendido]],STOCK[],19,FALSE)*VENTAS[[#This Row],[Cantidad]],VENTAS[[#This Row],[Total]])</f>
        <v>27.2867647058824</v>
      </c>
      <c r="L198" s="35">
        <f>VENTAS[[#This Row],[Total]]-VENTAS[[#This Row],[Comisión 10%]]-VENTAS[[#This Row],[Costo SIN Comision]]</f>
        <v>8.71323529411764</v>
      </c>
      <c r="M198" s="35"/>
    </row>
    <row r="199" ht="20" customHeight="1" spans="1:13">
      <c r="A199" s="29">
        <v>45071</v>
      </c>
      <c r="B199" s="30"/>
      <c r="C199" s="30" t="s">
        <v>3344</v>
      </c>
      <c r="D199" s="30"/>
      <c r="E199" s="30" t="s">
        <v>1066</v>
      </c>
      <c r="F199" s="34" t="str">
        <f>IFERROR(VLOOKUP(VENTAS[[#This Row],[Código del producto Vendido]],STOCK[],5,FALSE),"-")</f>
        <v>Pantalones ajustados con cadena</v>
      </c>
      <c r="G199" s="34">
        <v>2</v>
      </c>
      <c r="H199" s="35">
        <v>18</v>
      </c>
      <c r="I199" s="35">
        <f>VENTAS[[#This Row],[Cantidad]]*VENTAS[[#This Row],[Precio Venta]]</f>
        <v>36</v>
      </c>
      <c r="J199" s="35">
        <f>IF(VENTAS[[#This Row],[Nombre del Gestor]]&gt;1,VENTAS[[#This Row],[Total]]*10%,0)</f>
        <v>0</v>
      </c>
      <c r="K199" s="35">
        <f>IFERROR(VLOOKUP(VENTAS[[#This Row],[Código del producto Vendido]],STOCK[],16,FALSE)*VENTAS[[#This Row],[Cantidad]]+VLOOKUP(VENTAS[[#This Row],[Código del producto Vendido]],STOCK[],19,FALSE)*VENTAS[[#This Row],[Cantidad]],VENTAS[[#This Row],[Total]])</f>
        <v>27.2867647058824</v>
      </c>
      <c r="L199" s="35">
        <f>VENTAS[[#This Row],[Total]]-VENTAS[[#This Row],[Comisión 10%]]-VENTAS[[#This Row],[Costo SIN Comision]]</f>
        <v>8.71323529411764</v>
      </c>
      <c r="M199" s="35"/>
    </row>
    <row r="200" ht="20" customHeight="1" spans="1:13">
      <c r="A200" s="29">
        <v>45071</v>
      </c>
      <c r="B200" s="30"/>
      <c r="C200" s="30" t="s">
        <v>3344</v>
      </c>
      <c r="D200" s="30"/>
      <c r="E200" s="30" t="s">
        <v>1067</v>
      </c>
      <c r="F200" s="34" t="str">
        <f>IFERROR(VLOOKUP(VENTAS[[#This Row],[Código del producto Vendido]],STOCK[],5,FALSE),"-")</f>
        <v>Blusa camisa colores</v>
      </c>
      <c r="G200" s="34">
        <v>2</v>
      </c>
      <c r="H200" s="35">
        <v>16</v>
      </c>
      <c r="I200" s="35">
        <f>VENTAS[[#This Row],[Cantidad]]*VENTAS[[#This Row],[Precio Venta]]</f>
        <v>32</v>
      </c>
      <c r="J200" s="35">
        <f>IF(VENTAS[[#This Row],[Nombre del Gestor]]&gt;1,VENTAS[[#This Row],[Total]]*10%,0)</f>
        <v>0</v>
      </c>
      <c r="K200" s="35">
        <f>IFERROR(VLOOKUP(VENTAS[[#This Row],[Código del producto Vendido]],STOCK[],16,FALSE)*VENTAS[[#This Row],[Cantidad]]+VLOOKUP(VENTAS[[#This Row],[Código del producto Vendido]],STOCK[],19,FALSE)*VENTAS[[#This Row],[Cantidad]],VENTAS[[#This Row],[Total]])</f>
        <v>25.0176470588236</v>
      </c>
      <c r="L200" s="35">
        <f>VENTAS[[#This Row],[Total]]-VENTAS[[#This Row],[Comisión 10%]]-VENTAS[[#This Row],[Costo SIN Comision]]</f>
        <v>6.9823529411764</v>
      </c>
      <c r="M200" s="35"/>
    </row>
    <row r="201" ht="20" customHeight="1" spans="1:13">
      <c r="A201" s="29">
        <v>45071</v>
      </c>
      <c r="B201" s="30"/>
      <c r="C201" s="30" t="s">
        <v>3344</v>
      </c>
      <c r="D201" s="30"/>
      <c r="E201" s="30" t="s">
        <v>1069</v>
      </c>
      <c r="F201" s="34" t="str">
        <f>IFERROR(VLOOKUP(VENTAS[[#This Row],[Código del producto Vendido]],STOCK[],5,FALSE),"-")</f>
        <v>Blusa camisa colores</v>
      </c>
      <c r="G201" s="34">
        <v>2</v>
      </c>
      <c r="H201" s="35">
        <v>16</v>
      </c>
      <c r="I201" s="35">
        <f>VENTAS[[#This Row],[Cantidad]]*VENTAS[[#This Row],[Precio Venta]]</f>
        <v>32</v>
      </c>
      <c r="J201" s="35">
        <f>IF(VENTAS[[#This Row],[Nombre del Gestor]]&gt;1,VENTAS[[#This Row],[Total]]*10%,0)</f>
        <v>0</v>
      </c>
      <c r="K201" s="35">
        <f>IFERROR(VLOOKUP(VENTAS[[#This Row],[Código del producto Vendido]],STOCK[],16,FALSE)*VENTAS[[#This Row],[Cantidad]]+VLOOKUP(VENTAS[[#This Row],[Código del producto Vendido]],STOCK[],19,FALSE)*VENTAS[[#This Row],[Cantidad]],VENTAS[[#This Row],[Total]])</f>
        <v>25.0176470588236</v>
      </c>
      <c r="L201" s="35">
        <f>VENTAS[[#This Row],[Total]]-VENTAS[[#This Row],[Comisión 10%]]-VENTAS[[#This Row],[Costo SIN Comision]]</f>
        <v>6.9823529411764</v>
      </c>
      <c r="M201" s="35"/>
    </row>
    <row r="202" ht="20" customHeight="1" spans="1:13">
      <c r="A202" s="29">
        <v>45071</v>
      </c>
      <c r="B202" s="30"/>
      <c r="C202" s="30" t="s">
        <v>3341</v>
      </c>
      <c r="D202" s="30"/>
      <c r="E202" s="30" t="s">
        <v>1070</v>
      </c>
      <c r="F202" s="34" t="str">
        <f>IFERROR(VLOOKUP(VENTAS[[#This Row],[Código del producto Vendido]],STOCK[],5,FALSE),"-")</f>
        <v>Trusa Leopardo</v>
      </c>
      <c r="G202" s="34">
        <v>1</v>
      </c>
      <c r="H202" s="35">
        <v>25</v>
      </c>
      <c r="I202" s="35">
        <f>VENTAS[[#This Row],[Cantidad]]*VENTAS[[#This Row],[Precio Venta]]</f>
        <v>25</v>
      </c>
      <c r="J202" s="35">
        <f>IF(VENTAS[[#This Row],[Nombre del Gestor]]&gt;1,VENTAS[[#This Row],[Total]]*10%,0)</f>
        <v>0</v>
      </c>
      <c r="K202" s="35">
        <f>IFERROR(VLOOKUP(VENTAS[[#This Row],[Código del producto Vendido]],STOCK[],16,FALSE)*VENTAS[[#This Row],[Cantidad]]+VLOOKUP(VENTAS[[#This Row],[Código del producto Vendido]],STOCK[],19,FALSE)*VENTAS[[#This Row],[Cantidad]],VENTAS[[#This Row],[Total]])</f>
        <v>20.1382352941176</v>
      </c>
      <c r="L202" s="35">
        <f>VENTAS[[#This Row],[Total]]-VENTAS[[#This Row],[Comisión 10%]]-VENTAS[[#This Row],[Costo SIN Comision]]</f>
        <v>4.8617647058824</v>
      </c>
      <c r="M202" s="35"/>
    </row>
    <row r="203" ht="20" customHeight="1" spans="1:13">
      <c r="A203" s="29">
        <v>45071</v>
      </c>
      <c r="B203" s="30"/>
      <c r="C203" s="30" t="s">
        <v>3345</v>
      </c>
      <c r="D203" s="30"/>
      <c r="E203" s="30" t="s">
        <v>1078</v>
      </c>
      <c r="F203" s="34" t="str">
        <f>IFERROR(VLOOKUP(VENTAS[[#This Row],[Código del producto Vendido]],STOCK[],5,FALSE),"-")</f>
        <v>Vestido floreado a un hombro</v>
      </c>
      <c r="G203" s="34">
        <v>1</v>
      </c>
      <c r="H203" s="35">
        <v>35</v>
      </c>
      <c r="I203" s="35">
        <f>VENTAS[[#This Row],[Cantidad]]*VENTAS[[#This Row],[Precio Venta]]</f>
        <v>35</v>
      </c>
      <c r="J203" s="35">
        <f>IF(VENTAS[[#This Row],[Nombre del Gestor]]&gt;1,VENTAS[[#This Row],[Total]]*10%,0)</f>
        <v>0</v>
      </c>
      <c r="K203" s="35">
        <f>IFERROR(VLOOKUP(VENTAS[[#This Row],[Código del producto Vendido]],STOCK[],16,FALSE)*VENTAS[[#This Row],[Cantidad]]+VLOOKUP(VENTAS[[#This Row],[Código del producto Vendido]],STOCK[],19,FALSE)*VENTAS[[#This Row],[Cantidad]],VENTAS[[#This Row],[Total]])</f>
        <v>22.3889705882353</v>
      </c>
      <c r="L203" s="35">
        <f>VENTAS[[#This Row],[Total]]-VENTAS[[#This Row],[Comisión 10%]]-VENTAS[[#This Row],[Costo SIN Comision]]</f>
        <v>12.6110294117647</v>
      </c>
      <c r="M203" s="35"/>
    </row>
    <row r="204" ht="20" customHeight="1" spans="1:13">
      <c r="A204" s="29">
        <v>45071</v>
      </c>
      <c r="B204" s="30"/>
      <c r="C204" s="30" t="s">
        <v>3346</v>
      </c>
      <c r="D204" s="30"/>
      <c r="E204" s="30" t="s">
        <v>1072</v>
      </c>
      <c r="F204" s="34" t="str">
        <f>IFERROR(VLOOKUP(VENTAS[[#This Row],[Código del producto Vendido]],STOCK[],5,FALSE),"-")</f>
        <v>Malla paredo set 2 piezas</v>
      </c>
      <c r="G204" s="34">
        <v>1</v>
      </c>
      <c r="H204" s="35">
        <v>22</v>
      </c>
      <c r="I204" s="35">
        <f>VENTAS[[#This Row],[Cantidad]]*VENTAS[[#This Row],[Precio Venta]]</f>
        <v>22</v>
      </c>
      <c r="J204" s="35">
        <f>IF(VENTAS[[#This Row],[Nombre del Gestor]]&gt;1,VENTAS[[#This Row],[Total]]*10%,0)</f>
        <v>0</v>
      </c>
      <c r="K204" s="35">
        <f>IFERROR(VLOOKUP(VENTAS[[#This Row],[Código del producto Vendido]],STOCK[],16,FALSE)*VENTAS[[#This Row],[Cantidad]]+VLOOKUP(VENTAS[[#This Row],[Código del producto Vendido]],STOCK[],19,FALSE)*VENTAS[[#This Row],[Cantidad]],VENTAS[[#This Row],[Total]])</f>
        <v>13.6823529411765</v>
      </c>
      <c r="L204" s="35">
        <f>VENTAS[[#This Row],[Total]]-VENTAS[[#This Row],[Comisión 10%]]-VENTAS[[#This Row],[Costo SIN Comision]]</f>
        <v>8.3176470588235</v>
      </c>
      <c r="M204" s="35"/>
    </row>
    <row r="205" ht="20" customHeight="1" spans="1:13">
      <c r="A205" s="29">
        <v>45071</v>
      </c>
      <c r="B205" s="30"/>
      <c r="C205" s="30" t="s">
        <v>3347</v>
      </c>
      <c r="D205" s="30"/>
      <c r="E205" s="30" t="s">
        <v>1075</v>
      </c>
      <c r="F205" s="34" t="str">
        <f>IFERROR(VLOOKUP(VENTAS[[#This Row],[Código del producto Vendido]],STOCK[],5,FALSE),"-")</f>
        <v>Traje de baño niña</v>
      </c>
      <c r="G205" s="34">
        <v>1</v>
      </c>
      <c r="H205" s="35">
        <v>25</v>
      </c>
      <c r="I205" s="35">
        <f>VENTAS[[#This Row],[Cantidad]]*VENTAS[[#This Row],[Precio Venta]]</f>
        <v>25</v>
      </c>
      <c r="J205" s="35">
        <f>IF(VENTAS[[#This Row],[Nombre del Gestor]]&gt;1,VENTAS[[#This Row],[Total]]*10%,0)</f>
        <v>0</v>
      </c>
      <c r="K205" s="35">
        <f>IFERROR(VLOOKUP(VENTAS[[#This Row],[Código del producto Vendido]],STOCK[],16,FALSE)*VENTAS[[#This Row],[Cantidad]]+VLOOKUP(VENTAS[[#This Row],[Código del producto Vendido]],STOCK[],19,FALSE)*VENTAS[[#This Row],[Cantidad]],VENTAS[[#This Row],[Total]])</f>
        <v>22.0507352941176</v>
      </c>
      <c r="L205" s="35">
        <f>VENTAS[[#This Row],[Total]]-VENTAS[[#This Row],[Comisión 10%]]-VENTAS[[#This Row],[Costo SIN Comision]]</f>
        <v>2.9492647058824</v>
      </c>
      <c r="M205" s="35"/>
    </row>
    <row r="206" ht="20" customHeight="1" spans="1:13">
      <c r="A206" s="29">
        <v>45071</v>
      </c>
      <c r="B206" s="30"/>
      <c r="C206" s="30" t="s">
        <v>3346</v>
      </c>
      <c r="D206" s="30"/>
      <c r="E206" s="30" t="s">
        <v>286</v>
      </c>
      <c r="F206" s="34" t="str">
        <f>IFERROR(VLOOKUP(VENTAS[[#This Row],[Código del producto Vendido]],STOCK[],5,FALSE),"-")</f>
        <v>Conjunto de cuello profundo con girante delantero con falda</v>
      </c>
      <c r="G206" s="34">
        <v>1</v>
      </c>
      <c r="H206" s="35">
        <v>25</v>
      </c>
      <c r="I206" s="35">
        <f>VENTAS[[#This Row],[Cantidad]]*VENTAS[[#This Row],[Precio Venta]]</f>
        <v>25</v>
      </c>
      <c r="J206" s="35">
        <f>IF(VENTAS[[#This Row],[Nombre del Gestor]]&gt;1,VENTAS[[#This Row],[Total]]*10%,0)</f>
        <v>0</v>
      </c>
      <c r="K206" s="35">
        <f>IFERROR(VLOOKUP(VENTAS[[#This Row],[Código del producto Vendido]],STOCK[],16,FALSE)*VENTAS[[#This Row],[Cantidad]]+VLOOKUP(VENTAS[[#This Row],[Código del producto Vendido]],STOCK[],19,FALSE)*VENTAS[[#This Row],[Cantidad]],VENTAS[[#This Row],[Total]])</f>
        <v>13.0733333333333</v>
      </c>
      <c r="L206" s="35">
        <f>VENTAS[[#This Row],[Total]]-VENTAS[[#This Row],[Comisión 10%]]-VENTAS[[#This Row],[Costo SIN Comision]]</f>
        <v>11.9266666666667</v>
      </c>
      <c r="M206" s="35"/>
    </row>
    <row r="207" ht="20" customHeight="1" spans="1:13">
      <c r="A207" s="29">
        <v>45071</v>
      </c>
      <c r="B207" s="30"/>
      <c r="C207" s="30" t="s">
        <v>3346</v>
      </c>
      <c r="D207" s="30"/>
      <c r="E207" s="30" t="s">
        <v>68</v>
      </c>
      <c r="F207" s="34" t="str">
        <f>IFERROR(VLOOKUP(VENTAS[[#This Row],[Código del producto Vendido]],STOCK[],5,FALSE),"-")</f>
        <v>Bikini Elegante con Herrajes</v>
      </c>
      <c r="G207" s="34">
        <v>1</v>
      </c>
      <c r="H207" s="35">
        <v>18</v>
      </c>
      <c r="I207" s="35">
        <f>VENTAS[[#This Row],[Cantidad]]*VENTAS[[#This Row],[Precio Venta]]</f>
        <v>18</v>
      </c>
      <c r="J207" s="35">
        <f>IF(VENTAS[[#This Row],[Nombre del Gestor]]&gt;1,VENTAS[[#This Row],[Total]]*10%,0)</f>
        <v>0</v>
      </c>
      <c r="K207" s="35">
        <f>IFERROR(VLOOKUP(VENTAS[[#This Row],[Código del producto Vendido]],STOCK[],16,FALSE)*VENTAS[[#This Row],[Cantidad]]+VLOOKUP(VENTAS[[#This Row],[Código del producto Vendido]],STOCK[],19,FALSE)*VENTAS[[#This Row],[Cantidad]],VENTAS[[#This Row],[Total]])</f>
        <v>12.3083333333333</v>
      </c>
      <c r="L207" s="35">
        <f>VENTAS[[#This Row],[Total]]-VENTAS[[#This Row],[Comisión 10%]]-VENTAS[[#This Row],[Costo SIN Comision]]</f>
        <v>5.69166666666667</v>
      </c>
      <c r="M207" s="35"/>
    </row>
    <row r="208" ht="20" customHeight="1" spans="1:13">
      <c r="A208" s="29">
        <v>45073</v>
      </c>
      <c r="B208" s="30"/>
      <c r="C208" s="30" t="s">
        <v>3345</v>
      </c>
      <c r="D208" s="30"/>
      <c r="E208" s="30" t="s">
        <v>170</v>
      </c>
      <c r="F208" s="34" t="str">
        <f>IFERROR(VLOOKUP(VENTAS[[#This Row],[Código del producto Vendido]],STOCK[],5,FALSE),"-")</f>
        <v>Vestido floral de cuello cuadrado</v>
      </c>
      <c r="G208" s="34">
        <v>1</v>
      </c>
      <c r="H208" s="35">
        <v>28</v>
      </c>
      <c r="I208" s="35">
        <f>VENTAS[[#This Row],[Cantidad]]*VENTAS[[#This Row],[Precio Venta]]</f>
        <v>28</v>
      </c>
      <c r="J208" s="35">
        <f>IF(VENTAS[[#This Row],[Nombre del Gestor]]&gt;1,VENTAS[[#This Row],[Total]]*10%,0)</f>
        <v>0</v>
      </c>
      <c r="K208" s="35">
        <f>IFERROR(VLOOKUP(VENTAS[[#This Row],[Código del producto Vendido]],STOCK[],16,FALSE)*VENTAS[[#This Row],[Cantidad]]+VLOOKUP(VENTAS[[#This Row],[Código del producto Vendido]],STOCK[],19,FALSE)*VENTAS[[#This Row],[Cantidad]],VENTAS[[#This Row],[Total]])</f>
        <v>17.6</v>
      </c>
      <c r="L208" s="35">
        <f>VENTAS[[#This Row],[Total]]-VENTAS[[#This Row],[Comisión 10%]]-VENTAS[[#This Row],[Costo SIN Comision]]</f>
        <v>10.4</v>
      </c>
      <c r="M208" s="35"/>
    </row>
    <row r="209" ht="20" customHeight="1" spans="1:13">
      <c r="A209" s="29">
        <v>45075</v>
      </c>
      <c r="B209" s="30"/>
      <c r="C209" s="30" t="s">
        <v>3348</v>
      </c>
      <c r="D209" s="30"/>
      <c r="E209" s="30" t="s">
        <v>993</v>
      </c>
      <c r="F209" s="34" t="str">
        <f>IFERROR(VLOOKUP(VENTAS[[#This Row],[Código del producto Vendido]],STOCK[],5,FALSE),"-")</f>
        <v>Vestido Girasol</v>
      </c>
      <c r="G209" s="34">
        <v>1</v>
      </c>
      <c r="H209" s="35">
        <v>25</v>
      </c>
      <c r="I209" s="35">
        <f>VENTAS[[#This Row],[Cantidad]]*VENTAS[[#This Row],[Precio Venta]]</f>
        <v>25</v>
      </c>
      <c r="J209" s="35">
        <f>IF(VENTAS[[#This Row],[Nombre del Gestor]]&gt;1,VENTAS[[#This Row],[Total]]*10%,0)</f>
        <v>0</v>
      </c>
      <c r="K209" s="35">
        <f>IFERROR(VLOOKUP(VENTAS[[#This Row],[Código del producto Vendido]],STOCK[],16,FALSE)*VENTAS[[#This Row],[Cantidad]]+VLOOKUP(VENTAS[[#This Row],[Código del producto Vendido]],STOCK[],19,FALSE)*VENTAS[[#This Row],[Cantidad]],VENTAS[[#This Row],[Total]])</f>
        <v>14.3045454545454</v>
      </c>
      <c r="L209" s="35">
        <f>VENTAS[[#This Row],[Total]]-VENTAS[[#This Row],[Comisión 10%]]-VENTAS[[#This Row],[Costo SIN Comision]]</f>
        <v>10.6954545454546</v>
      </c>
      <c r="M209" s="35"/>
    </row>
    <row r="210" ht="20" customHeight="1" spans="1:13">
      <c r="A210" s="29">
        <v>45075</v>
      </c>
      <c r="B210" s="30"/>
      <c r="C210" s="30" t="s">
        <v>3349</v>
      </c>
      <c r="D210" s="30"/>
      <c r="E210" s="30" t="s">
        <v>97</v>
      </c>
      <c r="F210" s="34" t="str">
        <f>IFERROR(VLOOKUP(VENTAS[[#This Row],[Código del producto Vendido]],STOCK[],5,FALSE),"-")</f>
        <v>Bañador estampado de planta</v>
      </c>
      <c r="G210" s="34">
        <v>1</v>
      </c>
      <c r="H210" s="35">
        <v>25</v>
      </c>
      <c r="I210" s="35">
        <f>VENTAS[[#This Row],[Cantidad]]*VENTAS[[#This Row],[Precio Venta]]</f>
        <v>25</v>
      </c>
      <c r="J210" s="35">
        <f>IF(VENTAS[[#This Row],[Nombre del Gestor]]&gt;1,VENTAS[[#This Row],[Total]]*10%,0)</f>
        <v>0</v>
      </c>
      <c r="K210" s="35">
        <f>IFERROR(VLOOKUP(VENTAS[[#This Row],[Código del producto Vendido]],STOCK[],16,FALSE)*VENTAS[[#This Row],[Cantidad]]+VLOOKUP(VENTAS[[#This Row],[Código del producto Vendido]],STOCK[],19,FALSE)*VENTAS[[#This Row],[Cantidad]],VENTAS[[#This Row],[Total]])</f>
        <v>15.9788888888889</v>
      </c>
      <c r="L210" s="35">
        <f>VENTAS[[#This Row],[Total]]-VENTAS[[#This Row],[Comisión 10%]]-VENTAS[[#This Row],[Costo SIN Comision]]</f>
        <v>9.0211111111111</v>
      </c>
      <c r="M210" s="35"/>
    </row>
    <row r="211" ht="20" customHeight="1" spans="1:13">
      <c r="A211" s="29">
        <v>45075</v>
      </c>
      <c r="B211" s="30"/>
      <c r="C211" s="30" t="s">
        <v>3350</v>
      </c>
      <c r="D211" s="30"/>
      <c r="E211" s="30" t="s">
        <v>230</v>
      </c>
      <c r="F211" s="34" t="str">
        <f>IFERROR(VLOOKUP(VENTAS[[#This Row],[Código del producto Vendido]],STOCK[],5,FALSE),"-")</f>
        <v>Vestido Esmeralda Fruncido</v>
      </c>
      <c r="G211" s="34">
        <v>1</v>
      </c>
      <c r="H211" s="35">
        <v>30</v>
      </c>
      <c r="I211" s="35">
        <f>VENTAS[[#This Row],[Cantidad]]*VENTAS[[#This Row],[Precio Venta]]</f>
        <v>30</v>
      </c>
      <c r="J211" s="35">
        <f>IF(VENTAS[[#This Row],[Nombre del Gestor]]&gt;1,VENTAS[[#This Row],[Total]]*10%,0)</f>
        <v>0</v>
      </c>
      <c r="K211" s="35">
        <f>IFERROR(VLOOKUP(VENTAS[[#This Row],[Código del producto Vendido]],STOCK[],16,FALSE)*VENTAS[[#This Row],[Cantidad]]+VLOOKUP(VENTAS[[#This Row],[Código del producto Vendido]],STOCK[],19,FALSE)*VENTAS[[#This Row],[Cantidad]],VENTAS[[#This Row],[Total]])</f>
        <v>18.48</v>
      </c>
      <c r="L211" s="35">
        <f>VENTAS[[#This Row],[Total]]-VENTAS[[#This Row],[Comisión 10%]]-VENTAS[[#This Row],[Costo SIN Comision]]</f>
        <v>11.52</v>
      </c>
      <c r="M211" s="35"/>
    </row>
    <row r="212" ht="20" customHeight="1" spans="1:13">
      <c r="A212" s="29">
        <v>45073</v>
      </c>
      <c r="B212" s="30"/>
      <c r="C212" s="30" t="s">
        <v>3343</v>
      </c>
      <c r="D212" s="30"/>
      <c r="E212" s="30" t="s">
        <v>274</v>
      </c>
      <c r="F212" s="34" t="str">
        <f>IFERROR(VLOOKUP(VENTAS[[#This Row],[Código del producto Vendido]],STOCK[],5,FALSE),"-")</f>
        <v>Vestido camiseta bajo con abertura</v>
      </c>
      <c r="G212" s="34">
        <v>1</v>
      </c>
      <c r="H212" s="35">
        <v>22</v>
      </c>
      <c r="I212" s="35">
        <f>VENTAS[[#This Row],[Cantidad]]*VENTAS[[#This Row],[Precio Venta]]</f>
        <v>22</v>
      </c>
      <c r="J212" s="35">
        <f>IF(VENTAS[[#This Row],[Nombre del Gestor]]&gt;1,VENTAS[[#This Row],[Total]]*10%,0)</f>
        <v>0</v>
      </c>
      <c r="K212" s="35">
        <f>IFERROR(VLOOKUP(VENTAS[[#This Row],[Código del producto Vendido]],STOCK[],16,FALSE)*VENTAS[[#This Row],[Cantidad]]+VLOOKUP(VENTAS[[#This Row],[Código del producto Vendido]],STOCK[],19,FALSE)*VENTAS[[#This Row],[Cantidad]],VENTAS[[#This Row],[Total]])</f>
        <v>13.7888888888889</v>
      </c>
      <c r="L212" s="35">
        <f>VENTAS[[#This Row],[Total]]-VENTAS[[#This Row],[Comisión 10%]]-VENTAS[[#This Row],[Costo SIN Comision]]</f>
        <v>8.2111111111111</v>
      </c>
      <c r="M212" s="35"/>
    </row>
    <row r="213" ht="20" customHeight="1" spans="1:13">
      <c r="A213" s="29">
        <v>45077</v>
      </c>
      <c r="B213" s="30"/>
      <c r="C213" s="30" t="s">
        <v>3351</v>
      </c>
      <c r="D213" s="30"/>
      <c r="E213" s="30" t="s">
        <v>942</v>
      </c>
      <c r="F213" s="34" t="str">
        <f>IFERROR(VLOOKUP(VENTAS[[#This Row],[Código del producto Vendido]],STOCK[],5,FALSE),"-")</f>
        <v>Vestido Tropical</v>
      </c>
      <c r="G213" s="34">
        <v>1</v>
      </c>
      <c r="H213" s="35">
        <v>30</v>
      </c>
      <c r="I213" s="35">
        <f>VENTAS[[#This Row],[Cantidad]]*VENTAS[[#This Row],[Precio Venta]]</f>
        <v>30</v>
      </c>
      <c r="J213" s="35">
        <f>IF(VENTAS[[#This Row],[Nombre del Gestor]]&gt;1,VENTAS[[#This Row],[Total]]*10%,0)</f>
        <v>0</v>
      </c>
      <c r="K213" s="35">
        <f>IFERROR(VLOOKUP(VENTAS[[#This Row],[Código del producto Vendido]],STOCK[],16,FALSE)*VENTAS[[#This Row],[Cantidad]]+VLOOKUP(VENTAS[[#This Row],[Código del producto Vendido]],STOCK[],19,FALSE)*VENTAS[[#This Row],[Cantidad]],VENTAS[[#This Row],[Total]])</f>
        <v>19.0186363636364</v>
      </c>
      <c r="L213" s="35">
        <f>VENTAS[[#This Row],[Total]]-VENTAS[[#This Row],[Comisión 10%]]-VENTAS[[#This Row],[Costo SIN Comision]]</f>
        <v>10.9813636363636</v>
      </c>
      <c r="M213" s="35"/>
    </row>
    <row r="214" ht="20" customHeight="1" spans="1:13">
      <c r="A214" s="29">
        <v>45077</v>
      </c>
      <c r="B214" s="30"/>
      <c r="C214" s="30" t="s">
        <v>3352</v>
      </c>
      <c r="D214" s="30"/>
      <c r="E214" s="30" t="s">
        <v>927</v>
      </c>
      <c r="F214" s="34" t="str">
        <f>IFERROR(VLOOKUP(VENTAS[[#This Row],[Código del producto Vendido]],STOCK[],5,FALSE),"-")</f>
        <v>Pantaloneta Roja</v>
      </c>
      <c r="G214" s="34">
        <v>1</v>
      </c>
      <c r="H214" s="35">
        <v>20</v>
      </c>
      <c r="I214" s="35">
        <f>VENTAS[[#This Row],[Cantidad]]*VENTAS[[#This Row],[Precio Venta]]</f>
        <v>20</v>
      </c>
      <c r="J214" s="35">
        <f>IF(VENTAS[[#This Row],[Nombre del Gestor]]&gt;1,VENTAS[[#This Row],[Total]]*10%,0)</f>
        <v>0</v>
      </c>
      <c r="K214" s="35">
        <f>IFERROR(VLOOKUP(VENTAS[[#This Row],[Código del producto Vendido]],STOCK[],16,FALSE)*VENTAS[[#This Row],[Cantidad]]+VLOOKUP(VENTAS[[#This Row],[Código del producto Vendido]],STOCK[],19,FALSE)*VENTAS[[#This Row],[Cantidad]],VENTAS[[#This Row],[Total]])</f>
        <v>11.6095454545454</v>
      </c>
      <c r="L214" s="35">
        <f>VENTAS[[#This Row],[Total]]-VENTAS[[#This Row],[Comisión 10%]]-VENTAS[[#This Row],[Costo SIN Comision]]</f>
        <v>8.39045454545455</v>
      </c>
      <c r="M214" s="35"/>
    </row>
    <row r="215" ht="20" customHeight="1" spans="1:13">
      <c r="A215" s="29">
        <v>45077</v>
      </c>
      <c r="B215" s="30"/>
      <c r="C215" s="30" t="s">
        <v>3352</v>
      </c>
      <c r="D215" s="30"/>
      <c r="E215" s="30" t="s">
        <v>182</v>
      </c>
      <c r="F215" s="34" t="str">
        <f>IFERROR(VLOOKUP(VENTAS[[#This Row],[Código del producto Vendido]],STOCK[],5,FALSE),"-")</f>
        <v>Top de manga farol con abertura en espald</v>
      </c>
      <c r="G215" s="34">
        <v>1</v>
      </c>
      <c r="H215" s="35">
        <v>14</v>
      </c>
      <c r="I215" s="35">
        <f>VENTAS[[#This Row],[Cantidad]]*VENTAS[[#This Row],[Precio Venta]]</f>
        <v>14</v>
      </c>
      <c r="J215" s="35">
        <f>IF(VENTAS[[#This Row],[Nombre del Gestor]]&gt;1,VENTAS[[#This Row],[Total]]*10%,0)</f>
        <v>0</v>
      </c>
      <c r="K215" s="35">
        <f>IFERROR(VLOOKUP(VENTAS[[#This Row],[Código del producto Vendido]],STOCK[],16,FALSE)*VENTAS[[#This Row],[Cantidad]]+VLOOKUP(VENTAS[[#This Row],[Código del producto Vendido]],STOCK[],19,FALSE)*VENTAS[[#This Row],[Cantidad]],VENTAS[[#This Row],[Total]])</f>
        <v>8.85777777777778</v>
      </c>
      <c r="L215" s="35">
        <f>VENTAS[[#This Row],[Total]]-VENTAS[[#This Row],[Comisión 10%]]-VENTAS[[#This Row],[Costo SIN Comision]]</f>
        <v>5.14222222222222</v>
      </c>
      <c r="M215" s="35"/>
    </row>
    <row r="216" ht="20" customHeight="1" spans="1:13">
      <c r="A216" s="29">
        <v>45077</v>
      </c>
      <c r="B216" s="30"/>
      <c r="C216" s="30" t="s">
        <v>3353</v>
      </c>
      <c r="D216" s="30"/>
      <c r="E216" s="30" t="s">
        <v>172</v>
      </c>
      <c r="F216" s="34" t="str">
        <f>IFERROR(VLOOKUP(VENTAS[[#This Row],[Código del producto Vendido]],STOCK[],5,FALSE),"-")</f>
        <v>Camiseta unicolor de malla</v>
      </c>
      <c r="G216" s="34">
        <v>1</v>
      </c>
      <c r="H216" s="35">
        <v>14</v>
      </c>
      <c r="I216" s="35">
        <f>VENTAS[[#This Row],[Cantidad]]*VENTAS[[#This Row],[Precio Venta]]</f>
        <v>14</v>
      </c>
      <c r="J216" s="35">
        <f>IF(VENTAS[[#This Row],[Nombre del Gestor]]&gt;1,VENTAS[[#This Row],[Total]]*10%,0)</f>
        <v>0</v>
      </c>
      <c r="K216" s="35">
        <f>IFERROR(VLOOKUP(VENTAS[[#This Row],[Código del producto Vendido]],STOCK[],16,FALSE)*VENTAS[[#This Row],[Cantidad]]+VLOOKUP(VENTAS[[#This Row],[Código del producto Vendido]],STOCK[],19,FALSE)*VENTAS[[#This Row],[Cantidad]],VENTAS[[#This Row],[Total]])</f>
        <v>6.88666666666667</v>
      </c>
      <c r="L216" s="35">
        <f>VENTAS[[#This Row],[Total]]-VENTAS[[#This Row],[Comisión 10%]]-VENTAS[[#This Row],[Costo SIN Comision]]</f>
        <v>7.11333333333333</v>
      </c>
      <c r="M216" s="35"/>
    </row>
    <row r="217" ht="20" customHeight="1" spans="1:13">
      <c r="A217" s="29">
        <v>45077</v>
      </c>
      <c r="B217" s="30"/>
      <c r="C217" s="30" t="s">
        <v>3354</v>
      </c>
      <c r="D217" s="30"/>
      <c r="E217" s="30" t="s">
        <v>236</v>
      </c>
      <c r="F217" s="34" t="str">
        <f>IFERROR(VLOOKUP(VENTAS[[#This Row],[Código del producto Vendido]],STOCK[],5,FALSE),"-")</f>
        <v>Top de cuello con cordón de lunares</v>
      </c>
      <c r="G217" s="34">
        <v>1</v>
      </c>
      <c r="H217" s="35">
        <v>12</v>
      </c>
      <c r="I217" s="35">
        <f>VENTAS[[#This Row],[Cantidad]]*VENTAS[[#This Row],[Precio Venta]]</f>
        <v>12</v>
      </c>
      <c r="J217" s="35">
        <f>IF(VENTAS[[#This Row],[Nombre del Gestor]]&gt;1,VENTAS[[#This Row],[Total]]*10%,0)</f>
        <v>0</v>
      </c>
      <c r="K217" s="35">
        <f>IFERROR(VLOOKUP(VENTAS[[#This Row],[Código del producto Vendido]],STOCK[],16,FALSE)*VENTAS[[#This Row],[Cantidad]]+VLOOKUP(VENTAS[[#This Row],[Código del producto Vendido]],STOCK[],19,FALSE)*VENTAS[[#This Row],[Cantidad]],VENTAS[[#This Row],[Total]])</f>
        <v>7.90444444444444</v>
      </c>
      <c r="L217" s="35">
        <f>VENTAS[[#This Row],[Total]]-VENTAS[[#This Row],[Comisión 10%]]-VENTAS[[#This Row],[Costo SIN Comision]]</f>
        <v>4.09555555555556</v>
      </c>
      <c r="M217" s="35"/>
    </row>
    <row r="218" ht="20" customHeight="1" spans="1:13">
      <c r="A218" s="29">
        <v>45079</v>
      </c>
      <c r="B218" s="30"/>
      <c r="C218" s="30" t="s">
        <v>3355</v>
      </c>
      <c r="D218" s="30"/>
      <c r="E218" s="30" t="s">
        <v>1102</v>
      </c>
      <c r="F218" s="34" t="str">
        <f>IFERROR(VLOOKUP(VENTAS[[#This Row],[Código del producto Vendido]],STOCK[],5,FALSE),"-")</f>
        <v>Mono Oblicuo con bolsillo</v>
      </c>
      <c r="G218" s="34">
        <v>1</v>
      </c>
      <c r="H218" s="35">
        <v>22</v>
      </c>
      <c r="I218" s="35">
        <f>VENTAS[[#This Row],[Cantidad]]*VENTAS[[#This Row],[Precio Venta]]</f>
        <v>22</v>
      </c>
      <c r="J218" s="35">
        <f>IF(VENTAS[[#This Row],[Nombre del Gestor]]&gt;1,VENTAS[[#This Row],[Total]]*10%,0)</f>
        <v>0</v>
      </c>
      <c r="K218" s="35">
        <f>IFERROR(VLOOKUP(VENTAS[[#This Row],[Código del producto Vendido]],STOCK[],16,FALSE)*VENTAS[[#This Row],[Cantidad]]+VLOOKUP(VENTAS[[#This Row],[Código del producto Vendido]],STOCK[],19,FALSE)*VENTAS[[#This Row],[Cantidad]],VENTAS[[#This Row],[Total]])</f>
        <v>14.5485294117647</v>
      </c>
      <c r="L218" s="35">
        <f>VENTAS[[#This Row],[Total]]-VENTAS[[#This Row],[Comisión 10%]]-VENTAS[[#This Row],[Costo SIN Comision]]</f>
        <v>7.45147058823529</v>
      </c>
      <c r="M218" s="35"/>
    </row>
    <row r="219" ht="20" customHeight="1" spans="1:13">
      <c r="A219" s="29">
        <v>45079</v>
      </c>
      <c r="B219" s="30"/>
      <c r="C219" s="30" t="s">
        <v>3356</v>
      </c>
      <c r="D219" s="30"/>
      <c r="E219" s="30" t="s">
        <v>502</v>
      </c>
      <c r="F219" s="34" t="str">
        <f>IFERROR(VLOOKUP(VENTAS[[#This Row],[Código del producto Vendido]],STOCK[],5,FALSE),"-")</f>
        <v>Bikini push up tropical </v>
      </c>
      <c r="G219" s="34">
        <v>1</v>
      </c>
      <c r="H219" s="35">
        <v>25</v>
      </c>
      <c r="I219" s="35">
        <f>VENTAS[[#This Row],[Cantidad]]*VENTAS[[#This Row],[Precio Venta]]</f>
        <v>25</v>
      </c>
      <c r="J219" s="35">
        <f>IF(VENTAS[[#This Row],[Nombre del Gestor]]&gt;1,VENTAS[[#This Row],[Total]]*10%,0)</f>
        <v>0</v>
      </c>
      <c r="K219" s="35">
        <f>IFERROR(VLOOKUP(VENTAS[[#This Row],[Código del producto Vendido]],STOCK[],16,FALSE)*VENTAS[[#This Row],[Cantidad]]+VLOOKUP(VENTAS[[#This Row],[Código del producto Vendido]],STOCK[],19,FALSE)*VENTAS[[#This Row],[Cantidad]],VENTAS[[#This Row],[Total]])</f>
        <v>16.5555555555556</v>
      </c>
      <c r="L219" s="35">
        <f>VENTAS[[#This Row],[Total]]-VENTAS[[#This Row],[Comisión 10%]]-VENTAS[[#This Row],[Costo SIN Comision]]</f>
        <v>8.4444444444444</v>
      </c>
      <c r="M219" s="35"/>
    </row>
    <row r="220" ht="20" customHeight="1" spans="1:13">
      <c r="A220" s="29">
        <v>45079</v>
      </c>
      <c r="B220" s="30"/>
      <c r="C220" s="30" t="s">
        <v>3352</v>
      </c>
      <c r="D220" s="30"/>
      <c r="E220" s="30" t="s">
        <v>950</v>
      </c>
      <c r="F220" s="34" t="str">
        <f>IFERROR(VLOOKUP(VENTAS[[#This Row],[Código del producto Vendido]],STOCK[],5,FALSE),"-")</f>
        <v> Pantaloneta Verde</v>
      </c>
      <c r="G220" s="34">
        <v>1</v>
      </c>
      <c r="H220" s="35">
        <v>25</v>
      </c>
      <c r="I220" s="35">
        <f>VENTAS[[#This Row],[Cantidad]]*VENTAS[[#This Row],[Precio Venta]]</f>
        <v>25</v>
      </c>
      <c r="J220" s="35">
        <f>IF(VENTAS[[#This Row],[Nombre del Gestor]]&gt;1,VENTAS[[#This Row],[Total]]*10%,0)</f>
        <v>0</v>
      </c>
      <c r="K220" s="35">
        <f>IFERROR(VLOOKUP(VENTAS[[#This Row],[Código del producto Vendido]],STOCK[],16,FALSE)*VENTAS[[#This Row],[Cantidad]]+VLOOKUP(VENTAS[[#This Row],[Código del producto Vendido]],STOCK[],19,FALSE)*VENTAS[[#This Row],[Cantidad]],VENTAS[[#This Row],[Total]])</f>
        <v>14.8713636363636</v>
      </c>
      <c r="L220" s="35">
        <f>VENTAS[[#This Row],[Total]]-VENTAS[[#This Row],[Comisión 10%]]-VENTAS[[#This Row],[Costo SIN Comision]]</f>
        <v>10.1286363636364</v>
      </c>
      <c r="M220" s="35"/>
    </row>
    <row r="221" ht="20" customHeight="1" spans="1:13">
      <c r="A221" s="29">
        <v>45079</v>
      </c>
      <c r="B221" s="30"/>
      <c r="C221" s="30" t="s">
        <v>3357</v>
      </c>
      <c r="D221" s="30"/>
      <c r="E221" s="30" t="s">
        <v>1081</v>
      </c>
      <c r="F221" s="34" t="str">
        <f>IFERROR(VLOOKUP(VENTAS[[#This Row],[Código del producto Vendido]],STOCK[],5,FALSE),"-")</f>
        <v>Vestido elegante ajustado corte sirena</v>
      </c>
      <c r="G221" s="34">
        <v>1</v>
      </c>
      <c r="H221" s="35">
        <v>30</v>
      </c>
      <c r="I221" s="35">
        <f>VENTAS[[#This Row],[Cantidad]]*VENTAS[[#This Row],[Precio Venta]]</f>
        <v>30</v>
      </c>
      <c r="J221" s="35">
        <f>IF(VENTAS[[#This Row],[Nombre del Gestor]]&gt;1,VENTAS[[#This Row],[Total]]*10%,0)</f>
        <v>0</v>
      </c>
      <c r="K221" s="35">
        <f>IFERROR(VLOOKUP(VENTAS[[#This Row],[Código del producto Vendido]],STOCK[],16,FALSE)*VENTAS[[#This Row],[Cantidad]]+VLOOKUP(VENTAS[[#This Row],[Código del producto Vendido]],STOCK[],19,FALSE)*VENTAS[[#This Row],[Cantidad]],VENTAS[[#This Row],[Total]])</f>
        <v>15.8066176470588</v>
      </c>
      <c r="L221" s="35">
        <f>VENTAS[[#This Row],[Total]]-VENTAS[[#This Row],[Comisión 10%]]-VENTAS[[#This Row],[Costo SIN Comision]]</f>
        <v>14.1933823529412</v>
      </c>
      <c r="M221" s="35"/>
    </row>
    <row r="222" ht="20" customHeight="1" spans="1:13">
      <c r="A222" s="29">
        <v>45079</v>
      </c>
      <c r="B222" s="30"/>
      <c r="C222" s="30" t="s">
        <v>3357</v>
      </c>
      <c r="D222" s="30"/>
      <c r="E222" s="30" t="s">
        <v>899</v>
      </c>
      <c r="F222" s="34" t="str">
        <f>IFERROR(VLOOKUP(VENTAS[[#This Row],[Código del producto Vendido]],STOCK[],5,FALSE),"-")</f>
        <v>Bañador con adorno de malla</v>
      </c>
      <c r="G222" s="34">
        <v>1</v>
      </c>
      <c r="H222" s="35">
        <v>25</v>
      </c>
      <c r="I222" s="35">
        <f>VENTAS[[#This Row],[Cantidad]]*VENTAS[[#This Row],[Precio Venta]]</f>
        <v>25</v>
      </c>
      <c r="J222" s="35">
        <f>IF(VENTAS[[#This Row],[Nombre del Gestor]]&gt;1,VENTAS[[#This Row],[Total]]*10%,0)</f>
        <v>0</v>
      </c>
      <c r="K222" s="35">
        <f>IFERROR(VLOOKUP(VENTAS[[#This Row],[Código del producto Vendido]],STOCK[],16,FALSE)*VENTAS[[#This Row],[Cantidad]]+VLOOKUP(VENTAS[[#This Row],[Código del producto Vendido]],STOCK[],19,FALSE)*VENTAS[[#This Row],[Cantidad]],VENTAS[[#This Row],[Total]])</f>
        <v>15.3295454545455</v>
      </c>
      <c r="L222" s="35">
        <f>VENTAS[[#This Row],[Total]]-VENTAS[[#This Row],[Comisión 10%]]-VENTAS[[#This Row],[Costo SIN Comision]]</f>
        <v>9.6704545454545</v>
      </c>
      <c r="M222" s="35"/>
    </row>
    <row r="223" ht="20" customHeight="1" spans="1:13">
      <c r="A223" s="29">
        <v>45079</v>
      </c>
      <c r="B223" s="30"/>
      <c r="C223" s="30" t="s">
        <v>3357</v>
      </c>
      <c r="D223" s="30"/>
      <c r="E223" s="30" t="s">
        <v>449</v>
      </c>
      <c r="F223" s="34" t="str">
        <f>IFERROR(VLOOKUP(VENTAS[[#This Row],[Código del producto Vendido]],STOCK[],5,FALSE),"-")</f>
        <v>Bañador estampado de planta</v>
      </c>
      <c r="G223" s="34">
        <v>1</v>
      </c>
      <c r="H223" s="35">
        <v>25</v>
      </c>
      <c r="I223" s="35">
        <f>VENTAS[[#This Row],[Cantidad]]*VENTAS[[#This Row],[Precio Venta]]</f>
        <v>25</v>
      </c>
      <c r="J223" s="35">
        <f>IF(VENTAS[[#This Row],[Nombre del Gestor]]&gt;1,VENTAS[[#This Row],[Total]]*10%,0)</f>
        <v>0</v>
      </c>
      <c r="K223" s="35">
        <f>IFERROR(VLOOKUP(VENTAS[[#This Row],[Código del producto Vendido]],STOCK[],16,FALSE)*VENTAS[[#This Row],[Cantidad]]+VLOOKUP(VENTAS[[#This Row],[Código del producto Vendido]],STOCK[],19,FALSE)*VENTAS[[#This Row],[Cantidad]],VENTAS[[#This Row],[Total]])</f>
        <v>13.4166666666667</v>
      </c>
      <c r="L223" s="35">
        <f>VENTAS[[#This Row],[Total]]-VENTAS[[#This Row],[Comisión 10%]]-VENTAS[[#This Row],[Costo SIN Comision]]</f>
        <v>11.5833333333333</v>
      </c>
      <c r="M223" s="35"/>
    </row>
    <row r="224" ht="20" customHeight="1" spans="1:13">
      <c r="A224" s="29">
        <v>45079</v>
      </c>
      <c r="B224" s="30"/>
      <c r="C224" s="30" t="s">
        <v>3358</v>
      </c>
      <c r="D224" s="30"/>
      <c r="E224" s="30" t="s">
        <v>906</v>
      </c>
      <c r="F224" s="34" t="str">
        <f>IFERROR(VLOOKUP(VENTAS[[#This Row],[Código del producto Vendido]],STOCK[],5,FALSE),"-")</f>
        <v> Top Cuello V Verde</v>
      </c>
      <c r="G224" s="34">
        <v>1</v>
      </c>
      <c r="H224" s="35">
        <v>12</v>
      </c>
      <c r="I224" s="35">
        <f>VENTAS[[#This Row],[Cantidad]]*VENTAS[[#This Row],[Precio Venta]]</f>
        <v>12</v>
      </c>
      <c r="J224" s="35">
        <f>IF(VENTAS[[#This Row],[Nombre del Gestor]]&gt;1,VENTAS[[#This Row],[Total]]*10%,0)</f>
        <v>0</v>
      </c>
      <c r="K224" s="35">
        <f>IFERROR(VLOOKUP(VENTAS[[#This Row],[Código del producto Vendido]],STOCK[],16,FALSE)*VENTAS[[#This Row],[Cantidad]]+VLOOKUP(VENTAS[[#This Row],[Código del producto Vendido]],STOCK[],19,FALSE)*VENTAS[[#This Row],[Cantidad]],VENTAS[[#This Row],[Total]])</f>
        <v>8.00545454545454</v>
      </c>
      <c r="L224" s="35">
        <f>VENTAS[[#This Row],[Total]]-VENTAS[[#This Row],[Comisión 10%]]-VENTAS[[#This Row],[Costo SIN Comision]]</f>
        <v>3.99454545454546</v>
      </c>
      <c r="M224" s="35"/>
    </row>
    <row r="225" ht="20" customHeight="1" spans="1:13">
      <c r="A225" s="29">
        <v>45079</v>
      </c>
      <c r="B225" s="30"/>
      <c r="C225" s="30" t="s">
        <v>3358</v>
      </c>
      <c r="D225" s="30"/>
      <c r="E225" s="30" t="s">
        <v>1028</v>
      </c>
      <c r="F225" s="34" t="str">
        <f>IFERROR(VLOOKUP(VENTAS[[#This Row],[Código del producto Vendido]],STOCK[],5,FALSE),"-")</f>
        <v>Top cuello V Blanco</v>
      </c>
      <c r="G225" s="34">
        <v>1</v>
      </c>
      <c r="H225" s="35">
        <v>12</v>
      </c>
      <c r="I225" s="35">
        <f>VENTAS[[#This Row],[Cantidad]]*VENTAS[[#This Row],[Precio Venta]]</f>
        <v>12</v>
      </c>
      <c r="J225" s="35">
        <f>IF(VENTAS[[#This Row],[Nombre del Gestor]]&gt;1,VENTAS[[#This Row],[Total]]*10%,0)</f>
        <v>0</v>
      </c>
      <c r="K225" s="35">
        <f>IFERROR(VLOOKUP(VENTAS[[#This Row],[Código del producto Vendido]],STOCK[],16,FALSE)*VENTAS[[#This Row],[Cantidad]]+VLOOKUP(VENTAS[[#This Row],[Código del producto Vendido]],STOCK[],19,FALSE)*VENTAS[[#This Row],[Cantidad]],VENTAS[[#This Row],[Total]])</f>
        <v>7.75568181818182</v>
      </c>
      <c r="L225" s="35">
        <f>VENTAS[[#This Row],[Total]]-VENTAS[[#This Row],[Comisión 10%]]-VENTAS[[#This Row],[Costo SIN Comision]]</f>
        <v>4.24431818181818</v>
      </c>
      <c r="M225" s="35"/>
    </row>
    <row r="226" ht="20" customHeight="1" spans="1:13">
      <c r="A226" s="29">
        <v>45079</v>
      </c>
      <c r="B226" s="30"/>
      <c r="C226" s="30" t="s">
        <v>3358</v>
      </c>
      <c r="D226" s="30"/>
      <c r="E226" s="30" t="s">
        <v>156</v>
      </c>
      <c r="F226" s="34" t="str">
        <f>IFERROR(VLOOKUP(VENTAS[[#This Row],[Código del producto Vendido]],STOCK[],5,FALSE),"-")</f>
        <v>Jeans de pierna recta desgarro</v>
      </c>
      <c r="G226" s="34">
        <v>1</v>
      </c>
      <c r="H226" s="35">
        <v>30</v>
      </c>
      <c r="I226" s="35">
        <f>VENTAS[[#This Row],[Cantidad]]*VENTAS[[#This Row],[Precio Venta]]</f>
        <v>30</v>
      </c>
      <c r="J226" s="35">
        <f>IF(VENTAS[[#This Row],[Nombre del Gestor]]&gt;1,VENTAS[[#This Row],[Total]]*10%,0)</f>
        <v>0</v>
      </c>
      <c r="K226" s="35">
        <f>IFERROR(VLOOKUP(VENTAS[[#This Row],[Código del producto Vendido]],STOCK[],16,FALSE)*VENTAS[[#This Row],[Cantidad]]+VLOOKUP(VENTAS[[#This Row],[Código del producto Vendido]],STOCK[],19,FALSE)*VENTAS[[#This Row],[Cantidad]],VENTAS[[#This Row],[Total]])</f>
        <v>18.6866666666667</v>
      </c>
      <c r="L226" s="35">
        <f>VENTAS[[#This Row],[Total]]-VENTAS[[#This Row],[Comisión 10%]]-VENTAS[[#This Row],[Costo SIN Comision]]</f>
        <v>11.3133333333333</v>
      </c>
      <c r="M226" s="35"/>
    </row>
    <row r="227" ht="20" customHeight="1" spans="1:13">
      <c r="A227" s="29">
        <v>45079</v>
      </c>
      <c r="B227" s="30"/>
      <c r="C227" s="30" t="s">
        <v>3358</v>
      </c>
      <c r="D227" s="30"/>
      <c r="E227" s="30" t="s">
        <v>889</v>
      </c>
      <c r="F227" s="34" t="str">
        <f>IFERROR(VLOOKUP(VENTAS[[#This Row],[Código del producto Vendido]],STOCK[],5,FALSE),"-")</f>
        <v>Top Cuello encaje y mangas abombadas</v>
      </c>
      <c r="G227" s="34">
        <v>1</v>
      </c>
      <c r="H227" s="35">
        <v>11</v>
      </c>
      <c r="I227" s="35">
        <f>VENTAS[[#This Row],[Cantidad]]*VENTAS[[#This Row],[Precio Venta]]</f>
        <v>11</v>
      </c>
      <c r="J227" s="35">
        <f>IF(VENTAS[[#This Row],[Nombre del Gestor]]&gt;1,VENTAS[[#This Row],[Total]]*10%,0)</f>
        <v>0</v>
      </c>
      <c r="K227" s="35">
        <f>IFERROR(VLOOKUP(VENTAS[[#This Row],[Código del producto Vendido]],STOCK[],16,FALSE)*VENTAS[[#This Row],[Cantidad]]+VLOOKUP(VENTAS[[#This Row],[Código del producto Vendido]],STOCK[],19,FALSE)*VENTAS[[#This Row],[Cantidad]],VENTAS[[#This Row],[Total]])</f>
        <v>6.35818181818182</v>
      </c>
      <c r="L227" s="35">
        <f>VENTAS[[#This Row],[Total]]-VENTAS[[#This Row],[Comisión 10%]]-VENTAS[[#This Row],[Costo SIN Comision]]</f>
        <v>4.64181818181818</v>
      </c>
      <c r="M227" s="35"/>
    </row>
    <row r="228" ht="20" customHeight="1" spans="1:13">
      <c r="A228" s="29"/>
      <c r="B228" s="30"/>
      <c r="C228" s="30"/>
      <c r="D228" s="30"/>
      <c r="E228" s="30" t="s">
        <v>934</v>
      </c>
      <c r="F228" s="34" t="str">
        <f>IFERROR(VLOOKUP(VENTAS[[#This Row],[Código del producto Vendido]],STOCK[],5,FALSE),"-")</f>
        <v>Bañador de pierna alta</v>
      </c>
      <c r="G228" s="34">
        <v>1</v>
      </c>
      <c r="H228" s="35">
        <v>25</v>
      </c>
      <c r="I228" s="35">
        <f>VENTAS[[#This Row],[Cantidad]]*VENTAS[[#This Row],[Precio Venta]]</f>
        <v>25</v>
      </c>
      <c r="J228" s="35">
        <f>IF(VENTAS[[#This Row],[Nombre del Gestor]]&gt;1,VENTAS[[#This Row],[Total]]*10%,0)</f>
        <v>0</v>
      </c>
      <c r="K228" s="35">
        <f>IFERROR(VLOOKUP(VENTAS[[#This Row],[Código del producto Vendido]],STOCK[],16,FALSE)*VENTAS[[#This Row],[Cantidad]]+VLOOKUP(VENTAS[[#This Row],[Código del producto Vendido]],STOCK[],19,FALSE)*VENTAS[[#This Row],[Cantidad]],VENTAS[[#This Row],[Total]])</f>
        <v>14.0231818181818</v>
      </c>
      <c r="L228" s="35">
        <f>VENTAS[[#This Row],[Total]]-VENTAS[[#This Row],[Comisión 10%]]-VENTAS[[#This Row],[Costo SIN Comision]]</f>
        <v>10.9768181818182</v>
      </c>
      <c r="M228" s="35"/>
    </row>
    <row r="229" ht="20" customHeight="1" spans="1:13">
      <c r="A229" s="29"/>
      <c r="B229" s="30"/>
      <c r="C229" s="30"/>
      <c r="D229" s="30"/>
      <c r="E229" s="47" t="s">
        <v>726</v>
      </c>
      <c r="F229" s="34" t="str">
        <f>IFERROR(VLOOKUP(VENTAS[[#This Row],[Código del producto Vendido]],STOCK[],5,FALSE),"-")</f>
        <v>Top acanalado sin mangas</v>
      </c>
      <c r="G229" s="34">
        <v>1</v>
      </c>
      <c r="H229" s="35">
        <v>16</v>
      </c>
      <c r="I229" s="35">
        <f>VENTAS[[#This Row],[Cantidad]]*VENTAS[[#This Row],[Precio Venta]]</f>
        <v>16</v>
      </c>
      <c r="J229" s="35">
        <f>IF(VENTAS[[#This Row],[Nombre del Gestor]]&gt;1,VENTAS[[#This Row],[Total]]*10%,0)</f>
        <v>0</v>
      </c>
      <c r="K229" s="35">
        <f>IFERROR(VLOOKUP(VENTAS[[#This Row],[Código del producto Vendido]],STOCK[],16,FALSE)*VENTAS[[#This Row],[Cantidad]]+VLOOKUP(VENTAS[[#This Row],[Código del producto Vendido]],STOCK[],19,FALSE)*VENTAS[[#This Row],[Cantidad]],VENTAS[[#This Row],[Total]])</f>
        <v>5.02222222222222</v>
      </c>
      <c r="L229" s="35">
        <f>VENTAS[[#This Row],[Total]]-VENTAS[[#This Row],[Comisión 10%]]-VENTAS[[#This Row],[Costo SIN Comision]]</f>
        <v>10.9777777777778</v>
      </c>
      <c r="M229" s="35"/>
    </row>
    <row r="230" ht="20" customHeight="1" spans="1:13">
      <c r="A230" s="29"/>
      <c r="B230" s="30"/>
      <c r="C230" s="30"/>
      <c r="D230" s="30"/>
      <c r="E230" s="30" t="s">
        <v>898</v>
      </c>
      <c r="F230" s="34" t="str">
        <f>IFERROR(VLOOKUP(VENTAS[[#This Row],[Código del producto Vendido]],STOCK[],5,FALSE),"-")</f>
        <v>Bañador con adorno de malla</v>
      </c>
      <c r="G230" s="34">
        <v>1</v>
      </c>
      <c r="H230" s="35">
        <v>25</v>
      </c>
      <c r="I230" s="35">
        <f>VENTAS[[#This Row],[Cantidad]]*VENTAS[[#This Row],[Precio Venta]]</f>
        <v>25</v>
      </c>
      <c r="J230" s="35">
        <f>IF(VENTAS[[#This Row],[Nombre del Gestor]]&gt;1,VENTAS[[#This Row],[Total]]*10%,0)</f>
        <v>0</v>
      </c>
      <c r="K230" s="35">
        <f>IFERROR(VLOOKUP(VENTAS[[#This Row],[Código del producto Vendido]],STOCK[],16,FALSE)*VENTAS[[#This Row],[Cantidad]]+VLOOKUP(VENTAS[[#This Row],[Código del producto Vendido]],STOCK[],19,FALSE)*VENTAS[[#This Row],[Cantidad]],VENTAS[[#This Row],[Total]])</f>
        <v>15.3295454545455</v>
      </c>
      <c r="L230" s="35">
        <f>VENTAS[[#This Row],[Total]]-VENTAS[[#This Row],[Comisión 10%]]-VENTAS[[#This Row],[Costo SIN Comision]]</f>
        <v>9.6704545454545</v>
      </c>
      <c r="M230" s="35"/>
    </row>
    <row r="231" ht="20" customHeight="1" spans="1:13">
      <c r="A231" s="29"/>
      <c r="B231" s="30"/>
      <c r="C231" s="30"/>
      <c r="D231" s="30"/>
      <c r="E231" s="30" t="s">
        <v>449</v>
      </c>
      <c r="F231" s="34" t="str">
        <f>IFERROR(VLOOKUP(VENTAS[[#This Row],[Código del producto Vendido]],STOCK[],5,FALSE),"-")</f>
        <v>Bañador estampado de planta</v>
      </c>
      <c r="G231" s="34">
        <v>2</v>
      </c>
      <c r="H231" s="35">
        <v>25</v>
      </c>
      <c r="I231" s="35">
        <f>VENTAS[[#This Row],[Cantidad]]*VENTAS[[#This Row],[Precio Venta]]</f>
        <v>50</v>
      </c>
      <c r="J231" s="35">
        <f>IF(VENTAS[[#This Row],[Nombre del Gestor]]&gt;1,VENTAS[[#This Row],[Total]]*10%,0)</f>
        <v>0</v>
      </c>
      <c r="K231" s="35">
        <f>IFERROR(VLOOKUP(VENTAS[[#This Row],[Código del producto Vendido]],STOCK[],16,FALSE)*VENTAS[[#This Row],[Cantidad]]+VLOOKUP(VENTAS[[#This Row],[Código del producto Vendido]],STOCK[],19,FALSE)*VENTAS[[#This Row],[Cantidad]],VENTAS[[#This Row],[Total]])</f>
        <v>26.8333333333334</v>
      </c>
      <c r="L231" s="35">
        <f>VENTAS[[#This Row],[Total]]-VENTAS[[#This Row],[Comisión 10%]]-VENTAS[[#This Row],[Costo SIN Comision]]</f>
        <v>23.1666666666666</v>
      </c>
      <c r="M231" s="35"/>
    </row>
    <row r="232" ht="20" customHeight="1" spans="1:13">
      <c r="A232" s="29"/>
      <c r="B232" s="30"/>
      <c r="C232" s="30"/>
      <c r="D232" s="30"/>
      <c r="E232" s="30" t="s">
        <v>1041</v>
      </c>
      <c r="F232" s="34" t="str">
        <f>IFERROR(VLOOKUP(VENTAS[[#This Row],[Código del producto Vendido]],STOCK[],5,FALSE),"-")</f>
        <v>Jeans Elastizados Pierna Ancha</v>
      </c>
      <c r="G232" s="34">
        <v>1</v>
      </c>
      <c r="H232" s="35">
        <v>35</v>
      </c>
      <c r="I232" s="35">
        <f>VENTAS[[#This Row],[Cantidad]]*VENTAS[[#This Row],[Precio Venta]]</f>
        <v>35</v>
      </c>
      <c r="J232" s="35">
        <f>IF(VENTAS[[#This Row],[Nombre del Gestor]]&gt;1,VENTAS[[#This Row],[Total]]*10%,0)</f>
        <v>0</v>
      </c>
      <c r="K232" s="35">
        <f>IFERROR(VLOOKUP(VENTAS[[#This Row],[Código del producto Vendido]],STOCK[],16,FALSE)*VENTAS[[#This Row],[Cantidad]]+VLOOKUP(VENTAS[[#This Row],[Código del producto Vendido]],STOCK[],19,FALSE)*VENTAS[[#This Row],[Cantidad]],VENTAS[[#This Row],[Total]])</f>
        <v>27.5227272727273</v>
      </c>
      <c r="L232" s="35">
        <f>VENTAS[[#This Row],[Total]]-VENTAS[[#This Row],[Comisión 10%]]-VENTAS[[#This Row],[Costo SIN Comision]]</f>
        <v>7.4772727272727</v>
      </c>
      <c r="M232" s="35"/>
    </row>
    <row r="233" ht="20" customHeight="1" spans="1:13">
      <c r="A233" s="29"/>
      <c r="B233" s="30"/>
      <c r="C233" s="30"/>
      <c r="D233" s="30"/>
      <c r="E233" s="30" t="s">
        <v>951</v>
      </c>
      <c r="F233" s="34" t="str">
        <f>IFERROR(VLOOKUP(VENTAS[[#This Row],[Código del producto Vendido]],STOCK[],5,FALSE),"-")</f>
        <v> Pantaloneta Verde</v>
      </c>
      <c r="G233" s="34">
        <v>1</v>
      </c>
      <c r="H233" s="35">
        <v>25</v>
      </c>
      <c r="I233" s="35">
        <f>VENTAS[[#This Row],[Cantidad]]*VENTAS[[#This Row],[Precio Venta]]</f>
        <v>25</v>
      </c>
      <c r="J233" s="35">
        <f>IF(VENTAS[[#This Row],[Nombre del Gestor]]&gt;1,VENTAS[[#This Row],[Total]]*10%,0)</f>
        <v>0</v>
      </c>
      <c r="K233" s="35">
        <f>IFERROR(VLOOKUP(VENTAS[[#This Row],[Código del producto Vendido]],STOCK[],16,FALSE)*VENTAS[[#This Row],[Cantidad]]+VLOOKUP(VENTAS[[#This Row],[Código del producto Vendido]],STOCK[],19,FALSE)*VENTAS[[#This Row],[Cantidad]],VENTAS[[#This Row],[Total]])</f>
        <v>14.8713636363636</v>
      </c>
      <c r="L233" s="35">
        <f>VENTAS[[#This Row],[Total]]-VENTAS[[#This Row],[Comisión 10%]]-VENTAS[[#This Row],[Costo SIN Comision]]</f>
        <v>10.1286363636364</v>
      </c>
      <c r="M233" s="35"/>
    </row>
    <row r="234" ht="20" customHeight="1" spans="1:13">
      <c r="A234" s="29">
        <v>45081</v>
      </c>
      <c r="B234" s="30"/>
      <c r="C234" s="30"/>
      <c r="D234" s="30"/>
      <c r="E234" s="30" t="s">
        <v>66</v>
      </c>
      <c r="F234" s="34" t="str">
        <f>IFERROR(VLOOKUP(VENTAS[[#This Row],[Código del producto Vendido]],STOCK[],5,FALSE),"-")</f>
        <v>Bikini Elegante con Herrajes</v>
      </c>
      <c r="G234" s="34">
        <v>1</v>
      </c>
      <c r="H234" s="35">
        <v>18</v>
      </c>
      <c r="I234" s="35">
        <f>VENTAS[[#This Row],[Cantidad]]*VENTAS[[#This Row],[Precio Venta]]</f>
        <v>18</v>
      </c>
      <c r="J234" s="35">
        <f>IF(VENTAS[[#This Row],[Nombre del Gestor]]&gt;1,VENTAS[[#This Row],[Total]]*10%,0)</f>
        <v>0</v>
      </c>
      <c r="K234" s="35">
        <f>IFERROR(VLOOKUP(VENTAS[[#This Row],[Código del producto Vendido]],STOCK[],16,FALSE)*VENTAS[[#This Row],[Cantidad]]+VLOOKUP(VENTAS[[#This Row],[Código del producto Vendido]],STOCK[],19,FALSE)*VENTAS[[#This Row],[Cantidad]],VENTAS[[#This Row],[Total]])</f>
        <v>12.3083333333333</v>
      </c>
      <c r="L234" s="35">
        <f>VENTAS[[#This Row],[Total]]-VENTAS[[#This Row],[Comisión 10%]]-VENTAS[[#This Row],[Costo SIN Comision]]</f>
        <v>5.69166666666667</v>
      </c>
      <c r="M234" s="35"/>
    </row>
    <row r="235" ht="20" customHeight="1" spans="1:13">
      <c r="A235" s="29">
        <v>45081</v>
      </c>
      <c r="B235" s="30"/>
      <c r="C235" s="30"/>
      <c r="D235" s="30"/>
      <c r="E235" s="30" t="s">
        <v>446</v>
      </c>
      <c r="F235" s="34" t="str">
        <f>IFERROR(VLOOKUP(VENTAS[[#This Row],[Código del producto Vendido]],STOCK[],5,FALSE),"-")</f>
        <v>Skort asimétrico floral </v>
      </c>
      <c r="G235" s="34">
        <v>1</v>
      </c>
      <c r="H235" s="35">
        <v>15</v>
      </c>
      <c r="I235" s="35">
        <f>VENTAS[[#This Row],[Cantidad]]*VENTAS[[#This Row],[Precio Venta]]</f>
        <v>15</v>
      </c>
      <c r="J235" s="35">
        <f>IF(VENTAS[[#This Row],[Nombre del Gestor]]&gt;1,VENTAS[[#This Row],[Total]]*10%,0)</f>
        <v>0</v>
      </c>
      <c r="K235" s="35">
        <f>IFERROR(VLOOKUP(VENTAS[[#This Row],[Código del producto Vendido]],STOCK[],16,FALSE)*VENTAS[[#This Row],[Cantidad]]+VLOOKUP(VENTAS[[#This Row],[Código del producto Vendido]],STOCK[],19,FALSE)*VENTAS[[#This Row],[Cantidad]],VENTAS[[#This Row],[Total]])</f>
        <v>8.92777777777778</v>
      </c>
      <c r="L235" s="35">
        <f>VENTAS[[#This Row],[Total]]-VENTAS[[#This Row],[Comisión 10%]]-VENTAS[[#This Row],[Costo SIN Comision]]</f>
        <v>6.07222222222222</v>
      </c>
      <c r="M235" s="35"/>
    </row>
    <row r="236" ht="20" customHeight="1" spans="1:13">
      <c r="A236" s="29">
        <v>45081</v>
      </c>
      <c r="B236" s="30"/>
      <c r="C236" s="30"/>
      <c r="D236" s="30"/>
      <c r="E236" s="30" t="s">
        <v>1060</v>
      </c>
      <c r="F236" s="34" t="str">
        <f>IFERROR(VLOOKUP(VENTAS[[#This Row],[Código del producto Vendido]],STOCK[],5,FALSE),"-")</f>
        <v>Top corto blanco</v>
      </c>
      <c r="G236" s="34">
        <v>1</v>
      </c>
      <c r="H236" s="35">
        <v>5</v>
      </c>
      <c r="I236" s="35">
        <f>VENTAS[[#This Row],[Cantidad]]*VENTAS[[#This Row],[Precio Venta]]</f>
        <v>5</v>
      </c>
      <c r="J236" s="35">
        <f>IF(VENTAS[[#This Row],[Nombre del Gestor]]&gt;1,VENTAS[[#This Row],[Total]]*10%,0)</f>
        <v>0</v>
      </c>
      <c r="K236" s="35">
        <f>IFERROR(VLOOKUP(VENTAS[[#This Row],[Código del producto Vendido]],STOCK[],16,FALSE)*VENTAS[[#This Row],[Cantidad]]+VLOOKUP(VENTAS[[#This Row],[Código del producto Vendido]],STOCK[],19,FALSE)*VENTAS[[#This Row],[Cantidad]],VENTAS[[#This Row],[Total]])</f>
        <v>4.40441176470588</v>
      </c>
      <c r="L236" s="35">
        <f>VENTAS[[#This Row],[Total]]-VENTAS[[#This Row],[Comisión 10%]]-VENTAS[[#This Row],[Costo SIN Comision]]</f>
        <v>0.59558823529412</v>
      </c>
      <c r="M236" s="35"/>
    </row>
    <row r="237" ht="20" customHeight="1" spans="1:13">
      <c r="A237" s="29">
        <v>45081</v>
      </c>
      <c r="B237" s="30"/>
      <c r="C237" s="30"/>
      <c r="D237" s="30"/>
      <c r="E237" s="30" t="s">
        <v>306</v>
      </c>
      <c r="F237" s="34" t="str">
        <f>IFERROR(VLOOKUP(VENTAS[[#This Row],[Código del producto Vendido]],STOCK[],5,FALSE),"-")</f>
        <v>Conjunto short, camisa y top</v>
      </c>
      <c r="G237" s="34">
        <v>1</v>
      </c>
      <c r="H237" s="35">
        <v>30</v>
      </c>
      <c r="I237" s="35">
        <f>VENTAS[[#This Row],[Cantidad]]*VENTAS[[#This Row],[Precio Venta]]</f>
        <v>30</v>
      </c>
      <c r="J237" s="35">
        <f>IF(VENTAS[[#This Row],[Nombre del Gestor]]&gt;1,VENTAS[[#This Row],[Total]]*10%,0)</f>
        <v>0</v>
      </c>
      <c r="K237" s="35">
        <f>IFERROR(VLOOKUP(VENTAS[[#This Row],[Código del producto Vendido]],STOCK[],16,FALSE)*VENTAS[[#This Row],[Cantidad]]+VLOOKUP(VENTAS[[#This Row],[Código del producto Vendido]],STOCK[],19,FALSE)*VENTAS[[#This Row],[Cantidad]],VENTAS[[#This Row],[Total]])</f>
        <v>16.8333333333333</v>
      </c>
      <c r="L237" s="35">
        <f>VENTAS[[#This Row],[Total]]-VENTAS[[#This Row],[Comisión 10%]]-VENTAS[[#This Row],[Costo SIN Comision]]</f>
        <v>13.1666666666667</v>
      </c>
      <c r="M237" s="35"/>
    </row>
    <row r="238" ht="20" customHeight="1" spans="1:13">
      <c r="A238" s="29">
        <v>45081</v>
      </c>
      <c r="B238" s="30"/>
      <c r="C238" s="30"/>
      <c r="D238" s="30"/>
      <c r="E238" s="30" t="s">
        <v>262</v>
      </c>
      <c r="F238" s="34" t="str">
        <f>IFERROR(VLOOKUP(VENTAS[[#This Row],[Código del producto Vendido]],STOCK[],5,FALSE),"-")</f>
        <v>Blusas Botón Floral Casual</v>
      </c>
      <c r="G238" s="34">
        <v>1</v>
      </c>
      <c r="H238" s="35">
        <v>14</v>
      </c>
      <c r="I238" s="35">
        <f>VENTAS[[#This Row],[Cantidad]]*VENTAS[[#This Row],[Precio Venta]]</f>
        <v>14</v>
      </c>
      <c r="J238" s="35">
        <f>IF(VENTAS[[#This Row],[Nombre del Gestor]]&gt;1,VENTAS[[#This Row],[Total]]*10%,0)</f>
        <v>0</v>
      </c>
      <c r="K238" s="35">
        <f>IFERROR(VLOOKUP(VENTAS[[#This Row],[Código del producto Vendido]],STOCK[],16,FALSE)*VENTAS[[#This Row],[Cantidad]]+VLOOKUP(VENTAS[[#This Row],[Código del producto Vendido]],STOCK[],19,FALSE)*VENTAS[[#This Row],[Cantidad]],VENTAS[[#This Row],[Total]])</f>
        <v>8.02222222222222</v>
      </c>
      <c r="L238" s="35">
        <f>VENTAS[[#This Row],[Total]]-VENTAS[[#This Row],[Comisión 10%]]-VENTAS[[#This Row],[Costo SIN Comision]]</f>
        <v>5.97777777777778</v>
      </c>
      <c r="M238" s="35"/>
    </row>
    <row r="239" ht="20" customHeight="1" spans="1:13">
      <c r="A239" s="29">
        <v>45081</v>
      </c>
      <c r="B239" s="30"/>
      <c r="C239" s="30"/>
      <c r="D239" s="30"/>
      <c r="E239" s="30" t="s">
        <v>726</v>
      </c>
      <c r="F239" s="34" t="str">
        <f>IFERROR(VLOOKUP(VENTAS[[#This Row],[Código del producto Vendido]],STOCK[],5,FALSE),"-")</f>
        <v>Top acanalado sin mangas</v>
      </c>
      <c r="G239" s="34">
        <v>1</v>
      </c>
      <c r="H239" s="35">
        <v>10</v>
      </c>
      <c r="I239" s="35">
        <f>VENTAS[[#This Row],[Cantidad]]*VENTAS[[#This Row],[Precio Venta]]</f>
        <v>10</v>
      </c>
      <c r="J239" s="35">
        <f>IF(VENTAS[[#This Row],[Nombre del Gestor]]&gt;1,VENTAS[[#This Row],[Total]]*10%,0)</f>
        <v>0</v>
      </c>
      <c r="K239" s="35">
        <f>IFERROR(VLOOKUP(VENTAS[[#This Row],[Código del producto Vendido]],STOCK[],16,FALSE)*VENTAS[[#This Row],[Cantidad]]+VLOOKUP(VENTAS[[#This Row],[Código del producto Vendido]],STOCK[],19,FALSE)*VENTAS[[#This Row],[Cantidad]],VENTAS[[#This Row],[Total]])</f>
        <v>5.02222222222222</v>
      </c>
      <c r="L239" s="35">
        <f>VENTAS[[#This Row],[Total]]-VENTAS[[#This Row],[Comisión 10%]]-VENTAS[[#This Row],[Costo SIN Comision]]</f>
        <v>4.97777777777778</v>
      </c>
      <c r="M239" s="35"/>
    </row>
    <row r="240" ht="20" customHeight="1" spans="1:13">
      <c r="A240" s="29">
        <v>45082</v>
      </c>
      <c r="B240" s="30"/>
      <c r="C240" s="30" t="s">
        <v>3359</v>
      </c>
      <c r="D240" s="30"/>
      <c r="E240" s="30" t="s">
        <v>1034</v>
      </c>
      <c r="F240" s="34" t="str">
        <f>IFERROR(VLOOKUP(VENTAS[[#This Row],[Código del producto Vendido]],STOCK[],5,FALSE),"-")</f>
        <v>Jenas Ajustados Oscuro</v>
      </c>
      <c r="G240" s="34">
        <v>1</v>
      </c>
      <c r="H240" s="35">
        <v>35</v>
      </c>
      <c r="I240" s="35">
        <f>VENTAS[[#This Row],[Cantidad]]*VENTAS[[#This Row],[Precio Venta]]</f>
        <v>35</v>
      </c>
      <c r="J240" s="35">
        <f>IF(VENTAS[[#This Row],[Nombre del Gestor]]&gt;1,VENTAS[[#This Row],[Total]]*10%,0)</f>
        <v>0</v>
      </c>
      <c r="K240" s="35">
        <f>IFERROR(VLOOKUP(VENTAS[[#This Row],[Código del producto Vendido]],STOCK[],16,FALSE)*VENTAS[[#This Row],[Cantidad]]+VLOOKUP(VENTAS[[#This Row],[Código del producto Vendido]],STOCK[],19,FALSE)*VENTAS[[#This Row],[Cantidad]],VENTAS[[#This Row],[Total]])</f>
        <v>24.6818181818182</v>
      </c>
      <c r="L240" s="35">
        <f>VENTAS[[#This Row],[Total]]-VENTAS[[#This Row],[Comisión 10%]]-VENTAS[[#This Row],[Costo SIN Comision]]</f>
        <v>10.3181818181818</v>
      </c>
      <c r="M240" s="35"/>
    </row>
    <row r="241" ht="20" customHeight="1" spans="1:13">
      <c r="A241" s="29">
        <v>45082</v>
      </c>
      <c r="B241" s="30"/>
      <c r="C241" s="30" t="s">
        <v>3359</v>
      </c>
      <c r="D241" s="30"/>
      <c r="E241" s="30" t="s">
        <v>1039</v>
      </c>
      <c r="F241" s="34" t="str">
        <f>IFERROR(VLOOKUP(VENTAS[[#This Row],[Código del producto Vendido]],STOCK[],5,FALSE),"-")</f>
        <v>Jeans Elastizados Pierna Ancha</v>
      </c>
      <c r="G241" s="34">
        <v>1</v>
      </c>
      <c r="H241" s="35">
        <v>35</v>
      </c>
      <c r="I241" s="35">
        <f>VENTAS[[#This Row],[Cantidad]]*VENTAS[[#This Row],[Precio Venta]]</f>
        <v>35</v>
      </c>
      <c r="J241" s="35">
        <f>IF(VENTAS[[#This Row],[Nombre del Gestor]]&gt;1,VENTAS[[#This Row],[Total]]*10%,0)</f>
        <v>0</v>
      </c>
      <c r="K241" s="35">
        <f>IFERROR(VLOOKUP(VENTAS[[#This Row],[Código del producto Vendido]],STOCK[],16,FALSE)*VENTAS[[#This Row],[Cantidad]]+VLOOKUP(VENTAS[[#This Row],[Código del producto Vendido]],STOCK[],19,FALSE)*VENTAS[[#This Row],[Cantidad]],VENTAS[[#This Row],[Total]])</f>
        <v>27.5227272727273</v>
      </c>
      <c r="L241" s="35">
        <f>VENTAS[[#This Row],[Total]]-VENTAS[[#This Row],[Comisión 10%]]-VENTAS[[#This Row],[Costo SIN Comision]]</f>
        <v>7.4772727272727</v>
      </c>
      <c r="M241" s="35"/>
    </row>
    <row r="242" ht="20" customHeight="1" spans="1:13">
      <c r="A242" s="29">
        <v>45082</v>
      </c>
      <c r="B242" s="30"/>
      <c r="C242" s="30" t="s">
        <v>3349</v>
      </c>
      <c r="D242" s="30"/>
      <c r="E242" s="30" t="s">
        <v>161</v>
      </c>
      <c r="F242" s="34" t="str">
        <f>IFERROR(VLOOKUP(VENTAS[[#This Row],[Código del producto Vendido]],STOCK[],5,FALSE),"-")</f>
        <v>Bañador una pieza con adorno de mariposas</v>
      </c>
      <c r="G242" s="34">
        <v>1</v>
      </c>
      <c r="H242" s="35">
        <v>20</v>
      </c>
      <c r="I242" s="35">
        <f>VENTAS[[#This Row],[Cantidad]]*VENTAS[[#This Row],[Precio Venta]]</f>
        <v>20</v>
      </c>
      <c r="J242" s="35">
        <f>IF(VENTAS[[#This Row],[Nombre del Gestor]]&gt;1,VENTAS[[#This Row],[Total]]*10%,0)</f>
        <v>0</v>
      </c>
      <c r="K242" s="35">
        <f>IFERROR(VLOOKUP(VENTAS[[#This Row],[Código del producto Vendido]],STOCK[],16,FALSE)*VENTAS[[#This Row],[Cantidad]]+VLOOKUP(VENTAS[[#This Row],[Código del producto Vendido]],STOCK[],19,FALSE)*VENTAS[[#This Row],[Cantidad]],VENTAS[[#This Row],[Total]])</f>
        <v>12.7427777777778</v>
      </c>
      <c r="L242" s="35">
        <f>VENTAS[[#This Row],[Total]]-VENTAS[[#This Row],[Comisión 10%]]-VENTAS[[#This Row],[Costo SIN Comision]]</f>
        <v>7.2572222222222</v>
      </c>
      <c r="M242" s="35"/>
    </row>
    <row r="243" ht="20" customHeight="1" spans="1:13">
      <c r="A243" s="29">
        <v>45082</v>
      </c>
      <c r="B243" s="30"/>
      <c r="C243" s="30" t="s">
        <v>3360</v>
      </c>
      <c r="D243" s="30"/>
      <c r="E243" s="30" t="s">
        <v>317</v>
      </c>
      <c r="F243" s="34" t="str">
        <f>IFERROR(VLOOKUP(VENTAS[[#This Row],[Código del producto Vendido]],STOCK[],5,FALSE),"-")</f>
        <v>Conjuntot Top corto &amp; Pantalones</v>
      </c>
      <c r="G243" s="34">
        <v>1</v>
      </c>
      <c r="H243" s="35">
        <v>30</v>
      </c>
      <c r="I243" s="35">
        <f>VENTAS[[#This Row],[Cantidad]]*VENTAS[[#This Row],[Precio Venta]]</f>
        <v>30</v>
      </c>
      <c r="J243" s="35">
        <f>IF(VENTAS[[#This Row],[Nombre del Gestor]]&gt;1,VENTAS[[#This Row],[Total]]*10%,0)</f>
        <v>0</v>
      </c>
      <c r="K243" s="35">
        <f>IFERROR(VLOOKUP(VENTAS[[#This Row],[Código del producto Vendido]],STOCK[],16,FALSE)*VENTAS[[#This Row],[Cantidad]]+VLOOKUP(VENTAS[[#This Row],[Código del producto Vendido]],STOCK[],19,FALSE)*VENTAS[[#This Row],[Cantidad]],VENTAS[[#This Row],[Total]])</f>
        <v>18.3688888888889</v>
      </c>
      <c r="L243" s="35">
        <f>VENTAS[[#This Row],[Total]]-VENTAS[[#This Row],[Comisión 10%]]-VENTAS[[#This Row],[Costo SIN Comision]]</f>
        <v>11.6311111111111</v>
      </c>
      <c r="M243" s="35"/>
    </row>
    <row r="244" ht="20" customHeight="1" spans="1:13">
      <c r="A244" s="29">
        <v>45085</v>
      </c>
      <c r="B244" s="30"/>
      <c r="C244" s="30" t="s">
        <v>3361</v>
      </c>
      <c r="D244" s="30"/>
      <c r="E244" s="30" t="s">
        <v>29</v>
      </c>
      <c r="F244" s="34" t="str">
        <f>IFERROR(VLOOKUP(VENTAS[[#This Row],[Código del producto Vendido]],STOCK[],5,FALSE),"-")</f>
        <v>Pareo falda </v>
      </c>
      <c r="G244" s="34">
        <v>1</v>
      </c>
      <c r="H244" s="35">
        <v>8</v>
      </c>
      <c r="I244" s="35">
        <f>VENTAS[[#This Row],[Cantidad]]*VENTAS[[#This Row],[Precio Venta]]</f>
        <v>8</v>
      </c>
      <c r="J244" s="35">
        <f>IF(VENTAS[[#This Row],[Nombre del Gestor]]&gt;1,VENTAS[[#This Row],[Total]]*10%,0)</f>
        <v>0</v>
      </c>
      <c r="K244" s="35">
        <f>IFERROR(VLOOKUP(VENTAS[[#This Row],[Código del producto Vendido]],STOCK[],16,FALSE)*VENTAS[[#This Row],[Cantidad]]+VLOOKUP(VENTAS[[#This Row],[Código del producto Vendido]],STOCK[],19,FALSE)*VENTAS[[#This Row],[Cantidad]],VENTAS[[#This Row],[Total]])</f>
        <v>4.33722222222222</v>
      </c>
      <c r="L244" s="35">
        <f>VENTAS[[#This Row],[Total]]-VENTAS[[#This Row],[Comisión 10%]]-VENTAS[[#This Row],[Costo SIN Comision]]</f>
        <v>3.66277777777778</v>
      </c>
      <c r="M244" s="35"/>
    </row>
    <row r="245" ht="20" customHeight="1" spans="1:13">
      <c r="A245" s="29">
        <v>45085</v>
      </c>
      <c r="B245" s="30"/>
      <c r="C245" s="30" t="s">
        <v>3361</v>
      </c>
      <c r="D245" s="30"/>
      <c r="E245" s="30" t="s">
        <v>88</v>
      </c>
      <c r="F245" s="34" t="str">
        <f>IFERROR(VLOOKUP(VENTAS[[#This Row],[Código del producto Vendido]],STOCK[],5,FALSE),"-")</f>
        <v>Bañador con Cremallera</v>
      </c>
      <c r="G245" s="34">
        <v>1</v>
      </c>
      <c r="H245" s="35">
        <v>28</v>
      </c>
      <c r="I245" s="35">
        <f>VENTAS[[#This Row],[Cantidad]]*VENTAS[[#This Row],[Precio Venta]]</f>
        <v>28</v>
      </c>
      <c r="J245" s="35">
        <f>IF(VENTAS[[#This Row],[Nombre del Gestor]]&gt;1,VENTAS[[#This Row],[Total]]*10%,0)</f>
        <v>0</v>
      </c>
      <c r="K245" s="35">
        <f>IFERROR(VLOOKUP(VENTAS[[#This Row],[Código del producto Vendido]],STOCK[],16,FALSE)*VENTAS[[#This Row],[Cantidad]]+VLOOKUP(VENTAS[[#This Row],[Código del producto Vendido]],STOCK[],19,FALSE)*VENTAS[[#This Row],[Cantidad]],VENTAS[[#This Row],[Total]])</f>
        <v>21.0805555555556</v>
      </c>
      <c r="L245" s="35">
        <f>VENTAS[[#This Row],[Total]]-VENTAS[[#This Row],[Comisión 10%]]-VENTAS[[#This Row],[Costo SIN Comision]]</f>
        <v>6.9194444444444</v>
      </c>
      <c r="M245" s="35"/>
    </row>
    <row r="246" ht="20" customHeight="1" spans="1:13">
      <c r="A246" s="29">
        <v>45085</v>
      </c>
      <c r="B246" s="30"/>
      <c r="C246" s="30" t="s">
        <v>3361</v>
      </c>
      <c r="D246" s="30"/>
      <c r="E246" s="30" t="s">
        <v>952</v>
      </c>
      <c r="F246" s="34" t="str">
        <f>IFERROR(VLOOKUP(VENTAS[[#This Row],[Código del producto Vendido]],STOCK[],5,FALSE),"-")</f>
        <v>Niñas 3 piezas Bañador bikini de rayas combinadas con abertura con kimono</v>
      </c>
      <c r="G246" s="34">
        <v>1</v>
      </c>
      <c r="H246" s="35">
        <v>25</v>
      </c>
      <c r="I246" s="35">
        <f>VENTAS[[#This Row],[Cantidad]]*VENTAS[[#This Row],[Precio Venta]]</f>
        <v>25</v>
      </c>
      <c r="J246" s="35">
        <f>IF(VENTAS[[#This Row],[Nombre del Gestor]]&gt;1,VENTAS[[#This Row],[Total]]*10%,0)</f>
        <v>0</v>
      </c>
      <c r="K246" s="35">
        <f>IFERROR(VLOOKUP(VENTAS[[#This Row],[Código del producto Vendido]],STOCK[],16,FALSE)*VENTAS[[#This Row],[Cantidad]]+VLOOKUP(VENTAS[[#This Row],[Código del producto Vendido]],STOCK[],19,FALSE)*VENTAS[[#This Row],[Cantidad]],VENTAS[[#This Row],[Total]])</f>
        <v>12.3772727272727</v>
      </c>
      <c r="L246" s="35">
        <f>VENTAS[[#This Row],[Total]]-VENTAS[[#This Row],[Comisión 10%]]-VENTAS[[#This Row],[Costo SIN Comision]]</f>
        <v>12.6227272727273</v>
      </c>
      <c r="M246" s="35"/>
    </row>
    <row r="247" ht="20" customHeight="1" spans="1:13">
      <c r="A247" s="42">
        <v>45085</v>
      </c>
      <c r="B247" s="30"/>
      <c r="C247" s="30" t="s">
        <v>3361</v>
      </c>
      <c r="D247" s="30"/>
      <c r="E247" s="30" t="s">
        <v>976</v>
      </c>
      <c r="F247" s="34" t="str">
        <f>IFERROR(VLOOKUP(VENTAS[[#This Row],[Código del producto Vendido]],STOCK[],5,FALSE),"-")</f>
        <v>Bikini niña 3 piezas</v>
      </c>
      <c r="G247" s="34">
        <v>1</v>
      </c>
      <c r="H247" s="35">
        <v>25</v>
      </c>
      <c r="I247" s="35">
        <f>VENTAS[[#This Row],[Cantidad]]*VENTAS[[#This Row],[Precio Venta]]</f>
        <v>25</v>
      </c>
      <c r="J247" s="35">
        <f>IF(VENTAS[[#This Row],[Nombre del Gestor]]&gt;1,VENTAS[[#This Row],[Total]]*10%,0)</f>
        <v>0</v>
      </c>
      <c r="K247" s="35">
        <f>IFERROR(VLOOKUP(VENTAS[[#This Row],[Código del producto Vendido]],STOCK[],16,FALSE)*VENTAS[[#This Row],[Cantidad]]+VLOOKUP(VENTAS[[#This Row],[Código del producto Vendido]],STOCK[],19,FALSE)*VENTAS[[#This Row],[Cantidad]],VENTAS[[#This Row],[Total]])</f>
        <v>14.4772727272727</v>
      </c>
      <c r="L247" s="35">
        <f>VENTAS[[#This Row],[Total]]-VENTAS[[#This Row],[Comisión 10%]]-VENTAS[[#This Row],[Costo SIN Comision]]</f>
        <v>10.5227272727273</v>
      </c>
      <c r="M247" s="35"/>
    </row>
    <row r="248" ht="20" customHeight="1" spans="1:13">
      <c r="A248" s="29">
        <v>45083</v>
      </c>
      <c r="B248" s="30"/>
      <c r="C248" s="30" t="s">
        <v>3362</v>
      </c>
      <c r="D248" s="30"/>
      <c r="E248" s="30" t="s">
        <v>271</v>
      </c>
      <c r="F248" s="34" t="str">
        <f>IFERROR(VLOOKUP(VENTAS[[#This Row],[Código del producto Vendido]],STOCK[],5,FALSE),"-")</f>
        <v>Vestido camiseta bajo con abertura</v>
      </c>
      <c r="G248" s="34">
        <v>1</v>
      </c>
      <c r="H248" s="35">
        <v>22</v>
      </c>
      <c r="I248" s="35">
        <f>VENTAS[[#This Row],[Cantidad]]*VENTAS[[#This Row],[Precio Venta]]</f>
        <v>22</v>
      </c>
      <c r="J248" s="35">
        <f>IF(VENTAS[[#This Row],[Nombre del Gestor]]&gt;1,VENTAS[[#This Row],[Total]]*10%,0)</f>
        <v>0</v>
      </c>
      <c r="K248" s="35">
        <f>IFERROR(VLOOKUP(VENTAS[[#This Row],[Código del producto Vendido]],STOCK[],16,FALSE)*VENTAS[[#This Row],[Cantidad]]+VLOOKUP(VENTAS[[#This Row],[Código del producto Vendido]],STOCK[],19,FALSE)*VENTAS[[#This Row],[Cantidad]],VENTAS[[#This Row],[Total]])</f>
        <v>13.3888888888889</v>
      </c>
      <c r="L248" s="35">
        <f>VENTAS[[#This Row],[Total]]-VENTAS[[#This Row],[Comisión 10%]]-VENTAS[[#This Row],[Costo SIN Comision]]</f>
        <v>8.6111111111111</v>
      </c>
      <c r="M248" s="35"/>
    </row>
    <row r="249" ht="20" customHeight="1" spans="1:13">
      <c r="A249" s="29">
        <v>45085</v>
      </c>
      <c r="B249" s="30"/>
      <c r="C249" s="30" t="s">
        <v>3363</v>
      </c>
      <c r="D249" s="30"/>
      <c r="E249" s="30" t="s">
        <v>753</v>
      </c>
      <c r="F249" s="34" t="str">
        <f>IFERROR(VLOOKUP(VENTAS[[#This Row],[Código del producto Vendido]],STOCK[],5,FALSE),"-")</f>
        <v>Sandalias Rojas</v>
      </c>
      <c r="G249" s="34">
        <v>1</v>
      </c>
      <c r="H249" s="35">
        <v>35</v>
      </c>
      <c r="I249" s="35">
        <f>VENTAS[[#This Row],[Cantidad]]*VENTAS[[#This Row],[Precio Venta]]</f>
        <v>35</v>
      </c>
      <c r="J249" s="35">
        <f>IF(VENTAS[[#This Row],[Nombre del Gestor]]&gt;1,VENTAS[[#This Row],[Total]]*10%,0)</f>
        <v>0</v>
      </c>
      <c r="K249" s="35">
        <f>IFERROR(VLOOKUP(VENTAS[[#This Row],[Código del producto Vendido]],STOCK[],16,FALSE)*VENTAS[[#This Row],[Cantidad]]+VLOOKUP(VENTAS[[#This Row],[Código del producto Vendido]],STOCK[],19,FALSE)*VENTAS[[#This Row],[Cantidad]],VENTAS[[#This Row],[Total]])</f>
        <v>25.7222222222222</v>
      </c>
      <c r="L249" s="35">
        <f>VENTAS[[#This Row],[Total]]-VENTAS[[#This Row],[Comisión 10%]]-VENTAS[[#This Row],[Costo SIN Comision]]</f>
        <v>9.2777777777778</v>
      </c>
      <c r="M249" s="35"/>
    </row>
    <row r="250" ht="20" customHeight="1" spans="1:13">
      <c r="A250" s="29">
        <v>45085</v>
      </c>
      <c r="B250" s="30"/>
      <c r="C250" s="30" t="s">
        <v>3363</v>
      </c>
      <c r="D250" s="30"/>
      <c r="E250" s="30" t="s">
        <v>1150</v>
      </c>
      <c r="F250" s="34" t="str">
        <f>IFERROR(VLOOKUP(VENTAS[[#This Row],[Código del producto Vendido]],STOCK[],5,FALSE),"-")</f>
        <v>Sandalias de tiras de tacón cuadrado</v>
      </c>
      <c r="G250" s="34">
        <v>1</v>
      </c>
      <c r="H250" s="35">
        <v>45</v>
      </c>
      <c r="I250" s="35">
        <f>VENTAS[[#This Row],[Cantidad]]*VENTAS[[#This Row],[Precio Venta]]</f>
        <v>45</v>
      </c>
      <c r="J250" s="35">
        <f>IF(VENTAS[[#This Row],[Nombre del Gestor]]&gt;1,VENTAS[[#This Row],[Total]]*10%,0)</f>
        <v>0</v>
      </c>
      <c r="K250" s="35">
        <f>IFERROR(VLOOKUP(VENTAS[[#This Row],[Código del producto Vendido]],STOCK[],16,FALSE)*VENTAS[[#This Row],[Cantidad]]+VLOOKUP(VENTAS[[#This Row],[Código del producto Vendido]],STOCK[],19,FALSE)*VENTAS[[#This Row],[Cantidad]],VENTAS[[#This Row],[Total]])</f>
        <v>35.3617647058824</v>
      </c>
      <c r="L250" s="35">
        <f>VENTAS[[#This Row],[Total]]-VENTAS[[#This Row],[Comisión 10%]]-VENTAS[[#This Row],[Costo SIN Comision]]</f>
        <v>9.6382352941176</v>
      </c>
      <c r="M250" s="35"/>
    </row>
    <row r="251" ht="20" customHeight="1" spans="1:13">
      <c r="A251" s="29">
        <v>45086</v>
      </c>
      <c r="B251" s="30"/>
      <c r="C251" s="30" t="s">
        <v>3364</v>
      </c>
      <c r="D251" s="30"/>
      <c r="E251" s="30" t="s">
        <v>559</v>
      </c>
      <c r="F251" s="34" t="str">
        <f>IFERROR(VLOOKUP(VENTAS[[#This Row],[Código del producto Vendido]],STOCK[],5,FALSE),"-")</f>
        <v>Shorts de cintura con cordón</v>
      </c>
      <c r="G251" s="34">
        <v>1</v>
      </c>
      <c r="H251" s="35">
        <v>19</v>
      </c>
      <c r="I251" s="35">
        <f>VENTAS[[#This Row],[Cantidad]]*VENTAS[[#This Row],[Precio Venta]]</f>
        <v>19</v>
      </c>
      <c r="J251" s="35">
        <f>IF(VENTAS[[#This Row],[Nombre del Gestor]]&gt;1,VENTAS[[#This Row],[Total]]*10%,0)</f>
        <v>0</v>
      </c>
      <c r="K251" s="35">
        <f>IFERROR(VLOOKUP(VENTAS[[#This Row],[Código del producto Vendido]],STOCK[],16,FALSE)*VENTAS[[#This Row],[Cantidad]]+VLOOKUP(VENTAS[[#This Row],[Código del producto Vendido]],STOCK[],19,FALSE)*VENTAS[[#This Row],[Cantidad]],VENTAS[[#This Row],[Total]])</f>
        <v>6.66555555555556</v>
      </c>
      <c r="L251" s="35">
        <f>VENTAS[[#This Row],[Total]]-VENTAS[[#This Row],[Comisión 10%]]-VENTAS[[#This Row],[Costo SIN Comision]]</f>
        <v>12.3344444444444</v>
      </c>
      <c r="M251" s="35"/>
    </row>
    <row r="252" ht="20" customHeight="1" spans="1:13">
      <c r="A252" s="29">
        <v>45086</v>
      </c>
      <c r="B252" s="30"/>
      <c r="C252" s="30" t="s">
        <v>3364</v>
      </c>
      <c r="D252" s="30"/>
      <c r="E252" s="30" t="s">
        <v>484</v>
      </c>
      <c r="F252" s="34" t="str">
        <f>IFERROR(VLOOKUP(VENTAS[[#This Row],[Código del producto Vendido]],STOCK[],5,FALSE),"-")</f>
        <v>Bolsa cartera con manija</v>
      </c>
      <c r="G252" s="34">
        <v>1</v>
      </c>
      <c r="H252" s="35">
        <v>15</v>
      </c>
      <c r="I252" s="35">
        <f>VENTAS[[#This Row],[Cantidad]]*VENTAS[[#This Row],[Precio Venta]]</f>
        <v>15</v>
      </c>
      <c r="J252" s="35">
        <f>IF(VENTAS[[#This Row],[Nombre del Gestor]]&gt;1,VENTAS[[#This Row],[Total]]*10%,0)</f>
        <v>0</v>
      </c>
      <c r="K252" s="35">
        <f>IFERROR(VLOOKUP(VENTAS[[#This Row],[Código del producto Vendido]],STOCK[],16,FALSE)*VENTAS[[#This Row],[Cantidad]]+VLOOKUP(VENTAS[[#This Row],[Código del producto Vendido]],STOCK[],19,FALSE)*VENTAS[[#This Row],[Cantidad]],VENTAS[[#This Row],[Total]])</f>
        <v>8.86444444444444</v>
      </c>
      <c r="L252" s="35">
        <f>VENTAS[[#This Row],[Total]]-VENTAS[[#This Row],[Comisión 10%]]-VENTAS[[#This Row],[Costo SIN Comision]]</f>
        <v>6.13555555555556</v>
      </c>
      <c r="M252" s="35"/>
    </row>
    <row r="253" ht="20" customHeight="1" spans="1:13">
      <c r="A253" s="29">
        <v>45086</v>
      </c>
      <c r="B253" s="30"/>
      <c r="C253" s="30" t="s">
        <v>3365</v>
      </c>
      <c r="D253" s="30"/>
      <c r="E253" s="30" t="s">
        <v>875</v>
      </c>
      <c r="F253" s="34" t="str">
        <f>IFERROR(VLOOKUP(VENTAS[[#This Row],[Código del producto Vendido]],STOCK[],5,FALSE),"-")</f>
        <v>Brasier de encaje_Negro Unitalla</v>
      </c>
      <c r="G253" s="34">
        <v>1</v>
      </c>
      <c r="H253" s="35">
        <v>7</v>
      </c>
      <c r="I253" s="35">
        <f>VENTAS[[#This Row],[Cantidad]]*VENTAS[[#This Row],[Precio Venta]]</f>
        <v>7</v>
      </c>
      <c r="J253" s="35">
        <f>IF(VENTAS[[#This Row],[Nombre del Gestor]]&gt;1,VENTAS[[#This Row],[Total]]*10%,0)</f>
        <v>0</v>
      </c>
      <c r="K253" s="35">
        <f>IFERROR(VLOOKUP(VENTAS[[#This Row],[Código del producto Vendido]],STOCK[],16,FALSE)*VENTAS[[#This Row],[Cantidad]]+VLOOKUP(VENTAS[[#This Row],[Código del producto Vendido]],STOCK[],19,FALSE)*VENTAS[[#This Row],[Cantidad]],VENTAS[[#This Row],[Total]])</f>
        <v>3.71111111111111</v>
      </c>
      <c r="L253" s="35">
        <f>VENTAS[[#This Row],[Total]]-VENTAS[[#This Row],[Comisión 10%]]-VENTAS[[#This Row],[Costo SIN Comision]]</f>
        <v>3.28888888888889</v>
      </c>
      <c r="M253" s="35"/>
    </row>
    <row r="254" ht="20" customHeight="1" spans="1:13">
      <c r="A254" s="29">
        <v>45086</v>
      </c>
      <c r="B254" s="30"/>
      <c r="C254" s="30" t="s">
        <v>3365</v>
      </c>
      <c r="D254" s="30"/>
      <c r="E254" s="30" t="s">
        <v>877</v>
      </c>
      <c r="F254" s="34" t="str">
        <f>IFERROR(VLOOKUP(VENTAS[[#This Row],[Código del producto Vendido]],STOCK[],5,FALSE),"-")</f>
        <v>Brasier de encaje blanco</v>
      </c>
      <c r="G254" s="34">
        <v>1</v>
      </c>
      <c r="H254" s="35">
        <v>7</v>
      </c>
      <c r="I254" s="35">
        <f>VENTAS[[#This Row],[Cantidad]]*VENTAS[[#This Row],[Precio Venta]]</f>
        <v>7</v>
      </c>
      <c r="J254" s="35">
        <f>IF(VENTAS[[#This Row],[Nombre del Gestor]]&gt;1,VENTAS[[#This Row],[Total]]*10%,0)</f>
        <v>0</v>
      </c>
      <c r="K254" s="35">
        <f>IFERROR(VLOOKUP(VENTAS[[#This Row],[Código del producto Vendido]],STOCK[],16,FALSE)*VENTAS[[#This Row],[Cantidad]]+VLOOKUP(VENTAS[[#This Row],[Código del producto Vendido]],STOCK[],19,FALSE)*VENTAS[[#This Row],[Cantidad]],VENTAS[[#This Row],[Total]])</f>
        <v>3.71111111111111</v>
      </c>
      <c r="L254" s="35">
        <f>VENTAS[[#This Row],[Total]]-VENTAS[[#This Row],[Comisión 10%]]-VENTAS[[#This Row],[Costo SIN Comision]]</f>
        <v>3.28888888888889</v>
      </c>
      <c r="M254" s="35"/>
    </row>
    <row r="255" ht="20" customHeight="1" spans="1:13">
      <c r="A255" s="29">
        <v>45086</v>
      </c>
      <c r="B255" s="30"/>
      <c r="C255" s="30" t="s">
        <v>3366</v>
      </c>
      <c r="D255" s="30"/>
      <c r="E255" s="30" t="s">
        <v>664</v>
      </c>
      <c r="F255" s="34" t="str">
        <f>IFERROR(VLOOKUP(VENTAS[[#This Row],[Código del producto Vendido]],STOCK[],5,FALSE),"-")</f>
        <v>Top Cruzado negro</v>
      </c>
      <c r="G255" s="34">
        <v>1</v>
      </c>
      <c r="H255" s="35">
        <v>9</v>
      </c>
      <c r="I255" s="35">
        <f>VENTAS[[#This Row],[Cantidad]]*VENTAS[[#This Row],[Precio Venta]]</f>
        <v>9</v>
      </c>
      <c r="J255" s="35">
        <f>IF(VENTAS[[#This Row],[Nombre del Gestor]]&gt;1,VENTAS[[#This Row],[Total]]*10%,0)</f>
        <v>0</v>
      </c>
      <c r="K255" s="35">
        <f>IFERROR(VLOOKUP(VENTAS[[#This Row],[Código del producto Vendido]],STOCK[],16,FALSE)*VENTAS[[#This Row],[Cantidad]]+VLOOKUP(VENTAS[[#This Row],[Código del producto Vendido]],STOCK[],19,FALSE)*VENTAS[[#This Row],[Cantidad]],VENTAS[[#This Row],[Total]])</f>
        <v>4.90166666666667</v>
      </c>
      <c r="L255" s="35">
        <f>VENTAS[[#This Row],[Total]]-VENTAS[[#This Row],[Comisión 10%]]-VENTAS[[#This Row],[Costo SIN Comision]]</f>
        <v>4.09833333333333</v>
      </c>
      <c r="M255" s="35"/>
    </row>
    <row r="256" ht="20" customHeight="1" spans="1:13">
      <c r="A256" s="29">
        <v>45086</v>
      </c>
      <c r="B256" s="30"/>
      <c r="C256" s="30" t="s">
        <v>3366</v>
      </c>
      <c r="D256" s="30"/>
      <c r="E256" s="30" t="s">
        <v>595</v>
      </c>
      <c r="F256" s="34" t="str">
        <f>IFERROR(VLOOKUP(VENTAS[[#This Row],[Código del producto Vendido]],STOCK[],5,FALSE),"-")</f>
        <v>Top cruzado naranja</v>
      </c>
      <c r="G256" s="34">
        <v>1</v>
      </c>
      <c r="H256" s="35">
        <v>9</v>
      </c>
      <c r="I256" s="35">
        <f>VENTAS[[#This Row],[Cantidad]]*VENTAS[[#This Row],[Precio Venta]]</f>
        <v>9</v>
      </c>
      <c r="J256" s="35">
        <f>IF(VENTAS[[#This Row],[Nombre del Gestor]]&gt;1,VENTAS[[#This Row],[Total]]*10%,0)</f>
        <v>0</v>
      </c>
      <c r="K256" s="35">
        <f>IFERROR(VLOOKUP(VENTAS[[#This Row],[Código del producto Vendido]],STOCK[],16,FALSE)*VENTAS[[#This Row],[Cantidad]]+VLOOKUP(VENTAS[[#This Row],[Código del producto Vendido]],STOCK[],19,FALSE)*VENTAS[[#This Row],[Cantidad]],VENTAS[[#This Row],[Total]])</f>
        <v>5.06833333333333</v>
      </c>
      <c r="L256" s="35">
        <f>VENTAS[[#This Row],[Total]]-VENTAS[[#This Row],[Comisión 10%]]-VENTAS[[#This Row],[Costo SIN Comision]]</f>
        <v>3.93166666666667</v>
      </c>
      <c r="M256" s="35"/>
    </row>
    <row r="257" ht="20" customHeight="1" spans="1:13">
      <c r="A257" s="29">
        <v>45086</v>
      </c>
      <c r="B257" s="30"/>
      <c r="C257" s="30" t="s">
        <v>3367</v>
      </c>
      <c r="D257" s="30"/>
      <c r="E257" s="30" t="s">
        <v>112</v>
      </c>
      <c r="F257" s="34" t="str">
        <f>IFERROR(VLOOKUP(VENTAS[[#This Row],[Código del producto Vendido]],STOCK[],5,FALSE),"-")</f>
        <v>Bikini Mangas Negro</v>
      </c>
      <c r="G257" s="34">
        <v>1</v>
      </c>
      <c r="H257" s="35">
        <v>25</v>
      </c>
      <c r="I257" s="35">
        <f>VENTAS[[#This Row],[Cantidad]]*VENTAS[[#This Row],[Precio Venta]]</f>
        <v>25</v>
      </c>
      <c r="J257" s="35">
        <f>IF(VENTAS[[#This Row],[Nombre del Gestor]]&gt;1,VENTAS[[#This Row],[Total]]*10%,0)</f>
        <v>0</v>
      </c>
      <c r="K257" s="35">
        <f>IFERROR(VLOOKUP(VENTAS[[#This Row],[Código del producto Vendido]],STOCK[],16,FALSE)*VENTAS[[#This Row],[Cantidad]]+VLOOKUP(VENTAS[[#This Row],[Código del producto Vendido]],STOCK[],19,FALSE)*VENTAS[[#This Row],[Cantidad]],VENTAS[[#This Row],[Total]])</f>
        <v>14.0405555555556</v>
      </c>
      <c r="L257" s="35">
        <f>VENTAS[[#This Row],[Total]]-VENTAS[[#This Row],[Comisión 10%]]-VENTAS[[#This Row],[Costo SIN Comision]]</f>
        <v>10.9594444444444</v>
      </c>
      <c r="M257" s="35"/>
    </row>
    <row r="258" ht="20" customHeight="1" spans="1:13">
      <c r="A258" s="29">
        <v>45086</v>
      </c>
      <c r="B258" s="30"/>
      <c r="C258" s="30" t="s">
        <v>3367</v>
      </c>
      <c r="D258" s="30"/>
      <c r="E258" s="30" t="s">
        <v>1138</v>
      </c>
      <c r="F258" s="34" t="str">
        <f>IFERROR(VLOOKUP(VENTAS[[#This Row],[Código del producto Vendido]],STOCK[],5,FALSE),"-")</f>
        <v>Babydoll</v>
      </c>
      <c r="G258" s="34">
        <v>1</v>
      </c>
      <c r="H258" s="35">
        <v>12</v>
      </c>
      <c r="I258" s="35">
        <f>VENTAS[[#This Row],[Cantidad]]*VENTAS[[#This Row],[Precio Venta]]</f>
        <v>12</v>
      </c>
      <c r="J258" s="35">
        <f>IF(VENTAS[[#This Row],[Nombre del Gestor]]&gt;1,VENTAS[[#This Row],[Total]]*10%,0)</f>
        <v>0</v>
      </c>
      <c r="K258" s="35">
        <f>IFERROR(VLOOKUP(VENTAS[[#This Row],[Código del producto Vendido]],STOCK[],16,FALSE)*VENTAS[[#This Row],[Cantidad]]+VLOOKUP(VENTAS[[#This Row],[Código del producto Vendido]],STOCK[],19,FALSE)*VENTAS[[#This Row],[Cantidad]],VENTAS[[#This Row],[Total]])</f>
        <v>9.57941176470588</v>
      </c>
      <c r="L258" s="35">
        <f>VENTAS[[#This Row],[Total]]-VENTAS[[#This Row],[Comisión 10%]]-VENTAS[[#This Row],[Costo SIN Comision]]</f>
        <v>2.42058823529412</v>
      </c>
      <c r="M258" s="35"/>
    </row>
    <row r="259" ht="20" customHeight="1" spans="1:13">
      <c r="A259" s="29"/>
      <c r="B259" s="30"/>
      <c r="C259" s="30"/>
      <c r="D259" s="30"/>
      <c r="E259" s="30"/>
      <c r="F259" s="34" t="str">
        <f>IFERROR(VLOOKUP(VENTAS[[#This Row],[Código del producto Vendido]],STOCK[],5,FALSE),"-")</f>
        <v>-</v>
      </c>
      <c r="G259" s="34"/>
      <c r="H259" s="35"/>
      <c r="I259" s="35">
        <f>VENTAS[[#This Row],[Cantidad]]*VENTAS[[#This Row],[Precio Venta]]</f>
        <v>0</v>
      </c>
      <c r="J259" s="35">
        <f>IF(VENTAS[[#This Row],[Nombre del Gestor]]&gt;1,VENTAS[[#This Row],[Total]]*10%,0)</f>
        <v>0</v>
      </c>
      <c r="K259" s="35">
        <f>IFERROR(VLOOKUP(VENTAS[[#This Row],[Código del producto Vendido]],STOCK[],16,FALSE)*VENTAS[[#This Row],[Cantidad]]+VLOOKUP(VENTAS[[#This Row],[Código del producto Vendido]],STOCK[],19,FALSE)*VENTAS[[#This Row],[Cantidad]],VENTAS[[#This Row],[Total]])</f>
        <v>0</v>
      </c>
      <c r="L259" s="35">
        <f>VENTAS[[#This Row],[Total]]-VENTAS[[#This Row],[Comisión 10%]]-VENTAS[[#This Row],[Costo SIN Comision]]</f>
        <v>0</v>
      </c>
      <c r="M259" s="35"/>
    </row>
    <row r="260" ht="20" customHeight="1" spans="1:13">
      <c r="A260" s="29">
        <v>45086</v>
      </c>
      <c r="B260" s="30"/>
      <c r="C260" s="30"/>
      <c r="D260" s="30"/>
      <c r="E260" s="30" t="s">
        <v>806</v>
      </c>
      <c r="F260" s="34" t="str">
        <f>IFERROR(VLOOKUP(VENTAS[[#This Row],[Código del producto Vendido]],STOCK[],5,FALSE),"-")</f>
        <v>Bañador a rayas con lazo</v>
      </c>
      <c r="G260" s="34">
        <v>1</v>
      </c>
      <c r="H260" s="35">
        <v>15</v>
      </c>
      <c r="I260" s="35">
        <f>VENTAS[[#This Row],[Cantidad]]*VENTAS[[#This Row],[Precio Venta]]</f>
        <v>15</v>
      </c>
      <c r="J260" s="35">
        <f>IF(VENTAS[[#This Row],[Nombre del Gestor]]&gt;1,VENTAS[[#This Row],[Total]]*10%,0)</f>
        <v>0</v>
      </c>
      <c r="K260" s="35">
        <f>IFERROR(VLOOKUP(VENTAS[[#This Row],[Código del producto Vendido]],STOCK[],16,FALSE)*VENTAS[[#This Row],[Cantidad]]+VLOOKUP(VENTAS[[#This Row],[Código del producto Vendido]],STOCK[],19,FALSE)*VENTAS[[#This Row],[Cantidad]],VENTAS[[#This Row],[Total]])</f>
        <v>9.5</v>
      </c>
      <c r="L260" s="35">
        <f>VENTAS[[#This Row],[Total]]-VENTAS[[#This Row],[Comisión 10%]]-VENTAS[[#This Row],[Costo SIN Comision]]</f>
        <v>5.5</v>
      </c>
      <c r="M260" s="35"/>
    </row>
    <row r="261" ht="20" customHeight="1" spans="1:13">
      <c r="A261" s="29">
        <v>45086</v>
      </c>
      <c r="B261" s="30"/>
      <c r="C261" s="30"/>
      <c r="D261" s="30"/>
      <c r="E261" s="30" t="s">
        <v>1034</v>
      </c>
      <c r="F261" s="34" t="str">
        <f>IFERROR(VLOOKUP(VENTAS[[#This Row],[Código del producto Vendido]],STOCK[],5,FALSE),"-")</f>
        <v>Jenas Ajustados Oscuro</v>
      </c>
      <c r="G261" s="34">
        <v>1</v>
      </c>
      <c r="H261" s="35">
        <v>35</v>
      </c>
      <c r="I261" s="35">
        <f>VENTAS[[#This Row],[Cantidad]]*VENTAS[[#This Row],[Precio Venta]]</f>
        <v>35</v>
      </c>
      <c r="J261" s="35">
        <f>IF(VENTAS[[#This Row],[Nombre del Gestor]]&gt;1,VENTAS[[#This Row],[Total]]*10%,0)</f>
        <v>0</v>
      </c>
      <c r="K261" s="35">
        <f>IFERROR(VLOOKUP(VENTAS[[#This Row],[Código del producto Vendido]],STOCK[],16,FALSE)*VENTAS[[#This Row],[Cantidad]]+VLOOKUP(VENTAS[[#This Row],[Código del producto Vendido]],STOCK[],19,FALSE)*VENTAS[[#This Row],[Cantidad]],VENTAS[[#This Row],[Total]])</f>
        <v>24.6818181818182</v>
      </c>
      <c r="L261" s="35">
        <f>VENTAS[[#This Row],[Total]]-VENTAS[[#This Row],[Comisión 10%]]-VENTAS[[#This Row],[Costo SIN Comision]]</f>
        <v>10.3181818181818</v>
      </c>
      <c r="M261" s="35"/>
    </row>
    <row r="262" ht="20" customHeight="1" spans="1:13">
      <c r="A262" s="29">
        <v>45088</v>
      </c>
      <c r="B262" s="30"/>
      <c r="C262" s="30"/>
      <c r="D262" s="30"/>
      <c r="E262" s="30" t="s">
        <v>35</v>
      </c>
      <c r="F262" s="34" t="str">
        <f>IFERROR(VLOOKUP(VENTAS[[#This Row],[Código del producto Vendido]],STOCK[],5,FALSE),"-")</f>
        <v>Bikini Floral</v>
      </c>
      <c r="G262" s="34">
        <v>1</v>
      </c>
      <c r="H262" s="35">
        <v>25</v>
      </c>
      <c r="I262" s="35">
        <f>VENTAS[[#This Row],[Cantidad]]*VENTAS[[#This Row],[Precio Venta]]</f>
        <v>25</v>
      </c>
      <c r="J262" s="35">
        <f>IF(VENTAS[[#This Row],[Nombre del Gestor]]&gt;1,VENTAS[[#This Row],[Total]]*10%,0)</f>
        <v>0</v>
      </c>
      <c r="K262" s="35">
        <f>IFERROR(VLOOKUP(VENTAS[[#This Row],[Código del producto Vendido]],STOCK[],16,FALSE)*VENTAS[[#This Row],[Cantidad]]+VLOOKUP(VENTAS[[#This Row],[Código del producto Vendido]],STOCK[],19,FALSE)*VENTAS[[#This Row],[Cantidad]],VENTAS[[#This Row],[Total]])</f>
        <v>18.3711111111111</v>
      </c>
      <c r="L262" s="35">
        <f>VENTAS[[#This Row],[Total]]-VENTAS[[#This Row],[Comisión 10%]]-VENTAS[[#This Row],[Costo SIN Comision]]</f>
        <v>6.6288888888889</v>
      </c>
      <c r="M262" s="35"/>
    </row>
    <row r="263" ht="20" customHeight="1" spans="1:13">
      <c r="A263" s="29">
        <v>45088</v>
      </c>
      <c r="B263" s="30"/>
      <c r="C263" s="30"/>
      <c r="D263" s="30"/>
      <c r="E263" s="30" t="s">
        <v>939</v>
      </c>
      <c r="F263" s="34" t="str">
        <f>IFERROR(VLOOKUP(VENTAS[[#This Row],[Código del producto Vendido]],STOCK[],5,FALSE),"-")</f>
        <v>Vestido Tropical</v>
      </c>
      <c r="G263" s="34">
        <v>1</v>
      </c>
      <c r="H263" s="35">
        <v>30</v>
      </c>
      <c r="I263" s="35">
        <f>VENTAS[[#This Row],[Cantidad]]*VENTAS[[#This Row],[Precio Venta]]</f>
        <v>30</v>
      </c>
      <c r="J263" s="35">
        <f>IF(VENTAS[[#This Row],[Nombre del Gestor]]&gt;1,VENTAS[[#This Row],[Total]]*10%,0)</f>
        <v>0</v>
      </c>
      <c r="K263" s="35">
        <f>IFERROR(VLOOKUP(VENTAS[[#This Row],[Código del producto Vendido]],STOCK[],16,FALSE)*VENTAS[[#This Row],[Cantidad]]+VLOOKUP(VENTAS[[#This Row],[Código del producto Vendido]],STOCK[],19,FALSE)*VENTAS[[#This Row],[Cantidad]],VENTAS[[#This Row],[Total]])</f>
        <v>19.0186363636364</v>
      </c>
      <c r="L263" s="35">
        <f>VENTAS[[#This Row],[Total]]-VENTAS[[#This Row],[Comisión 10%]]-VENTAS[[#This Row],[Costo SIN Comision]]</f>
        <v>10.9813636363636</v>
      </c>
      <c r="M263" s="35"/>
    </row>
    <row r="264" ht="20" customHeight="1" spans="1:13">
      <c r="A264" s="29">
        <v>45089</v>
      </c>
      <c r="B264" s="30"/>
      <c r="C264" s="30"/>
      <c r="D264" s="30"/>
      <c r="E264" s="30" t="s">
        <v>484</v>
      </c>
      <c r="F264" s="34" t="str">
        <f>IFERROR(VLOOKUP(VENTAS[[#This Row],[Código del producto Vendido]],STOCK[],5,FALSE),"-")</f>
        <v>Bolsa cartera con manija</v>
      </c>
      <c r="G264" s="34">
        <v>1</v>
      </c>
      <c r="H264" s="35">
        <v>15</v>
      </c>
      <c r="I264" s="35">
        <f>VENTAS[[#This Row],[Cantidad]]*VENTAS[[#This Row],[Precio Venta]]</f>
        <v>15</v>
      </c>
      <c r="J264" s="35">
        <f>IF(VENTAS[[#This Row],[Nombre del Gestor]]&gt;1,VENTAS[[#This Row],[Total]]*10%,0)</f>
        <v>0</v>
      </c>
      <c r="K264" s="35">
        <f>IFERROR(VLOOKUP(VENTAS[[#This Row],[Código del producto Vendido]],STOCK[],16,FALSE)*VENTAS[[#This Row],[Cantidad]]+VLOOKUP(VENTAS[[#This Row],[Código del producto Vendido]],STOCK[],19,FALSE)*VENTAS[[#This Row],[Cantidad]],VENTAS[[#This Row],[Total]])</f>
        <v>8.86444444444444</v>
      </c>
      <c r="L264" s="35">
        <f>VENTAS[[#This Row],[Total]]-VENTAS[[#This Row],[Comisión 10%]]-VENTAS[[#This Row],[Costo SIN Comision]]</f>
        <v>6.13555555555556</v>
      </c>
      <c r="M264" s="35"/>
    </row>
    <row r="265" ht="20" customHeight="1" spans="1:13">
      <c r="A265" s="29">
        <v>45089</v>
      </c>
      <c r="B265" s="30"/>
      <c r="C265" s="30"/>
      <c r="D265" s="30"/>
      <c r="E265" s="30" t="s">
        <v>1035</v>
      </c>
      <c r="F265" s="34" t="str">
        <f>IFERROR(VLOOKUP(VENTAS[[#This Row],[Código del producto Vendido]],STOCK[],5,FALSE),"-")</f>
        <v>Falda Fruncida </v>
      </c>
      <c r="G265" s="34">
        <v>1</v>
      </c>
      <c r="H265" s="35">
        <v>25</v>
      </c>
      <c r="I265" s="35">
        <f>VENTAS[[#This Row],[Cantidad]]*VENTAS[[#This Row],[Precio Venta]]</f>
        <v>25</v>
      </c>
      <c r="J265" s="35">
        <f>IF(VENTAS[[#This Row],[Nombre del Gestor]]&gt;1,VENTAS[[#This Row],[Total]]*10%,0)</f>
        <v>0</v>
      </c>
      <c r="K265" s="35">
        <f>IFERROR(VLOOKUP(VENTAS[[#This Row],[Código del producto Vendido]],STOCK[],16,FALSE)*VENTAS[[#This Row],[Cantidad]]+VLOOKUP(VENTAS[[#This Row],[Código del producto Vendido]],STOCK[],19,FALSE)*VENTAS[[#This Row],[Cantidad]],VENTAS[[#This Row],[Total]])</f>
        <v>14.625</v>
      </c>
      <c r="L265" s="35">
        <f>VENTAS[[#This Row],[Total]]-VENTAS[[#This Row],[Comisión 10%]]-VENTAS[[#This Row],[Costo SIN Comision]]</f>
        <v>10.375</v>
      </c>
      <c r="M265" s="35"/>
    </row>
    <row r="266" ht="20" customHeight="1" spans="1:13">
      <c r="A266" s="29">
        <v>45089</v>
      </c>
      <c r="B266" s="30"/>
      <c r="C266" s="30"/>
      <c r="D266" s="30"/>
      <c r="E266" s="30" t="s">
        <v>959</v>
      </c>
      <c r="F266" s="34" t="str">
        <f>IFERROR(VLOOKUP(VENTAS[[#This Row],[Código del producto Vendido]],STOCK[],5,FALSE),"-")</f>
        <v>Pantalón business básico</v>
      </c>
      <c r="G266" s="34">
        <v>1</v>
      </c>
      <c r="H266" s="35">
        <v>30</v>
      </c>
      <c r="I266" s="35">
        <f>VENTAS[[#This Row],[Cantidad]]*VENTAS[[#This Row],[Precio Venta]]</f>
        <v>30</v>
      </c>
      <c r="J266" s="35">
        <f>IF(VENTAS[[#This Row],[Nombre del Gestor]]&gt;1,VENTAS[[#This Row],[Total]]*10%,0)</f>
        <v>0</v>
      </c>
      <c r="K266" s="35">
        <f>IFERROR(VLOOKUP(VENTAS[[#This Row],[Código del producto Vendido]],STOCK[],16,FALSE)*VENTAS[[#This Row],[Cantidad]]+VLOOKUP(VENTAS[[#This Row],[Código del producto Vendido]],STOCK[],19,FALSE)*VENTAS[[#This Row],[Cantidad]],VENTAS[[#This Row],[Total]])</f>
        <v>21.3722727272727</v>
      </c>
      <c r="L266" s="35">
        <f>VENTAS[[#This Row],[Total]]-VENTAS[[#This Row],[Comisión 10%]]-VENTAS[[#This Row],[Costo SIN Comision]]</f>
        <v>8.6277272727273</v>
      </c>
      <c r="M266" s="35"/>
    </row>
    <row r="267" ht="20" customHeight="1" spans="1:13">
      <c r="A267" s="29">
        <v>45088</v>
      </c>
      <c r="B267" s="30"/>
      <c r="C267" s="30"/>
      <c r="D267" s="30"/>
      <c r="E267" s="30" t="s">
        <v>1088</v>
      </c>
      <c r="F267" s="34" t="str">
        <f>IFERROR(VLOOKUP(VENTAS[[#This Row],[Código del producto Vendido]],STOCK[],5,FALSE),"-")</f>
        <v>Malla fina Pareo</v>
      </c>
      <c r="G267" s="34">
        <v>1</v>
      </c>
      <c r="H267" s="35">
        <v>12</v>
      </c>
      <c r="I267" s="35">
        <f>VENTAS[[#This Row],[Cantidad]]*VENTAS[[#This Row],[Precio Venta]]</f>
        <v>12</v>
      </c>
      <c r="J267" s="35">
        <f>IF(VENTAS[[#This Row],[Nombre del Gestor]]&gt;1,VENTAS[[#This Row],[Total]]*10%,0)</f>
        <v>0</v>
      </c>
      <c r="K267" s="35">
        <f>IFERROR(VLOOKUP(VENTAS[[#This Row],[Código del producto Vendido]],STOCK[],16,FALSE)*VENTAS[[#This Row],[Cantidad]]+VLOOKUP(VENTAS[[#This Row],[Código del producto Vendido]],STOCK[],19,FALSE)*VENTAS[[#This Row],[Cantidad]],VENTAS[[#This Row],[Total]])</f>
        <v>6.92352941176471</v>
      </c>
      <c r="L267" s="35">
        <f>VENTAS[[#This Row],[Total]]-VENTAS[[#This Row],[Comisión 10%]]-VENTAS[[#This Row],[Costo SIN Comision]]</f>
        <v>5.07647058823529</v>
      </c>
      <c r="M267" s="35"/>
    </row>
    <row r="268" ht="20" customHeight="1" spans="1:13">
      <c r="A268" s="29">
        <v>45089</v>
      </c>
      <c r="B268" s="30"/>
      <c r="C268" s="30"/>
      <c r="D268" s="30"/>
      <c r="E268" s="30" t="s">
        <v>58</v>
      </c>
      <c r="F268" s="34" t="str">
        <f>IFERROR(VLOOKUP(VENTAS[[#This Row],[Código del producto Vendido]],STOCK[],5,FALSE),"-")</f>
        <v>Bikini Mangas Fuccia</v>
      </c>
      <c r="G268" s="34">
        <v>1</v>
      </c>
      <c r="H268" s="35">
        <v>22</v>
      </c>
      <c r="I268" s="35">
        <f>VENTAS[[#This Row],[Cantidad]]*VENTAS[[#This Row],[Precio Venta]]</f>
        <v>22</v>
      </c>
      <c r="J268" s="35">
        <f>IF(VENTAS[[#This Row],[Nombre del Gestor]]&gt;1,VENTAS[[#This Row],[Total]]*10%,0)</f>
        <v>0</v>
      </c>
      <c r="K268" s="35">
        <f>IFERROR(VLOOKUP(VENTAS[[#This Row],[Código del producto Vendido]],STOCK[],16,FALSE)*VENTAS[[#This Row],[Cantidad]]+VLOOKUP(VENTAS[[#This Row],[Código del producto Vendido]],STOCK[],19,FALSE)*VENTAS[[#This Row],[Cantidad]],VENTAS[[#This Row],[Total]])</f>
        <v>14.495</v>
      </c>
      <c r="L268" s="35">
        <f>VENTAS[[#This Row],[Total]]-VENTAS[[#This Row],[Comisión 10%]]-VENTAS[[#This Row],[Costo SIN Comision]]</f>
        <v>7.505</v>
      </c>
      <c r="M268" s="35"/>
    </row>
    <row r="269" ht="20" customHeight="1" spans="1:13">
      <c r="A269" s="29">
        <v>45089</v>
      </c>
      <c r="B269" s="30"/>
      <c r="C269" s="30"/>
      <c r="D269" s="30"/>
      <c r="E269" s="30" t="s">
        <v>417</v>
      </c>
      <c r="F269" s="34" t="str">
        <f>IFERROR(VLOOKUP(VENTAS[[#This Row],[Código del producto Vendido]],STOCK[],5,FALSE),"-")</f>
        <v>Bikini tropical con estampado de hoja</v>
      </c>
      <c r="G269" s="34">
        <v>1</v>
      </c>
      <c r="H269" s="35">
        <v>20</v>
      </c>
      <c r="I269" s="35">
        <f>VENTAS[[#This Row],[Cantidad]]*VENTAS[[#This Row],[Precio Venta]]</f>
        <v>20</v>
      </c>
      <c r="J269" s="35">
        <f>IF(VENTAS[[#This Row],[Nombre del Gestor]]&gt;1,VENTAS[[#This Row],[Total]]*10%,0)</f>
        <v>0</v>
      </c>
      <c r="K269" s="35">
        <f>IFERROR(VLOOKUP(VENTAS[[#This Row],[Código del producto Vendido]],STOCK[],16,FALSE)*VENTAS[[#This Row],[Cantidad]]+VLOOKUP(VENTAS[[#This Row],[Código del producto Vendido]],STOCK[],19,FALSE)*VENTAS[[#This Row],[Cantidad]],VENTAS[[#This Row],[Total]])</f>
        <v>13.3888888888889</v>
      </c>
      <c r="L269" s="35">
        <f>VENTAS[[#This Row],[Total]]-VENTAS[[#This Row],[Comisión 10%]]-VENTAS[[#This Row],[Costo SIN Comision]]</f>
        <v>6.6111111111111</v>
      </c>
      <c r="M269" s="35"/>
    </row>
    <row r="270" ht="20" customHeight="1" spans="1:13">
      <c r="A270" s="29">
        <v>45089</v>
      </c>
      <c r="B270" s="30"/>
      <c r="C270" s="30"/>
      <c r="D270" s="30"/>
      <c r="E270" s="30" t="s">
        <v>1136</v>
      </c>
      <c r="F270" s="34" t="str">
        <f>IFERROR(VLOOKUP(VENTAS[[#This Row],[Código del producto Vendido]],STOCK[],5,FALSE),"-")</f>
        <v>Vestido rojo con aberturas H&amp;M</v>
      </c>
      <c r="G270" s="34">
        <v>1</v>
      </c>
      <c r="H270" s="35">
        <v>25</v>
      </c>
      <c r="I270" s="35">
        <f>VENTAS[[#This Row],[Cantidad]]*VENTAS[[#This Row],[Precio Venta]]</f>
        <v>25</v>
      </c>
      <c r="J270" s="35">
        <f>IF(VENTAS[[#This Row],[Nombre del Gestor]]&gt;1,VENTAS[[#This Row],[Total]]*10%,0)</f>
        <v>0</v>
      </c>
      <c r="K270" s="35">
        <f>IFERROR(VLOOKUP(VENTAS[[#This Row],[Código del producto Vendido]],STOCK[],16,FALSE)*VENTAS[[#This Row],[Cantidad]]+VLOOKUP(VENTAS[[#This Row],[Código del producto Vendido]],STOCK[],19,FALSE)*VENTAS[[#This Row],[Cantidad]],VENTAS[[#This Row],[Total]])</f>
        <v>18.1176470588235</v>
      </c>
      <c r="L270" s="35">
        <f>VENTAS[[#This Row],[Total]]-VENTAS[[#This Row],[Comisión 10%]]-VENTAS[[#This Row],[Costo SIN Comision]]</f>
        <v>6.8823529411765</v>
      </c>
      <c r="M270" s="35"/>
    </row>
    <row r="271" ht="20" customHeight="1" spans="1:13">
      <c r="A271" s="29">
        <v>45090</v>
      </c>
      <c r="B271" s="30"/>
      <c r="C271" s="30"/>
      <c r="D271" s="30"/>
      <c r="E271" s="30" t="s">
        <v>1119</v>
      </c>
      <c r="F271" s="34" t="str">
        <f>IFERROR(VLOOKUP(VENTAS[[#This Row],[Código del producto Vendido]],STOCK[],5,FALSE),"-")</f>
        <v>Set de lencería de encaje</v>
      </c>
      <c r="G271" s="34">
        <v>1</v>
      </c>
      <c r="H271" s="35">
        <v>15</v>
      </c>
      <c r="I271" s="35">
        <f>VENTAS[[#This Row],[Cantidad]]*VENTAS[[#This Row],[Precio Venta]]</f>
        <v>15</v>
      </c>
      <c r="J271" s="35">
        <f>IF(VENTAS[[#This Row],[Nombre del Gestor]]&gt;1,VENTAS[[#This Row],[Total]]*10%,0)</f>
        <v>0</v>
      </c>
      <c r="K271" s="35">
        <f>IFERROR(VLOOKUP(VENTAS[[#This Row],[Código del producto Vendido]],STOCK[],16,FALSE)*VENTAS[[#This Row],[Cantidad]]+VLOOKUP(VENTAS[[#This Row],[Código del producto Vendido]],STOCK[],19,FALSE)*VENTAS[[#This Row],[Cantidad]],VENTAS[[#This Row],[Total]])</f>
        <v>7.10882352941176</v>
      </c>
      <c r="L271" s="35">
        <f>VENTAS[[#This Row],[Total]]-VENTAS[[#This Row],[Comisión 10%]]-VENTAS[[#This Row],[Costo SIN Comision]]</f>
        <v>7.89117647058824</v>
      </c>
      <c r="M271" s="35"/>
    </row>
    <row r="272" ht="20" customHeight="1" spans="1:13">
      <c r="A272" s="29">
        <v>45090</v>
      </c>
      <c r="B272" s="30"/>
      <c r="C272" s="30"/>
      <c r="D272" s="30"/>
      <c r="E272" s="30" t="s">
        <v>948</v>
      </c>
      <c r="F272" s="34" t="str">
        <f>IFERROR(VLOOKUP(VENTAS[[#This Row],[Código del producto Vendido]],STOCK[],5,FALSE),"-")</f>
        <v> Pantaloneta Verde</v>
      </c>
      <c r="G272" s="34">
        <v>1</v>
      </c>
      <c r="H272" s="35">
        <v>25</v>
      </c>
      <c r="I272" s="35">
        <f>VENTAS[[#This Row],[Cantidad]]*VENTAS[[#This Row],[Precio Venta]]</f>
        <v>25</v>
      </c>
      <c r="J272" s="35">
        <f>IF(VENTAS[[#This Row],[Nombre del Gestor]]&gt;1,VENTAS[[#This Row],[Total]]*10%,0)</f>
        <v>0</v>
      </c>
      <c r="K272" s="35">
        <f>IFERROR(VLOOKUP(VENTAS[[#This Row],[Código del producto Vendido]],STOCK[],16,FALSE)*VENTAS[[#This Row],[Cantidad]]+VLOOKUP(VENTAS[[#This Row],[Código del producto Vendido]],STOCK[],19,FALSE)*VENTAS[[#This Row],[Cantidad]],VENTAS[[#This Row],[Total]])</f>
        <v>14.8713636363636</v>
      </c>
      <c r="L272" s="35">
        <f>VENTAS[[#This Row],[Total]]-VENTAS[[#This Row],[Comisión 10%]]-VENTAS[[#This Row],[Costo SIN Comision]]</f>
        <v>10.1286363636364</v>
      </c>
      <c r="M272" s="35"/>
    </row>
    <row r="273" ht="20" customHeight="1" spans="1:13">
      <c r="A273" s="29">
        <v>45090</v>
      </c>
      <c r="B273" s="30"/>
      <c r="C273" s="30"/>
      <c r="D273" s="30"/>
      <c r="E273" s="30" t="s">
        <v>888</v>
      </c>
      <c r="F273" s="34" t="str">
        <f>IFERROR(VLOOKUP(VENTAS[[#This Row],[Código del producto Vendido]],STOCK[],5,FALSE),"-")</f>
        <v>Bragas sin costuras</v>
      </c>
      <c r="G273" s="34">
        <v>3</v>
      </c>
      <c r="H273" s="35">
        <v>3.5</v>
      </c>
      <c r="I273" s="35">
        <f>VENTAS[[#This Row],[Cantidad]]*VENTAS[[#This Row],[Precio Venta]]</f>
        <v>10.5</v>
      </c>
      <c r="J273" s="35">
        <f>IF(VENTAS[[#This Row],[Nombre del Gestor]]&gt;1,VENTAS[[#This Row],[Total]]*10%,0)</f>
        <v>0</v>
      </c>
      <c r="K273" s="35">
        <f>IFERROR(VLOOKUP(VENTAS[[#This Row],[Código del producto Vendido]],STOCK[],16,FALSE)*VENTAS[[#This Row],[Cantidad]]+VLOOKUP(VENTAS[[#This Row],[Código del producto Vendido]],STOCK[],19,FALSE)*VENTAS[[#This Row],[Cantidad]],VENTAS[[#This Row],[Total]])</f>
        <v>5.98333333333332</v>
      </c>
      <c r="L273" s="35">
        <f>VENTAS[[#This Row],[Total]]-VENTAS[[#This Row],[Comisión 10%]]-VENTAS[[#This Row],[Costo SIN Comision]]</f>
        <v>4.51666666666668</v>
      </c>
      <c r="M273" s="35"/>
    </row>
    <row r="274" ht="20" customHeight="1" spans="1:13">
      <c r="A274" s="29">
        <v>45090</v>
      </c>
      <c r="B274" s="30"/>
      <c r="C274" s="30"/>
      <c r="D274" s="30"/>
      <c r="E274" s="30" t="s">
        <v>875</v>
      </c>
      <c r="F274" s="34" t="str">
        <f>IFERROR(VLOOKUP(VENTAS[[#This Row],[Código del producto Vendido]],STOCK[],5,FALSE),"-")</f>
        <v>Brasier de encaje_Negro Unitalla</v>
      </c>
      <c r="G274" s="34">
        <v>1</v>
      </c>
      <c r="H274" s="35">
        <v>7</v>
      </c>
      <c r="I274" s="35">
        <f>VENTAS[[#This Row],[Cantidad]]*VENTAS[[#This Row],[Precio Venta]]</f>
        <v>7</v>
      </c>
      <c r="J274" s="35">
        <f>IF(VENTAS[[#This Row],[Nombre del Gestor]]&gt;1,VENTAS[[#This Row],[Total]]*10%,0)</f>
        <v>0</v>
      </c>
      <c r="K274" s="35">
        <f>IFERROR(VLOOKUP(VENTAS[[#This Row],[Código del producto Vendido]],STOCK[],16,FALSE)*VENTAS[[#This Row],[Cantidad]]+VLOOKUP(VENTAS[[#This Row],[Código del producto Vendido]],STOCK[],19,FALSE)*VENTAS[[#This Row],[Cantidad]],VENTAS[[#This Row],[Total]])</f>
        <v>3.71111111111111</v>
      </c>
      <c r="L274" s="35">
        <f>VENTAS[[#This Row],[Total]]-VENTAS[[#This Row],[Comisión 10%]]-VENTAS[[#This Row],[Costo SIN Comision]]</f>
        <v>3.28888888888889</v>
      </c>
      <c r="M274" s="35"/>
    </row>
    <row r="275" ht="20" customHeight="1" spans="1:13">
      <c r="A275" s="29">
        <v>45090</v>
      </c>
      <c r="B275" s="30"/>
      <c r="C275" s="30"/>
      <c r="D275" s="30"/>
      <c r="E275" s="30" t="s">
        <v>1024</v>
      </c>
      <c r="F275" s="34" t="str">
        <f>IFERROR(VLOOKUP(VENTAS[[#This Row],[Código del producto Vendido]],STOCK[],5,FALSE),"-")</f>
        <v>Top Dreamer Blanco</v>
      </c>
      <c r="G275" s="34">
        <v>1</v>
      </c>
      <c r="H275" s="35">
        <v>12</v>
      </c>
      <c r="I275" s="35">
        <f>VENTAS[[#This Row],[Cantidad]]*VENTAS[[#This Row],[Precio Venta]]</f>
        <v>12</v>
      </c>
      <c r="J275" s="35">
        <f>IF(VENTAS[[#This Row],[Nombre del Gestor]]&gt;1,VENTAS[[#This Row],[Total]]*10%,0)</f>
        <v>0</v>
      </c>
      <c r="K275" s="35">
        <f>IFERROR(VLOOKUP(VENTAS[[#This Row],[Código del producto Vendido]],STOCK[],16,FALSE)*VENTAS[[#This Row],[Cantidad]]+VLOOKUP(VENTAS[[#This Row],[Código del producto Vendido]],STOCK[],19,FALSE)*VENTAS[[#This Row],[Cantidad]],VENTAS[[#This Row],[Total]])</f>
        <v>6.75909090909091</v>
      </c>
      <c r="L275" s="35">
        <f>VENTAS[[#This Row],[Total]]-VENTAS[[#This Row],[Comisión 10%]]-VENTAS[[#This Row],[Costo SIN Comision]]</f>
        <v>5.24090909090909</v>
      </c>
      <c r="M275" s="35"/>
    </row>
    <row r="276" ht="20" customHeight="1" spans="1:13">
      <c r="A276" s="29">
        <v>45090</v>
      </c>
      <c r="B276" s="30"/>
      <c r="C276" s="30"/>
      <c r="D276" s="30"/>
      <c r="E276" s="30" t="s">
        <v>729</v>
      </c>
      <c r="F276" s="34" t="str">
        <f>IFERROR(VLOOKUP(VENTAS[[#This Row],[Código del producto Vendido]],STOCK[],5,FALSE),"-")</f>
        <v>Vestido de un hombro</v>
      </c>
      <c r="G276" s="34">
        <v>1</v>
      </c>
      <c r="H276" s="35">
        <v>19</v>
      </c>
      <c r="I276" s="35">
        <f>VENTAS[[#This Row],[Cantidad]]*VENTAS[[#This Row],[Precio Venta]]</f>
        <v>19</v>
      </c>
      <c r="J276" s="35">
        <f>IF(VENTAS[[#This Row],[Nombre del Gestor]]&gt;1,VENTAS[[#This Row],[Total]]*10%,0)</f>
        <v>0</v>
      </c>
      <c r="K276" s="35">
        <f>IFERROR(VLOOKUP(VENTAS[[#This Row],[Código del producto Vendido]],STOCK[],16,FALSE)*VENTAS[[#This Row],[Cantidad]]+VLOOKUP(VENTAS[[#This Row],[Código del producto Vendido]],STOCK[],19,FALSE)*VENTAS[[#This Row],[Cantidad]],VENTAS[[#This Row],[Total]])</f>
        <v>11.9444444444444</v>
      </c>
      <c r="L276" s="35">
        <f>VENTAS[[#This Row],[Total]]-VENTAS[[#This Row],[Comisión 10%]]-VENTAS[[#This Row],[Costo SIN Comision]]</f>
        <v>7.05555555555556</v>
      </c>
      <c r="M276" s="35"/>
    </row>
    <row r="277" ht="20" customHeight="1" spans="1:13">
      <c r="A277" s="48">
        <v>45090</v>
      </c>
      <c r="B277" s="49" t="s">
        <v>3368</v>
      </c>
      <c r="C277" s="49"/>
      <c r="D277" s="49"/>
      <c r="E277" s="49" t="s">
        <v>517</v>
      </c>
      <c r="F277" s="50" t="str">
        <f>IFERROR(VLOOKUP(VENTAS[[#This Row],[Código del producto Vendido]],STOCK[],5,FALSE),"-")</f>
        <v>Calcetines unicolor</v>
      </c>
      <c r="G277" s="50">
        <v>2</v>
      </c>
      <c r="H277" s="51">
        <v>1.5</v>
      </c>
      <c r="I277" s="51">
        <f>VENTAS[[#This Row],[Cantidad]]*VENTAS[[#This Row],[Precio Venta]]</f>
        <v>3</v>
      </c>
      <c r="J277" s="51">
        <f>IF(VENTAS[[#This Row],[Nombre del Gestor]]&gt;1,VENTAS[[#This Row],[Total]]*10%,0)</f>
        <v>0</v>
      </c>
      <c r="K277" s="35">
        <f>IFERROR(VLOOKUP(VENTAS[[#This Row],[Código del producto Vendido]],STOCK[],16,FALSE)*VENTAS[[#This Row],[Cantidad]]+VLOOKUP(VENTAS[[#This Row],[Código del producto Vendido]],STOCK[],19,FALSE)*VENTAS[[#This Row],[Cantidad]],VENTAS[[#This Row],[Total]])</f>
        <v>1.68888888888889</v>
      </c>
      <c r="L277" s="35">
        <f>VENTAS[[#This Row],[Total]]-VENTAS[[#This Row],[Comisión 10%]]-VENTAS[[#This Row],[Costo SIN Comision]]</f>
        <v>1.31111111111111</v>
      </c>
      <c r="M277" s="35"/>
    </row>
    <row r="278" ht="20" customHeight="1" spans="1:13">
      <c r="A278" s="29" t="s">
        <v>3343</v>
      </c>
      <c r="B278" s="30"/>
      <c r="C278" s="30"/>
      <c r="D278" s="30"/>
      <c r="E278" s="30" t="s">
        <v>889</v>
      </c>
      <c r="F278" s="34" t="str">
        <f>IFERROR(VLOOKUP(VENTAS[[#This Row],[Código del producto Vendido]],STOCK[],5,FALSE),"-")</f>
        <v>Top Cuello encaje y mangas abombadas</v>
      </c>
      <c r="G278" s="34">
        <v>1</v>
      </c>
      <c r="H278" s="35">
        <v>7</v>
      </c>
      <c r="I278" s="35">
        <f>VENTAS[[#This Row],[Cantidad]]*VENTAS[[#This Row],[Precio Venta]]</f>
        <v>7</v>
      </c>
      <c r="J278" s="35">
        <f>IF(VENTAS[[#This Row],[Nombre del Gestor]]&gt;1,VENTAS[[#This Row],[Total]]*10%,0)</f>
        <v>0</v>
      </c>
      <c r="K278" s="35">
        <f>IFERROR(VLOOKUP(VENTAS[[#This Row],[Código del producto Vendido]],STOCK[],16,FALSE)*VENTAS[[#This Row],[Cantidad]]+VLOOKUP(VENTAS[[#This Row],[Código del producto Vendido]],STOCK[],19,FALSE)*VENTAS[[#This Row],[Cantidad]],VENTAS[[#This Row],[Total]])</f>
        <v>6.35818181818182</v>
      </c>
      <c r="L278" s="35">
        <f>VENTAS[[#This Row],[Total]]-VENTAS[[#This Row],[Comisión 10%]]-VENTAS[[#This Row],[Costo SIN Comision]]</f>
        <v>0.64181818181818</v>
      </c>
      <c r="M278" s="35"/>
    </row>
    <row r="279" ht="20" customHeight="1" spans="1:13">
      <c r="A279" s="29" t="s">
        <v>3343</v>
      </c>
      <c r="B279" s="30"/>
      <c r="C279" s="30"/>
      <c r="D279" s="30"/>
      <c r="E279" s="30" t="s">
        <v>875</v>
      </c>
      <c r="F279" s="34" t="str">
        <f>IFERROR(VLOOKUP(VENTAS[[#This Row],[Código del producto Vendido]],STOCK[],5,FALSE),"-")</f>
        <v>Brasier de encaje_Negro Unitalla</v>
      </c>
      <c r="G279" s="34">
        <v>1</v>
      </c>
      <c r="H279" s="35">
        <v>4</v>
      </c>
      <c r="I279" s="35">
        <f>VENTAS[[#This Row],[Cantidad]]*VENTAS[[#This Row],[Precio Venta]]</f>
        <v>4</v>
      </c>
      <c r="J279" s="35">
        <f>IF(VENTAS[[#This Row],[Nombre del Gestor]]&gt;1,VENTAS[[#This Row],[Total]]*10%,0)</f>
        <v>0</v>
      </c>
      <c r="K279" s="35">
        <f>IFERROR(VLOOKUP(VENTAS[[#This Row],[Código del producto Vendido]],STOCK[],16,FALSE)*VENTAS[[#This Row],[Cantidad]]+VLOOKUP(VENTAS[[#This Row],[Código del producto Vendido]],STOCK[],19,FALSE)*VENTAS[[#This Row],[Cantidad]],VENTAS[[#This Row],[Total]])</f>
        <v>3.71111111111111</v>
      </c>
      <c r="L279" s="35">
        <f>VENTAS[[#This Row],[Total]]-VENTAS[[#This Row],[Comisión 10%]]-VENTAS[[#This Row],[Costo SIN Comision]]</f>
        <v>0.28888888888889</v>
      </c>
      <c r="M279" s="35"/>
    </row>
    <row r="280" ht="20" customHeight="1" spans="1:13">
      <c r="A280" s="29">
        <v>45093</v>
      </c>
      <c r="B280" s="30"/>
      <c r="C280" s="30"/>
      <c r="D280" s="30"/>
      <c r="E280" s="30" t="s">
        <v>177</v>
      </c>
      <c r="F280" s="34" t="str">
        <f>IFERROR(VLOOKUP(VENTAS[[#This Row],[Código del producto Vendido]],STOCK[],5,FALSE),"-")</f>
        <v>Vestido cruzado con abertura con nudo delantero</v>
      </c>
      <c r="G280" s="34">
        <v>1</v>
      </c>
      <c r="H280" s="35">
        <v>25</v>
      </c>
      <c r="I280" s="35">
        <f>VENTAS[[#This Row],[Cantidad]]*VENTAS[[#This Row],[Precio Venta]]</f>
        <v>25</v>
      </c>
      <c r="J280" s="35">
        <f>IF(VENTAS[[#This Row],[Nombre del Gestor]]&gt;1,VENTAS[[#This Row],[Total]]*10%,0)</f>
        <v>0</v>
      </c>
      <c r="K280" s="35">
        <f>IFERROR(VLOOKUP(VENTAS[[#This Row],[Código del producto Vendido]],STOCK[],16,FALSE)*VENTAS[[#This Row],[Cantidad]]+VLOOKUP(VENTAS[[#This Row],[Código del producto Vendido]],STOCK[],19,FALSE)*VENTAS[[#This Row],[Cantidad]],VENTAS[[#This Row],[Total]])</f>
        <v>16.7688888888889</v>
      </c>
      <c r="L280" s="35">
        <f>VENTAS[[#This Row],[Total]]-VENTAS[[#This Row],[Comisión 10%]]-VENTAS[[#This Row],[Costo SIN Comision]]</f>
        <v>8.2311111111111</v>
      </c>
      <c r="M280" s="35"/>
    </row>
    <row r="281" ht="20" customHeight="1" spans="1:13">
      <c r="A281" s="29">
        <v>45093</v>
      </c>
      <c r="B281" s="30"/>
      <c r="C281" s="30"/>
      <c r="D281" s="30"/>
      <c r="E281" s="30" t="s">
        <v>1042</v>
      </c>
      <c r="F281" s="34" t="str">
        <f>IFERROR(VLOOKUP(VENTAS[[#This Row],[Código del producto Vendido]],STOCK[],5,FALSE),"-")</f>
        <v>Jeans Elastizados Pierna Ancha</v>
      </c>
      <c r="G281" s="34">
        <v>1</v>
      </c>
      <c r="H281" s="35">
        <v>35</v>
      </c>
      <c r="I281" s="35">
        <f>VENTAS[[#This Row],[Cantidad]]*VENTAS[[#This Row],[Precio Venta]]</f>
        <v>35</v>
      </c>
      <c r="J281" s="35">
        <f>IF(VENTAS[[#This Row],[Nombre del Gestor]]&gt;1,VENTAS[[#This Row],[Total]]*10%,0)</f>
        <v>0</v>
      </c>
      <c r="K281" s="35">
        <f>IFERROR(VLOOKUP(VENTAS[[#This Row],[Código del producto Vendido]],STOCK[],16,FALSE)*VENTAS[[#This Row],[Cantidad]]+VLOOKUP(VENTAS[[#This Row],[Código del producto Vendido]],STOCK[],19,FALSE)*VENTAS[[#This Row],[Cantidad]],VENTAS[[#This Row],[Total]])</f>
        <v>27.5227272727273</v>
      </c>
      <c r="L281" s="35">
        <f>VENTAS[[#This Row],[Total]]-VENTAS[[#This Row],[Comisión 10%]]-VENTAS[[#This Row],[Costo SIN Comision]]</f>
        <v>7.4772727272727</v>
      </c>
      <c r="M281" s="35"/>
    </row>
    <row r="282" ht="20" customHeight="1" spans="1:13">
      <c r="A282" s="29">
        <v>45093</v>
      </c>
      <c r="B282" s="30"/>
      <c r="C282" s="30"/>
      <c r="D282" s="30"/>
      <c r="E282" s="30" t="s">
        <v>266</v>
      </c>
      <c r="F282" s="34" t="str">
        <f>IFERROR(VLOOKUP(VENTAS[[#This Row],[Código del producto Vendido]],STOCK[],5,FALSE),"-")</f>
        <v>Vestido Malla en contraste Lunares Elegante</v>
      </c>
      <c r="G282" s="34">
        <v>1</v>
      </c>
      <c r="H282" s="35">
        <v>25</v>
      </c>
      <c r="I282" s="35">
        <f>VENTAS[[#This Row],[Cantidad]]*VENTAS[[#This Row],[Precio Venta]]</f>
        <v>25</v>
      </c>
      <c r="J282" s="35">
        <f>IF(VENTAS[[#This Row],[Nombre del Gestor]]&gt;1,VENTAS[[#This Row],[Total]]*10%,0)</f>
        <v>0</v>
      </c>
      <c r="K282" s="35">
        <f>IFERROR(VLOOKUP(VENTAS[[#This Row],[Código del producto Vendido]],STOCK[],16,FALSE)*VENTAS[[#This Row],[Cantidad]]+VLOOKUP(VENTAS[[#This Row],[Código del producto Vendido]],STOCK[],19,FALSE)*VENTAS[[#This Row],[Cantidad]],VENTAS[[#This Row],[Total]])</f>
        <v>13.1111111111111</v>
      </c>
      <c r="L282" s="35">
        <f>VENTAS[[#This Row],[Total]]-VENTAS[[#This Row],[Comisión 10%]]-VENTAS[[#This Row],[Costo SIN Comision]]</f>
        <v>11.8888888888889</v>
      </c>
      <c r="M282" s="35"/>
    </row>
    <row r="283" ht="20" customHeight="1" spans="1:13">
      <c r="A283" s="29">
        <v>45093</v>
      </c>
      <c r="B283" s="30"/>
      <c r="C283" s="30"/>
      <c r="D283" s="30"/>
      <c r="E283" s="30" t="s">
        <v>240</v>
      </c>
      <c r="F283" s="34" t="str">
        <f>IFERROR(VLOOKUP(VENTAS[[#This Row],[Código del producto Vendido]],STOCK[],5,FALSE),"-")</f>
        <v>Vestido de cuello cuadrado de espalda abierta</v>
      </c>
      <c r="G283" s="34">
        <v>1</v>
      </c>
      <c r="H283" s="35">
        <v>20</v>
      </c>
      <c r="I283" s="35">
        <f>VENTAS[[#This Row],[Cantidad]]*VENTAS[[#This Row],[Precio Venta]]</f>
        <v>20</v>
      </c>
      <c r="J283" s="35">
        <f>IF(VENTAS[[#This Row],[Nombre del Gestor]]&gt;1,VENTAS[[#This Row],[Total]]*10%,0)</f>
        <v>0</v>
      </c>
      <c r="K283" s="35">
        <f>IFERROR(VLOOKUP(VENTAS[[#This Row],[Código del producto Vendido]],STOCK[],16,FALSE)*VENTAS[[#This Row],[Cantidad]]+VLOOKUP(VENTAS[[#This Row],[Código del producto Vendido]],STOCK[],19,FALSE)*VENTAS[[#This Row],[Cantidad]],VENTAS[[#This Row],[Total]])</f>
        <v>11.8755555555556</v>
      </c>
      <c r="L283" s="35">
        <f>VENTAS[[#This Row],[Total]]-VENTAS[[#This Row],[Comisión 10%]]-VENTAS[[#This Row],[Costo SIN Comision]]</f>
        <v>8.1244444444444</v>
      </c>
      <c r="M283" s="35"/>
    </row>
    <row r="284" ht="20" customHeight="1" spans="1:13">
      <c r="A284" s="29">
        <v>45093</v>
      </c>
      <c r="B284" s="30"/>
      <c r="C284" s="30"/>
      <c r="D284" s="30"/>
      <c r="E284" s="30" t="s">
        <v>222</v>
      </c>
      <c r="F284" s="34" t="str">
        <f>IFERROR(VLOOKUP(VENTAS[[#This Row],[Código del producto Vendido]],STOCK[],5,FALSE),"-")</f>
        <v>Vestido ajustado de tirantes con abertura</v>
      </c>
      <c r="G284" s="34">
        <v>1</v>
      </c>
      <c r="H284" s="35">
        <v>18</v>
      </c>
      <c r="I284" s="35">
        <f>VENTAS[[#This Row],[Cantidad]]*VENTAS[[#This Row],[Precio Venta]]</f>
        <v>18</v>
      </c>
      <c r="J284" s="35">
        <f>IF(VENTAS[[#This Row],[Nombre del Gestor]]&gt;1,VENTAS[[#This Row],[Total]]*10%,0)</f>
        <v>0</v>
      </c>
      <c r="K284" s="35">
        <f>IFERROR(VLOOKUP(VENTAS[[#This Row],[Código del producto Vendido]],STOCK[],16,FALSE)*VENTAS[[#This Row],[Cantidad]]+VLOOKUP(VENTAS[[#This Row],[Código del producto Vendido]],STOCK[],19,FALSE)*VENTAS[[#This Row],[Cantidad]],VENTAS[[#This Row],[Total]])</f>
        <v>9.18</v>
      </c>
      <c r="L284" s="35">
        <f>VENTAS[[#This Row],[Total]]-VENTAS[[#This Row],[Comisión 10%]]-VENTAS[[#This Row],[Costo SIN Comision]]</f>
        <v>8.82</v>
      </c>
      <c r="M284" s="35"/>
    </row>
    <row r="285" ht="20" customHeight="1" spans="1:13">
      <c r="A285" s="29">
        <v>45093</v>
      </c>
      <c r="B285" s="30"/>
      <c r="C285" s="30"/>
      <c r="D285" s="30"/>
      <c r="E285" s="30" t="s">
        <v>168</v>
      </c>
      <c r="F285" s="34" t="str">
        <f>IFERROR(VLOOKUP(VENTAS[[#This Row],[Código del producto Vendido]],STOCK[],5,FALSE),"-")</f>
        <v>Vestido con estampado floral con abertura alta</v>
      </c>
      <c r="G285" s="34">
        <v>1</v>
      </c>
      <c r="H285" s="35">
        <v>30</v>
      </c>
      <c r="I285" s="35">
        <f>VENTAS[[#This Row],[Cantidad]]*VENTAS[[#This Row],[Precio Venta]]</f>
        <v>30</v>
      </c>
      <c r="J285" s="35">
        <f>IF(VENTAS[[#This Row],[Nombre del Gestor]]&gt;1,VENTAS[[#This Row],[Total]]*10%,0)</f>
        <v>0</v>
      </c>
      <c r="K285" s="35">
        <f>IFERROR(VLOOKUP(VENTAS[[#This Row],[Código del producto Vendido]],STOCK[],16,FALSE)*VENTAS[[#This Row],[Cantidad]]+VLOOKUP(VENTAS[[#This Row],[Código del producto Vendido]],STOCK[],19,FALSE)*VENTAS[[#This Row],[Cantidad]],VENTAS[[#This Row],[Total]])</f>
        <v>20.8555555555556</v>
      </c>
      <c r="L285" s="35">
        <f>VENTAS[[#This Row],[Total]]-VENTAS[[#This Row],[Comisión 10%]]-VENTAS[[#This Row],[Costo SIN Comision]]</f>
        <v>9.1444444444444</v>
      </c>
      <c r="M285" s="35"/>
    </row>
    <row r="286" ht="20" customHeight="1" spans="1:13">
      <c r="A286" s="29">
        <v>45093</v>
      </c>
      <c r="B286" s="30"/>
      <c r="C286" s="30"/>
      <c r="D286" s="30"/>
      <c r="E286" s="30" t="s">
        <v>252</v>
      </c>
      <c r="F286" s="34" t="str">
        <f>IFERROR(VLOOKUP(VENTAS[[#This Row],[Código del producto Vendido]],STOCK[],5,FALSE),"-")</f>
        <v>Vestido con abertura con botón floral de margarita</v>
      </c>
      <c r="G286" s="34">
        <v>1</v>
      </c>
      <c r="H286" s="35">
        <v>25</v>
      </c>
      <c r="I286" s="35">
        <f>VENTAS[[#This Row],[Cantidad]]*VENTAS[[#This Row],[Precio Venta]]</f>
        <v>25</v>
      </c>
      <c r="J286" s="35">
        <f>IF(VENTAS[[#This Row],[Nombre del Gestor]]&gt;1,VENTAS[[#This Row],[Total]]*10%,0)</f>
        <v>0</v>
      </c>
      <c r="K286" s="35">
        <f>IFERROR(VLOOKUP(VENTAS[[#This Row],[Código del producto Vendido]],STOCK[],16,FALSE)*VENTAS[[#This Row],[Cantidad]]+VLOOKUP(VENTAS[[#This Row],[Código del producto Vendido]],STOCK[],19,FALSE)*VENTAS[[#This Row],[Cantidad]],VENTAS[[#This Row],[Total]])</f>
        <v>16.8</v>
      </c>
      <c r="L286" s="35">
        <f>VENTAS[[#This Row],[Total]]-VENTAS[[#This Row],[Comisión 10%]]-VENTAS[[#This Row],[Costo SIN Comision]]</f>
        <v>8.2</v>
      </c>
      <c r="M286" s="35"/>
    </row>
    <row r="287" ht="20" customHeight="1" spans="1:13">
      <c r="A287" s="29">
        <v>45093</v>
      </c>
      <c r="B287" s="30"/>
      <c r="C287" s="30"/>
      <c r="D287" s="30"/>
      <c r="E287" s="30" t="s">
        <v>646</v>
      </c>
      <c r="F287" s="34" t="str">
        <f>IFERROR(VLOOKUP(VENTAS[[#This Row],[Código del producto Vendido]],STOCK[],5,FALSE),"-")</f>
        <v>Vestido con estampado jungla</v>
      </c>
      <c r="G287" s="34">
        <v>1</v>
      </c>
      <c r="H287" s="35">
        <v>17</v>
      </c>
      <c r="I287" s="35">
        <f>VENTAS[[#This Row],[Cantidad]]*VENTAS[[#This Row],[Precio Venta]]</f>
        <v>17</v>
      </c>
      <c r="J287" s="35">
        <f>IF(VENTAS[[#This Row],[Nombre del Gestor]]&gt;1,VENTAS[[#This Row],[Total]]*10%,0)</f>
        <v>0</v>
      </c>
      <c r="K287" s="35">
        <f>IFERROR(VLOOKUP(VENTAS[[#This Row],[Código del producto Vendido]],STOCK[],16,FALSE)*VENTAS[[#This Row],[Cantidad]]+VLOOKUP(VENTAS[[#This Row],[Código del producto Vendido]],STOCK[],19,FALSE)*VENTAS[[#This Row],[Cantidad]],VENTAS[[#This Row],[Total]])</f>
        <v>10.7222222222222</v>
      </c>
      <c r="L287" s="35">
        <f>VENTAS[[#This Row],[Total]]-VENTAS[[#This Row],[Comisión 10%]]-VENTAS[[#This Row],[Costo SIN Comision]]</f>
        <v>6.27777777777778</v>
      </c>
      <c r="M287" s="35"/>
    </row>
    <row r="288" ht="20" customHeight="1" spans="1:13">
      <c r="A288" s="29">
        <v>45093</v>
      </c>
      <c r="B288" s="30"/>
      <c r="C288" s="30"/>
      <c r="D288" s="30"/>
      <c r="E288" s="30" t="s">
        <v>857</v>
      </c>
      <c r="F288" s="34" t="str">
        <f>IFERROR(VLOOKUP(VENTAS[[#This Row],[Código del producto Vendido]],STOCK[],5,FALSE),"-")</f>
        <v>Vestido Ajustado brillo</v>
      </c>
      <c r="G288" s="34">
        <v>1</v>
      </c>
      <c r="H288" s="35">
        <v>17</v>
      </c>
      <c r="I288" s="35">
        <f>VENTAS[[#This Row],[Cantidad]]*VENTAS[[#This Row],[Precio Venta]]</f>
        <v>17</v>
      </c>
      <c r="J288" s="35">
        <f>IF(VENTAS[[#This Row],[Nombre del Gestor]]&gt;1,VENTAS[[#This Row],[Total]]*10%,0)</f>
        <v>0</v>
      </c>
      <c r="K288" s="35">
        <f>IFERROR(VLOOKUP(VENTAS[[#This Row],[Código del producto Vendido]],STOCK[],16,FALSE)*VENTAS[[#This Row],[Cantidad]]+VLOOKUP(VENTAS[[#This Row],[Código del producto Vendido]],STOCK[],19,FALSE)*VENTAS[[#This Row],[Cantidad]],VENTAS[[#This Row],[Total]])</f>
        <v>9.11111111111111</v>
      </c>
      <c r="L288" s="35">
        <f>VENTAS[[#This Row],[Total]]-VENTAS[[#This Row],[Comisión 10%]]-VENTAS[[#This Row],[Costo SIN Comision]]</f>
        <v>7.88888888888889</v>
      </c>
      <c r="M288" s="35"/>
    </row>
    <row r="289" ht="20" customHeight="1" spans="1:13">
      <c r="A289" s="29">
        <v>45093</v>
      </c>
      <c r="B289" s="30"/>
      <c r="C289" s="30"/>
      <c r="D289" s="30"/>
      <c r="E289" s="30" t="s">
        <v>1046</v>
      </c>
      <c r="F289" s="34" t="str">
        <f>IFERROR(VLOOKUP(VENTAS[[#This Row],[Código del producto Vendido]],STOCK[],5,FALSE),"-")</f>
        <v>Jeans Ajustados Claro</v>
      </c>
      <c r="G289" s="34">
        <v>1</v>
      </c>
      <c r="H289" s="35">
        <v>35</v>
      </c>
      <c r="I289" s="35">
        <f>VENTAS[[#This Row],[Cantidad]]*VENTAS[[#This Row],[Precio Venta]]</f>
        <v>35</v>
      </c>
      <c r="J289" s="35">
        <f>IF(VENTAS[[#This Row],[Nombre del Gestor]]&gt;1,VENTAS[[#This Row],[Total]]*10%,0)</f>
        <v>0</v>
      </c>
      <c r="K289" s="35">
        <f>IFERROR(VLOOKUP(VENTAS[[#This Row],[Código del producto Vendido]],STOCK[],16,FALSE)*VENTAS[[#This Row],[Cantidad]]+VLOOKUP(VENTAS[[#This Row],[Código del producto Vendido]],STOCK[],19,FALSE)*VENTAS[[#This Row],[Cantidad]],VENTAS[[#This Row],[Total]])</f>
        <v>25.8181818181818</v>
      </c>
      <c r="L289" s="35">
        <f>VENTAS[[#This Row],[Total]]-VENTAS[[#This Row],[Comisión 10%]]-VENTAS[[#This Row],[Costo SIN Comision]]</f>
        <v>9.1818181818182</v>
      </c>
      <c r="M289" s="35"/>
    </row>
    <row r="290" ht="20" customHeight="1" spans="1:13">
      <c r="A290" s="29">
        <v>45093</v>
      </c>
      <c r="B290" s="30"/>
      <c r="C290" s="30"/>
      <c r="D290" s="30"/>
      <c r="E290" s="30" t="s">
        <v>1034</v>
      </c>
      <c r="F290" s="34" t="str">
        <f>IFERROR(VLOOKUP(VENTAS[[#This Row],[Código del producto Vendido]],STOCK[],5,FALSE),"-")</f>
        <v>Jenas Ajustados Oscuro</v>
      </c>
      <c r="G290" s="34">
        <v>1</v>
      </c>
      <c r="H290" s="35">
        <v>35</v>
      </c>
      <c r="I290" s="35">
        <f>VENTAS[[#This Row],[Cantidad]]*VENTAS[[#This Row],[Precio Venta]]</f>
        <v>35</v>
      </c>
      <c r="J290" s="35">
        <f>IF(VENTAS[[#This Row],[Nombre del Gestor]]&gt;1,VENTAS[[#This Row],[Total]]*10%,0)</f>
        <v>0</v>
      </c>
      <c r="K290" s="35">
        <f>IFERROR(VLOOKUP(VENTAS[[#This Row],[Código del producto Vendido]],STOCK[],16,FALSE)*VENTAS[[#This Row],[Cantidad]]+VLOOKUP(VENTAS[[#This Row],[Código del producto Vendido]],STOCK[],19,FALSE)*VENTAS[[#This Row],[Cantidad]],VENTAS[[#This Row],[Total]])</f>
        <v>24.6818181818182</v>
      </c>
      <c r="L290" s="35">
        <f>VENTAS[[#This Row],[Total]]-VENTAS[[#This Row],[Comisión 10%]]-VENTAS[[#This Row],[Costo SIN Comision]]</f>
        <v>10.3181818181818</v>
      </c>
      <c r="M290" s="35"/>
    </row>
    <row r="291" ht="20" customHeight="1" spans="1:13">
      <c r="A291" s="29">
        <v>45094</v>
      </c>
      <c r="B291" s="30"/>
      <c r="C291" s="30"/>
      <c r="D291" s="30"/>
      <c r="E291" s="30" t="s">
        <v>1093</v>
      </c>
      <c r="F291" s="34" t="str">
        <f>IFERROR(VLOOKUP(VENTAS[[#This Row],[Código del producto Vendido]],STOCK[],5,FALSE),"-")</f>
        <v>Jean con roto sencillo</v>
      </c>
      <c r="G291" s="34">
        <v>1</v>
      </c>
      <c r="H291" s="35">
        <v>40</v>
      </c>
      <c r="I291" s="35">
        <f>VENTAS[[#This Row],[Cantidad]]*VENTAS[[#This Row],[Precio Venta]]</f>
        <v>40</v>
      </c>
      <c r="J291" s="35">
        <f>IF(VENTAS[[#This Row],[Nombre del Gestor]]&gt;1,VENTAS[[#This Row],[Total]]*10%,0)</f>
        <v>0</v>
      </c>
      <c r="K291" s="35">
        <f>IFERROR(VLOOKUP(VENTAS[[#This Row],[Código del producto Vendido]],STOCK[],16,FALSE)*VENTAS[[#This Row],[Cantidad]]+VLOOKUP(VENTAS[[#This Row],[Código del producto Vendido]],STOCK[],19,FALSE)*VENTAS[[#This Row],[Cantidad]],VENTAS[[#This Row],[Total]])</f>
        <v>32.2647058823529</v>
      </c>
      <c r="L291" s="35">
        <f>VENTAS[[#This Row],[Total]]-VENTAS[[#This Row],[Comisión 10%]]-VENTAS[[#This Row],[Costo SIN Comision]]</f>
        <v>7.7352941176471</v>
      </c>
      <c r="M291" s="35"/>
    </row>
    <row r="292" ht="20" customHeight="1" spans="1:13">
      <c r="A292" s="29">
        <v>45094</v>
      </c>
      <c r="B292" s="30"/>
      <c r="C292" s="30"/>
      <c r="D292" s="30"/>
      <c r="E292" s="30" t="s">
        <v>1032</v>
      </c>
      <c r="F292" s="34" t="str">
        <f>IFERROR(VLOOKUP(VENTAS[[#This Row],[Código del producto Vendido]],STOCK[],5,FALSE),"-")</f>
        <v>Jenas Ajustados Oscuro</v>
      </c>
      <c r="G292" s="34">
        <v>1</v>
      </c>
      <c r="H292" s="35">
        <v>35</v>
      </c>
      <c r="I292" s="35">
        <f>VENTAS[[#This Row],[Cantidad]]*VENTAS[[#This Row],[Precio Venta]]</f>
        <v>35</v>
      </c>
      <c r="J292" s="35">
        <f>IF(VENTAS[[#This Row],[Nombre del Gestor]]&gt;1,VENTAS[[#This Row],[Total]]*10%,0)</f>
        <v>0</v>
      </c>
      <c r="K292" s="35">
        <f>IFERROR(VLOOKUP(VENTAS[[#This Row],[Código del producto Vendido]],STOCK[],16,FALSE)*VENTAS[[#This Row],[Cantidad]]+VLOOKUP(VENTAS[[#This Row],[Código del producto Vendido]],STOCK[],19,FALSE)*VENTAS[[#This Row],[Cantidad]],VENTAS[[#This Row],[Total]])</f>
        <v>24.6818181818182</v>
      </c>
      <c r="L292" s="35">
        <f>VENTAS[[#This Row],[Total]]-VENTAS[[#This Row],[Comisión 10%]]-VENTAS[[#This Row],[Costo SIN Comision]]</f>
        <v>10.3181818181818</v>
      </c>
      <c r="M292" s="35"/>
    </row>
    <row r="293" ht="20" customHeight="1" spans="1:13">
      <c r="A293" s="29">
        <v>45094</v>
      </c>
      <c r="B293" s="30"/>
      <c r="C293" s="30"/>
      <c r="D293" s="30"/>
      <c r="E293" s="30" t="s">
        <v>1039</v>
      </c>
      <c r="F293" s="34" t="str">
        <f>IFERROR(VLOOKUP(VENTAS[[#This Row],[Código del producto Vendido]],STOCK[],5,FALSE),"-")</f>
        <v>Jeans Elastizados Pierna Ancha</v>
      </c>
      <c r="G293" s="34">
        <v>1</v>
      </c>
      <c r="H293" s="35">
        <v>35</v>
      </c>
      <c r="I293" s="35">
        <f>VENTAS[[#This Row],[Cantidad]]*VENTAS[[#This Row],[Precio Venta]]</f>
        <v>35</v>
      </c>
      <c r="J293" s="35">
        <f>IF(VENTAS[[#This Row],[Nombre del Gestor]]&gt;1,VENTAS[[#This Row],[Total]]*10%,0)</f>
        <v>0</v>
      </c>
      <c r="K293" s="35">
        <f>IFERROR(VLOOKUP(VENTAS[[#This Row],[Código del producto Vendido]],STOCK[],16,FALSE)*VENTAS[[#This Row],[Cantidad]]+VLOOKUP(VENTAS[[#This Row],[Código del producto Vendido]],STOCK[],19,FALSE)*VENTAS[[#This Row],[Cantidad]],VENTAS[[#This Row],[Total]])</f>
        <v>27.5227272727273</v>
      </c>
      <c r="L293" s="35">
        <f>VENTAS[[#This Row],[Total]]-VENTAS[[#This Row],[Comisión 10%]]-VENTAS[[#This Row],[Costo SIN Comision]]</f>
        <v>7.4772727272727</v>
      </c>
      <c r="M293" s="35"/>
    </row>
    <row r="294" ht="20" customHeight="1" spans="1:13">
      <c r="A294" s="29">
        <v>45094</v>
      </c>
      <c r="B294" s="30"/>
      <c r="C294" s="30"/>
      <c r="D294" s="30"/>
      <c r="E294" s="30" t="s">
        <v>156</v>
      </c>
      <c r="F294" s="34" t="str">
        <f>IFERROR(VLOOKUP(VENTAS[[#This Row],[Código del producto Vendido]],STOCK[],5,FALSE),"-")</f>
        <v>Jeans de pierna recta desgarro</v>
      </c>
      <c r="G294" s="34">
        <v>1</v>
      </c>
      <c r="H294" s="35">
        <v>30</v>
      </c>
      <c r="I294" s="35">
        <f>VENTAS[[#This Row],[Cantidad]]*VENTAS[[#This Row],[Precio Venta]]</f>
        <v>30</v>
      </c>
      <c r="J294" s="35">
        <f>IF(VENTAS[[#This Row],[Nombre del Gestor]]&gt;1,VENTAS[[#This Row],[Total]]*10%,0)</f>
        <v>0</v>
      </c>
      <c r="K294" s="35">
        <f>IFERROR(VLOOKUP(VENTAS[[#This Row],[Código del producto Vendido]],STOCK[],16,FALSE)*VENTAS[[#This Row],[Cantidad]]+VLOOKUP(VENTAS[[#This Row],[Código del producto Vendido]],STOCK[],19,FALSE)*VENTAS[[#This Row],[Cantidad]],VENTAS[[#This Row],[Total]])</f>
        <v>18.6866666666667</v>
      </c>
      <c r="L294" s="35">
        <f>VENTAS[[#This Row],[Total]]-VENTAS[[#This Row],[Comisión 10%]]-VENTAS[[#This Row],[Costo SIN Comision]]</f>
        <v>11.3133333333333</v>
      </c>
      <c r="M294" s="35"/>
    </row>
    <row r="295" ht="20" customHeight="1" spans="1:13">
      <c r="A295" s="29">
        <v>45094</v>
      </c>
      <c r="B295" s="30"/>
      <c r="C295" s="30"/>
      <c r="D295" s="30"/>
      <c r="E295" s="30" t="s">
        <v>179</v>
      </c>
      <c r="F295" s="34" t="str">
        <f>IFERROR(VLOOKUP(VENTAS[[#This Row],[Código del producto Vendido]],STOCK[],5,FALSE),"-")</f>
        <v>Top de manga farol con abertura en espalda</v>
      </c>
      <c r="G295" s="34">
        <v>1</v>
      </c>
      <c r="H295" s="35">
        <v>14</v>
      </c>
      <c r="I295" s="35">
        <f>VENTAS[[#This Row],[Cantidad]]*VENTAS[[#This Row],[Precio Venta]]</f>
        <v>14</v>
      </c>
      <c r="J295" s="35">
        <f>IF(VENTAS[[#This Row],[Nombre del Gestor]]&gt;1,VENTAS[[#This Row],[Total]]*10%,0)</f>
        <v>0</v>
      </c>
      <c r="K295" s="35">
        <f>IFERROR(VLOOKUP(VENTAS[[#This Row],[Código del producto Vendido]],STOCK[],16,FALSE)*VENTAS[[#This Row],[Cantidad]]+VLOOKUP(VENTAS[[#This Row],[Código del producto Vendido]],STOCK[],19,FALSE)*VENTAS[[#This Row],[Cantidad]],VENTAS[[#This Row],[Total]])</f>
        <v>8.85777777777778</v>
      </c>
      <c r="L295" s="35">
        <f>VENTAS[[#This Row],[Total]]-VENTAS[[#This Row],[Comisión 10%]]-VENTAS[[#This Row],[Costo SIN Comision]]</f>
        <v>5.14222222222222</v>
      </c>
      <c r="M295" s="35"/>
    </row>
    <row r="296" ht="20" customHeight="1" spans="1:13">
      <c r="A296" s="29">
        <v>45095</v>
      </c>
      <c r="B296" s="30"/>
      <c r="C296" s="30" t="s">
        <v>3369</v>
      </c>
      <c r="D296" s="30"/>
      <c r="E296" s="30" t="s">
        <v>193</v>
      </c>
      <c r="F296" s="34" t="str">
        <f>IFERROR(VLOOKUP(VENTAS[[#This Row],[Código del producto Vendido]],STOCK[],5,FALSE),"-")</f>
        <v>Pantalones de pierna ancha de talle alto con abertura</v>
      </c>
      <c r="G296" s="34">
        <v>1</v>
      </c>
      <c r="H296" s="35">
        <v>0</v>
      </c>
      <c r="I296" s="35">
        <f>VENTAS[[#This Row],[Cantidad]]*VENTAS[[#This Row],[Precio Venta]]</f>
        <v>0</v>
      </c>
      <c r="J296" s="35">
        <f>IF(VENTAS[[#This Row],[Nombre del Gestor]]&gt;1,VENTAS[[#This Row],[Total]]*10%,0)</f>
        <v>0</v>
      </c>
      <c r="K296" s="35">
        <f>IFERROR(VLOOKUP(VENTAS[[#This Row],[Código del producto Vendido]],STOCK[],16,FALSE)*VENTAS[[#This Row],[Cantidad]]+VLOOKUP(VENTAS[[#This Row],[Código del producto Vendido]],STOCK[],19,FALSE)*VENTAS[[#This Row],[Cantidad]],VENTAS[[#This Row],[Total]])</f>
        <v>13.1511111111111</v>
      </c>
      <c r="L296" s="35">
        <f>VENTAS[[#This Row],[Total]]-VENTAS[[#This Row],[Comisión 10%]]-VENTAS[[#This Row],[Costo SIN Comision]]</f>
        <v>-13.1511111111111</v>
      </c>
      <c r="M296" s="35"/>
    </row>
    <row r="297" ht="20" customHeight="1" spans="1:13">
      <c r="A297" s="29">
        <v>45096</v>
      </c>
      <c r="B297" s="30"/>
      <c r="C297" s="30"/>
      <c r="D297" s="30"/>
      <c r="E297" s="30" t="s">
        <v>1152</v>
      </c>
      <c r="F297" s="34" t="str">
        <f>IFERROR(VLOOKUP(VENTAS[[#This Row],[Código del producto Vendido]],STOCK[],5,FALSE),"-")</f>
        <v>Top negro tipo cami</v>
      </c>
      <c r="G297" s="34">
        <v>1</v>
      </c>
      <c r="H297" s="35">
        <v>12</v>
      </c>
      <c r="I297" s="35">
        <f>VENTAS[[#This Row],[Cantidad]]*VENTAS[[#This Row],[Precio Venta]]</f>
        <v>12</v>
      </c>
      <c r="J297" s="35">
        <f>IF(VENTAS[[#This Row],[Nombre del Gestor]]&gt;1,VENTAS[[#This Row],[Total]]*10%,0)</f>
        <v>0</v>
      </c>
      <c r="K297" s="35">
        <f>IFERROR(VLOOKUP(VENTAS[[#This Row],[Código del producto Vendido]],STOCK[],16,FALSE)*VENTAS[[#This Row],[Cantidad]]+VLOOKUP(VENTAS[[#This Row],[Código del producto Vendido]],STOCK[],19,FALSE)*VENTAS[[#This Row],[Cantidad]],VENTAS[[#This Row],[Total]])</f>
        <v>7</v>
      </c>
      <c r="L297" s="35">
        <f>VENTAS[[#This Row],[Total]]-VENTAS[[#This Row],[Comisión 10%]]-VENTAS[[#This Row],[Costo SIN Comision]]</f>
        <v>5</v>
      </c>
      <c r="M297" s="35"/>
    </row>
    <row r="298" ht="20" customHeight="1" spans="1:13">
      <c r="A298" s="29">
        <v>45096</v>
      </c>
      <c r="B298" s="30"/>
      <c r="C298" s="30"/>
      <c r="D298" s="30"/>
      <c r="E298" s="30" t="s">
        <v>1126</v>
      </c>
      <c r="F298" s="34" t="str">
        <f>IFERROR(VLOOKUP(VENTAS[[#This Row],[Código del producto Vendido]],STOCK[],5,FALSE),"-")</f>
        <v>Blusa elegante de cuello blanco</v>
      </c>
      <c r="G298" s="34">
        <v>1</v>
      </c>
      <c r="H298" s="35">
        <v>15</v>
      </c>
      <c r="I298" s="35">
        <f>VENTAS[[#This Row],[Cantidad]]*VENTAS[[#This Row],[Precio Venta]]</f>
        <v>15</v>
      </c>
      <c r="J298" s="35">
        <f>IF(VENTAS[[#This Row],[Nombre del Gestor]]&gt;1,VENTAS[[#This Row],[Total]]*10%,0)</f>
        <v>0</v>
      </c>
      <c r="K298" s="35">
        <f>IFERROR(VLOOKUP(VENTAS[[#This Row],[Código del producto Vendido]],STOCK[],16,FALSE)*VENTAS[[#This Row],[Cantidad]]+VLOOKUP(VENTAS[[#This Row],[Código del producto Vendido]],STOCK[],19,FALSE)*VENTAS[[#This Row],[Cantidad]],VENTAS[[#This Row],[Total]])</f>
        <v>11.9764705882353</v>
      </c>
      <c r="L298" s="35">
        <f>VENTAS[[#This Row],[Total]]-VENTAS[[#This Row],[Comisión 10%]]-VENTAS[[#This Row],[Costo SIN Comision]]</f>
        <v>3.02352941176471</v>
      </c>
      <c r="M298" s="35"/>
    </row>
    <row r="299" ht="20" customHeight="1" spans="1:13">
      <c r="A299" s="29">
        <v>45097</v>
      </c>
      <c r="B299" s="30"/>
      <c r="C299" s="30"/>
      <c r="D299" s="30"/>
      <c r="E299" s="30" t="s">
        <v>58</v>
      </c>
      <c r="F299" s="34" t="str">
        <f>IFERROR(VLOOKUP(VENTAS[[#This Row],[Código del producto Vendido]],STOCK[],5,FALSE),"-")</f>
        <v>Bikini Mangas Fuccia</v>
      </c>
      <c r="G299" s="34">
        <v>1</v>
      </c>
      <c r="H299" s="35">
        <v>22</v>
      </c>
      <c r="I299" s="35">
        <f>VENTAS[[#This Row],[Cantidad]]*VENTAS[[#This Row],[Precio Venta]]</f>
        <v>22</v>
      </c>
      <c r="J299" s="35">
        <f>IF(VENTAS[[#This Row],[Nombre del Gestor]]&gt;1,VENTAS[[#This Row],[Total]]*10%,0)</f>
        <v>0</v>
      </c>
      <c r="K299" s="35">
        <f>IFERROR(VLOOKUP(VENTAS[[#This Row],[Código del producto Vendido]],STOCK[],16,FALSE)*VENTAS[[#This Row],[Cantidad]]+VLOOKUP(VENTAS[[#This Row],[Código del producto Vendido]],STOCK[],19,FALSE)*VENTAS[[#This Row],[Cantidad]],VENTAS[[#This Row],[Total]])</f>
        <v>14.495</v>
      </c>
      <c r="L299" s="35">
        <f>VENTAS[[#This Row],[Total]]-VENTAS[[#This Row],[Comisión 10%]]-VENTAS[[#This Row],[Costo SIN Comision]]</f>
        <v>7.505</v>
      </c>
      <c r="M299" s="35"/>
    </row>
    <row r="300" ht="20" customHeight="1" spans="1:13">
      <c r="A300" s="29">
        <v>45097</v>
      </c>
      <c r="B300" s="30"/>
      <c r="C300" s="30"/>
      <c r="D300" s="30"/>
      <c r="E300" s="30" t="s">
        <v>1041</v>
      </c>
      <c r="F300" s="34" t="str">
        <f>IFERROR(VLOOKUP(VENTAS[[#This Row],[Código del producto Vendido]],STOCK[],5,FALSE),"-")</f>
        <v>Jeans Elastizados Pierna Ancha</v>
      </c>
      <c r="G300" s="34">
        <v>1</v>
      </c>
      <c r="H300" s="35">
        <v>35</v>
      </c>
      <c r="I300" s="35">
        <f>VENTAS[[#This Row],[Cantidad]]*VENTAS[[#This Row],[Precio Venta]]</f>
        <v>35</v>
      </c>
      <c r="J300" s="35">
        <f>IF(VENTAS[[#This Row],[Nombre del Gestor]]&gt;1,VENTAS[[#This Row],[Total]]*10%,0)</f>
        <v>0</v>
      </c>
      <c r="K300" s="35">
        <f>IFERROR(VLOOKUP(VENTAS[[#This Row],[Código del producto Vendido]],STOCK[],16,FALSE)*VENTAS[[#This Row],[Cantidad]]+VLOOKUP(VENTAS[[#This Row],[Código del producto Vendido]],STOCK[],19,FALSE)*VENTAS[[#This Row],[Cantidad]],VENTAS[[#This Row],[Total]])</f>
        <v>27.5227272727273</v>
      </c>
      <c r="L300" s="35">
        <f>VENTAS[[#This Row],[Total]]-VENTAS[[#This Row],[Comisión 10%]]-VENTAS[[#This Row],[Costo SIN Comision]]</f>
        <v>7.4772727272727</v>
      </c>
      <c r="M300" s="35"/>
    </row>
    <row r="301" ht="20" customHeight="1" spans="1:13">
      <c r="A301" s="29">
        <v>45097</v>
      </c>
      <c r="B301" s="30"/>
      <c r="C301" s="30"/>
      <c r="D301" s="30"/>
      <c r="E301" s="30" t="s">
        <v>1005</v>
      </c>
      <c r="F301" s="34" t="str">
        <f>IFERROR(VLOOKUP(VENTAS[[#This Row],[Código del producto Vendido]],STOCK[],5,FALSE),"-")</f>
        <v>Bañador una pieza con estampado de planta cremallera</v>
      </c>
      <c r="G301" s="34">
        <v>1</v>
      </c>
      <c r="H301" s="35">
        <v>25</v>
      </c>
      <c r="I301" s="35">
        <f>VENTAS[[#This Row],[Cantidad]]*VENTAS[[#This Row],[Precio Venta]]</f>
        <v>25</v>
      </c>
      <c r="J301" s="35">
        <f>IF(VENTAS[[#This Row],[Nombre del Gestor]]&gt;1,VENTAS[[#This Row],[Total]]*10%,0)</f>
        <v>0</v>
      </c>
      <c r="K301" s="35">
        <f>IFERROR(VLOOKUP(VENTAS[[#This Row],[Código del producto Vendido]],STOCK[],16,FALSE)*VENTAS[[#This Row],[Cantidad]]+VLOOKUP(VENTAS[[#This Row],[Código del producto Vendido]],STOCK[],19,FALSE)*VENTAS[[#This Row],[Cantidad]],VENTAS[[#This Row],[Total]])</f>
        <v>14.6454545454545</v>
      </c>
      <c r="L301" s="35">
        <f>VENTAS[[#This Row],[Total]]-VENTAS[[#This Row],[Comisión 10%]]-VENTAS[[#This Row],[Costo SIN Comision]]</f>
        <v>10.3545454545455</v>
      </c>
      <c r="M301" s="35"/>
    </row>
    <row r="302" ht="20" customHeight="1" spans="1:13">
      <c r="A302" s="29">
        <v>45097</v>
      </c>
      <c r="B302" s="30"/>
      <c r="C302" s="30"/>
      <c r="D302" s="30"/>
      <c r="E302" s="30" t="s">
        <v>839</v>
      </c>
      <c r="F302" s="34" t="str">
        <f>IFERROR(VLOOKUP(VENTAS[[#This Row],[Código del producto Vendido]],STOCK[],5,FALSE),"-")</f>
        <v>Pareo corazón</v>
      </c>
      <c r="G302" s="34">
        <v>1</v>
      </c>
      <c r="H302" s="35">
        <v>10</v>
      </c>
      <c r="I302" s="35">
        <f>VENTAS[[#This Row],[Cantidad]]*VENTAS[[#This Row],[Precio Venta]]</f>
        <v>10</v>
      </c>
      <c r="J302" s="35">
        <f>IF(VENTAS[[#This Row],[Nombre del Gestor]]&gt;1,VENTAS[[#This Row],[Total]]*10%,0)</f>
        <v>0</v>
      </c>
      <c r="K302" s="35">
        <f>IFERROR(VLOOKUP(VENTAS[[#This Row],[Código del producto Vendido]],STOCK[],16,FALSE)*VENTAS[[#This Row],[Cantidad]]+VLOOKUP(VENTAS[[#This Row],[Código del producto Vendido]],STOCK[],19,FALSE)*VENTAS[[#This Row],[Cantidad]],VENTAS[[#This Row],[Total]])</f>
        <v>3.67777777777778</v>
      </c>
      <c r="L302" s="35">
        <f>VENTAS[[#This Row],[Total]]-VENTAS[[#This Row],[Comisión 10%]]-VENTAS[[#This Row],[Costo SIN Comision]]</f>
        <v>6.32222222222222</v>
      </c>
      <c r="M302" s="35"/>
    </row>
    <row r="303" s="22" customFormat="1" ht="20" customHeight="1" spans="1:13">
      <c r="A303" s="40">
        <v>45097</v>
      </c>
      <c r="B303" s="41"/>
      <c r="C303" s="41"/>
      <c r="D303" s="41"/>
      <c r="E303" s="41" t="s">
        <v>758</v>
      </c>
      <c r="F303" s="43" t="str">
        <f>IFERROR(VLOOKUP(VENTAS[[#This Row],[Código del producto Vendido]],STOCK[],5,FALSE),"-")</f>
        <v>Sandalias Trenzadas</v>
      </c>
      <c r="G303" s="43">
        <v>1</v>
      </c>
      <c r="H303" s="44">
        <v>35</v>
      </c>
      <c r="I303" s="44">
        <f>VENTAS[[#This Row],[Cantidad]]*VENTAS[[#This Row],[Precio Venta]]</f>
        <v>35</v>
      </c>
      <c r="J303" s="44">
        <f>IF(VENTAS[[#This Row],[Nombre del Gestor]]&gt;1,VENTAS[[#This Row],[Total]]*10%,0)</f>
        <v>0</v>
      </c>
      <c r="K303" s="35">
        <f>IFERROR(VLOOKUP(VENTAS[[#This Row],[Código del producto Vendido]],STOCK[],16,FALSE)*VENTAS[[#This Row],[Cantidad]]+VLOOKUP(VENTAS[[#This Row],[Código del producto Vendido]],STOCK[],19,FALSE)*VENTAS[[#This Row],[Cantidad]],VENTAS[[#This Row],[Total]])</f>
        <v>27</v>
      </c>
      <c r="L303" s="35">
        <f>VENTAS[[#This Row],[Total]]-VENTAS[[#This Row],[Comisión 10%]]-VENTAS[[#This Row],[Costo SIN Comision]]</f>
        <v>8</v>
      </c>
      <c r="M303" s="44"/>
    </row>
    <row r="304" ht="20" customHeight="1" spans="1:13">
      <c r="A304" s="40">
        <v>45100</v>
      </c>
      <c r="B304" s="41" t="s">
        <v>3370</v>
      </c>
      <c r="C304" s="41" t="s">
        <v>3371</v>
      </c>
      <c r="D304" s="41"/>
      <c r="E304" s="41" t="s">
        <v>156</v>
      </c>
      <c r="F304" s="43" t="str">
        <f>IFERROR(VLOOKUP(VENTAS[[#This Row],[Código del producto Vendido]],STOCK[],5,FALSE),"-")</f>
        <v>Jeans de pierna recta desgarro</v>
      </c>
      <c r="G304" s="43">
        <v>1</v>
      </c>
      <c r="H304" s="44">
        <v>30</v>
      </c>
      <c r="I304" s="44">
        <f>VENTAS[[#This Row],[Cantidad]]*VENTAS[[#This Row],[Precio Venta]]</f>
        <v>30</v>
      </c>
      <c r="J304" s="44">
        <f>IF(VENTAS[[#This Row],[Nombre del Gestor]]&gt;1,VENTAS[[#This Row],[Total]]*10%,0)</f>
        <v>0</v>
      </c>
      <c r="K304" s="35">
        <f>IFERROR(VLOOKUP(VENTAS[[#This Row],[Código del producto Vendido]],STOCK[],16,FALSE)*VENTAS[[#This Row],[Cantidad]]+VLOOKUP(VENTAS[[#This Row],[Código del producto Vendido]],STOCK[],19,FALSE)*VENTAS[[#This Row],[Cantidad]],VENTAS[[#This Row],[Total]])</f>
        <v>18.6866666666667</v>
      </c>
      <c r="L304" s="35">
        <f>VENTAS[[#This Row],[Total]]-VENTAS[[#This Row],[Comisión 10%]]-VENTAS[[#This Row],[Costo SIN Comision]]</f>
        <v>11.3133333333333</v>
      </c>
      <c r="M304" s="35"/>
    </row>
    <row r="305" ht="20" customHeight="1" spans="1:13">
      <c r="A305" s="29">
        <v>45106</v>
      </c>
      <c r="B305" s="30"/>
      <c r="C305" s="30"/>
      <c r="D305" s="30"/>
      <c r="E305" s="30" t="s">
        <v>1043</v>
      </c>
      <c r="F305" s="34" t="str">
        <f>IFERROR(VLOOKUP(VENTAS[[#This Row],[Código del producto Vendido]],STOCK[],5,FALSE),"-")</f>
        <v>Jeans Ajustados Claro</v>
      </c>
      <c r="G305" s="34">
        <v>1</v>
      </c>
      <c r="H305" s="35">
        <v>35</v>
      </c>
      <c r="I305" s="35">
        <f>VENTAS[[#This Row],[Cantidad]]*VENTAS[[#This Row],[Precio Venta]]</f>
        <v>35</v>
      </c>
      <c r="J305" s="35">
        <f>IF(VENTAS[[#This Row],[Nombre del Gestor]]&gt;1,VENTAS[[#This Row],[Total]]*10%,0)</f>
        <v>0</v>
      </c>
      <c r="K305" s="35">
        <f>IFERROR(VLOOKUP(VENTAS[[#This Row],[Código del producto Vendido]],STOCK[],16,FALSE)*VENTAS[[#This Row],[Cantidad]]+VLOOKUP(VENTAS[[#This Row],[Código del producto Vendido]],STOCK[],19,FALSE)*VENTAS[[#This Row],[Cantidad]],VENTAS[[#This Row],[Total]])</f>
        <v>25.8181818181818</v>
      </c>
      <c r="L305" s="35">
        <f>VENTAS[[#This Row],[Total]]-VENTAS[[#This Row],[Comisión 10%]]-VENTAS[[#This Row],[Costo SIN Comision]]</f>
        <v>9.1818181818182</v>
      </c>
      <c r="M305" s="35"/>
    </row>
    <row r="306" ht="20" customHeight="1" spans="1:13">
      <c r="A306" s="29">
        <v>45106</v>
      </c>
      <c r="B306" s="30"/>
      <c r="C306" s="30"/>
      <c r="D306" s="30"/>
      <c r="E306" s="30" t="s">
        <v>706</v>
      </c>
      <c r="F306" s="34" t="str">
        <f>IFERROR(VLOOKUP(VENTAS[[#This Row],[Código del producto Vendido]],STOCK[],5,FALSE),"-")</f>
        <v>Top bandeau</v>
      </c>
      <c r="G306" s="34">
        <v>1</v>
      </c>
      <c r="H306" s="35">
        <v>15</v>
      </c>
      <c r="I306" s="35">
        <f>VENTAS[[#This Row],[Cantidad]]*VENTAS[[#This Row],[Precio Venta]]</f>
        <v>15</v>
      </c>
      <c r="J306" s="35">
        <f>IF(VENTAS[[#This Row],[Nombre del Gestor]]&gt;1,VENTAS[[#This Row],[Total]]*10%,0)</f>
        <v>0</v>
      </c>
      <c r="K306" s="35">
        <f>IFERROR(VLOOKUP(VENTAS[[#This Row],[Código del producto Vendido]],STOCK[],16,FALSE)*VENTAS[[#This Row],[Cantidad]]+VLOOKUP(VENTAS[[#This Row],[Código del producto Vendido]],STOCK[],19,FALSE)*VENTAS[[#This Row],[Cantidad]],VENTAS[[#This Row],[Total]])</f>
        <v>11.4</v>
      </c>
      <c r="L306" s="35">
        <f>VENTAS[[#This Row],[Total]]-VENTAS[[#This Row],[Comisión 10%]]-VENTAS[[#This Row],[Costo SIN Comision]]</f>
        <v>3.6</v>
      </c>
      <c r="M306" s="35"/>
    </row>
    <row r="307" ht="20" customHeight="1" spans="1:13">
      <c r="A307" s="29">
        <v>45107</v>
      </c>
      <c r="B307" s="30"/>
      <c r="C307" s="30"/>
      <c r="D307" s="30"/>
      <c r="E307" s="30" t="s">
        <v>1080</v>
      </c>
      <c r="F307" s="34" t="str">
        <f>IFERROR(VLOOKUP(VENTAS[[#This Row],[Código del producto Vendido]],STOCK[],5,FALSE),"-")</f>
        <v>Vestido floreado a un hombro</v>
      </c>
      <c r="G307" s="34">
        <v>1</v>
      </c>
      <c r="H307" s="35">
        <v>35</v>
      </c>
      <c r="I307" s="35">
        <f>VENTAS[[#This Row],[Cantidad]]*VENTAS[[#This Row],[Precio Venta]]</f>
        <v>35</v>
      </c>
      <c r="J307" s="35">
        <f>IF(VENTAS[[#This Row],[Nombre del Gestor]]&gt;1,VENTAS[[#This Row],[Total]]*10%,0)</f>
        <v>0</v>
      </c>
      <c r="K307" s="35">
        <f>IFERROR(VLOOKUP(VENTAS[[#This Row],[Código del producto Vendido]],STOCK[],16,FALSE)*VENTAS[[#This Row],[Cantidad]]+VLOOKUP(VENTAS[[#This Row],[Código del producto Vendido]],STOCK[],19,FALSE)*VENTAS[[#This Row],[Cantidad]],VENTAS[[#This Row],[Total]])</f>
        <v>22.3014705882353</v>
      </c>
      <c r="L307" s="35">
        <f>VENTAS[[#This Row],[Total]]-VENTAS[[#This Row],[Comisión 10%]]-VENTAS[[#This Row],[Costo SIN Comision]]</f>
        <v>12.6985294117647</v>
      </c>
      <c r="M307" s="35"/>
    </row>
    <row r="308" ht="20" customHeight="1" spans="1:13">
      <c r="A308" s="29">
        <v>45107</v>
      </c>
      <c r="B308" s="30"/>
      <c r="C308" s="30"/>
      <c r="D308" s="30"/>
      <c r="E308" s="30" t="s">
        <v>983</v>
      </c>
      <c r="F308" s="34" t="str">
        <f>IFERROR(VLOOKUP(VENTAS[[#This Row],[Código del producto Vendido]],STOCK[],5,FALSE),"-")</f>
        <v>Vestido con abertura</v>
      </c>
      <c r="G308" s="34">
        <v>1</v>
      </c>
      <c r="H308" s="35">
        <v>22</v>
      </c>
      <c r="I308" s="35">
        <f>VENTAS[[#This Row],[Cantidad]]*VENTAS[[#This Row],[Precio Venta]]</f>
        <v>22</v>
      </c>
      <c r="J308" s="35">
        <f>IF(VENTAS[[#This Row],[Nombre del Gestor]]&gt;1,VENTAS[[#This Row],[Total]]*10%,0)</f>
        <v>0</v>
      </c>
      <c r="K308" s="35">
        <f>IFERROR(VLOOKUP(VENTAS[[#This Row],[Código del producto Vendido]],STOCK[],16,FALSE)*VENTAS[[#This Row],[Cantidad]]+VLOOKUP(VENTAS[[#This Row],[Código del producto Vendido]],STOCK[],19,FALSE)*VENTAS[[#This Row],[Cantidad]],VENTAS[[#This Row],[Total]])</f>
        <v>15.5277272727273</v>
      </c>
      <c r="L308" s="35">
        <f>VENTAS[[#This Row],[Total]]-VENTAS[[#This Row],[Comisión 10%]]-VENTAS[[#This Row],[Costo SIN Comision]]</f>
        <v>6.4722727272727</v>
      </c>
      <c r="M308" s="35"/>
    </row>
    <row r="309" ht="20" customHeight="1" spans="1:13">
      <c r="A309" s="29">
        <v>45103</v>
      </c>
      <c r="B309" s="30"/>
      <c r="C309" s="30"/>
      <c r="D309" s="30"/>
      <c r="E309" s="30" t="s">
        <v>950</v>
      </c>
      <c r="F309" s="34" t="str">
        <f>IFERROR(VLOOKUP(VENTAS[[#This Row],[Código del producto Vendido]],STOCK[],5,FALSE),"-")</f>
        <v> Pantaloneta Verde</v>
      </c>
      <c r="G309" s="34">
        <v>1</v>
      </c>
      <c r="H309" s="35">
        <v>25</v>
      </c>
      <c r="I309" s="35">
        <f>VENTAS[[#This Row],[Cantidad]]*VENTAS[[#This Row],[Precio Venta]]</f>
        <v>25</v>
      </c>
      <c r="J309" s="35">
        <f>IF(VENTAS[[#This Row],[Nombre del Gestor]]&gt;1,VENTAS[[#This Row],[Total]]*10%,0)</f>
        <v>0</v>
      </c>
      <c r="K309" s="35">
        <f>IFERROR(VLOOKUP(VENTAS[[#This Row],[Código del producto Vendido]],STOCK[],16,FALSE)*VENTAS[[#This Row],[Cantidad]]+VLOOKUP(VENTAS[[#This Row],[Código del producto Vendido]],STOCK[],19,FALSE)*VENTAS[[#This Row],[Cantidad]],VENTAS[[#This Row],[Total]])</f>
        <v>14.8713636363636</v>
      </c>
      <c r="L309" s="35">
        <f>VENTAS[[#This Row],[Total]]-VENTAS[[#This Row],[Comisión 10%]]-VENTAS[[#This Row],[Costo SIN Comision]]</f>
        <v>10.1286363636364</v>
      </c>
      <c r="M309" s="35"/>
    </row>
    <row r="310" ht="20" customHeight="1" spans="1:13">
      <c r="A310" s="29">
        <v>45100</v>
      </c>
      <c r="B310" s="30"/>
      <c r="C310" s="30"/>
      <c r="D310" s="30"/>
      <c r="E310" s="30" t="s">
        <v>898</v>
      </c>
      <c r="F310" s="34" t="str">
        <f>IFERROR(VLOOKUP(VENTAS[[#This Row],[Código del producto Vendido]],STOCK[],5,FALSE),"-")</f>
        <v>Bañador con adorno de malla</v>
      </c>
      <c r="G310" s="34">
        <v>1</v>
      </c>
      <c r="H310" s="35">
        <v>25</v>
      </c>
      <c r="I310" s="35">
        <f>VENTAS[[#This Row],[Cantidad]]*VENTAS[[#This Row],[Precio Venta]]</f>
        <v>25</v>
      </c>
      <c r="J310" s="35">
        <f>IF(VENTAS[[#This Row],[Nombre del Gestor]]&gt;1,VENTAS[[#This Row],[Total]]*10%,0)</f>
        <v>0</v>
      </c>
      <c r="K310" s="35">
        <f>IFERROR(VLOOKUP(VENTAS[[#This Row],[Código del producto Vendido]],STOCK[],16,FALSE)*VENTAS[[#This Row],[Cantidad]]+VLOOKUP(VENTAS[[#This Row],[Código del producto Vendido]],STOCK[],19,FALSE)*VENTAS[[#This Row],[Cantidad]],VENTAS[[#This Row],[Total]])</f>
        <v>15.3295454545455</v>
      </c>
      <c r="L310" s="35">
        <f>VENTAS[[#This Row],[Total]]-VENTAS[[#This Row],[Comisión 10%]]-VENTAS[[#This Row],[Costo SIN Comision]]</f>
        <v>9.6704545454545</v>
      </c>
      <c r="M310" s="35"/>
    </row>
    <row r="311" ht="20" customHeight="1" spans="1:13">
      <c r="A311" s="29">
        <v>45103</v>
      </c>
      <c r="B311" s="30"/>
      <c r="C311" s="30"/>
      <c r="D311" s="30"/>
      <c r="E311" s="30" t="s">
        <v>904</v>
      </c>
      <c r="F311" s="34" t="str">
        <f>IFERROR(VLOOKUP(VENTAS[[#This Row],[Código del producto Vendido]],STOCK[],5,FALSE),"-")</f>
        <v>Bikini Floral</v>
      </c>
      <c r="G311" s="34">
        <v>1</v>
      </c>
      <c r="H311" s="35">
        <v>28</v>
      </c>
      <c r="I311" s="35">
        <f>VENTAS[[#This Row],[Cantidad]]*VENTAS[[#This Row],[Precio Venta]]</f>
        <v>28</v>
      </c>
      <c r="J311" s="35">
        <f>IF(VENTAS[[#This Row],[Nombre del Gestor]]&gt;1,VENTAS[[#This Row],[Total]]*10%,0)</f>
        <v>0</v>
      </c>
      <c r="K311" s="35">
        <f>IFERROR(VLOOKUP(VENTAS[[#This Row],[Código del producto Vendido]],STOCK[],16,FALSE)*VENTAS[[#This Row],[Cantidad]]+VLOOKUP(VENTAS[[#This Row],[Código del producto Vendido]],STOCK[],19,FALSE)*VENTAS[[#This Row],[Cantidad]],VENTAS[[#This Row],[Total]])</f>
        <v>17.5127272727273</v>
      </c>
      <c r="L311" s="35">
        <f>VENTAS[[#This Row],[Total]]-VENTAS[[#This Row],[Comisión 10%]]-VENTAS[[#This Row],[Costo SIN Comision]]</f>
        <v>10.4872727272727</v>
      </c>
      <c r="M311" s="35"/>
    </row>
    <row r="312" ht="20" customHeight="1" spans="1:13">
      <c r="A312" s="29">
        <v>45100</v>
      </c>
      <c r="B312" s="30"/>
      <c r="C312" s="30"/>
      <c r="D312" s="30"/>
      <c r="E312" s="30" t="s">
        <v>1090</v>
      </c>
      <c r="F312" s="34" t="str">
        <f>IFERROR(VLOOKUP(VENTAS[[#This Row],[Código del producto Vendido]],STOCK[],5,FALSE),"-")</f>
        <v>Bikini Short con cordón de ajuste</v>
      </c>
      <c r="G312" s="34">
        <v>1</v>
      </c>
      <c r="H312" s="35">
        <v>28</v>
      </c>
      <c r="I312" s="35">
        <f>VENTAS[[#This Row],[Cantidad]]*VENTAS[[#This Row],[Precio Venta]]</f>
        <v>28</v>
      </c>
      <c r="J312" s="35">
        <f>IF(VENTAS[[#This Row],[Nombre del Gestor]]&gt;1,VENTAS[[#This Row],[Total]]*10%,0)</f>
        <v>0</v>
      </c>
      <c r="K312" s="35">
        <f>IFERROR(VLOOKUP(VENTAS[[#This Row],[Código del producto Vendido]],STOCK[],16,FALSE)*VENTAS[[#This Row],[Cantidad]]+VLOOKUP(VENTAS[[#This Row],[Código del producto Vendido]],STOCK[],19,FALSE)*VENTAS[[#This Row],[Cantidad]],VENTAS[[#This Row],[Total]])</f>
        <v>20.4794117647059</v>
      </c>
      <c r="L312" s="35">
        <f>VENTAS[[#This Row],[Total]]-VENTAS[[#This Row],[Comisión 10%]]-VENTAS[[#This Row],[Costo SIN Comision]]</f>
        <v>7.5205882352941</v>
      </c>
      <c r="M312" s="35"/>
    </row>
    <row r="313" ht="20" customHeight="1" spans="1:13">
      <c r="A313" s="29">
        <v>45103</v>
      </c>
      <c r="B313" s="30"/>
      <c r="C313" s="30"/>
      <c r="D313" s="30"/>
      <c r="E313" s="30" t="s">
        <v>1092</v>
      </c>
      <c r="F313" s="34" t="str">
        <f>IFERROR(VLOOKUP(VENTAS[[#This Row],[Código del producto Vendido]],STOCK[],5,FALSE),"-")</f>
        <v>Bikini Short con cordón de ajuste</v>
      </c>
      <c r="G313" s="34">
        <v>1</v>
      </c>
      <c r="H313" s="35">
        <v>28</v>
      </c>
      <c r="I313" s="35">
        <f>VENTAS[[#This Row],[Cantidad]]*VENTAS[[#This Row],[Precio Venta]]</f>
        <v>28</v>
      </c>
      <c r="J313" s="35">
        <f>IF(VENTAS[[#This Row],[Nombre del Gestor]]&gt;1,VENTAS[[#This Row],[Total]]*10%,0)</f>
        <v>0</v>
      </c>
      <c r="K313" s="35">
        <f>IFERROR(VLOOKUP(VENTAS[[#This Row],[Código del producto Vendido]],STOCK[],16,FALSE)*VENTAS[[#This Row],[Cantidad]]+VLOOKUP(VENTAS[[#This Row],[Código del producto Vendido]],STOCK[],19,FALSE)*VENTAS[[#This Row],[Cantidad]],VENTAS[[#This Row],[Total]])</f>
        <v>20.4794117647059</v>
      </c>
      <c r="L313" s="35">
        <f>VENTAS[[#This Row],[Total]]-VENTAS[[#This Row],[Comisión 10%]]-VENTAS[[#This Row],[Costo SIN Comision]]</f>
        <v>7.5205882352941</v>
      </c>
      <c r="M313" s="35"/>
    </row>
    <row r="314" ht="20" customHeight="1" spans="1:13">
      <c r="A314" s="29">
        <v>45100</v>
      </c>
      <c r="B314" s="30"/>
      <c r="C314" s="30"/>
      <c r="D314" s="30"/>
      <c r="E314" s="30" t="s">
        <v>1095</v>
      </c>
      <c r="F314" s="34" t="str">
        <f>IFERROR(VLOOKUP(VENTAS[[#This Row],[Código del producto Vendido]],STOCK[],5,FALSE),"-")</f>
        <v>Bañador en contraste azul</v>
      </c>
      <c r="G314" s="34">
        <v>1</v>
      </c>
      <c r="H314" s="35">
        <v>28</v>
      </c>
      <c r="I314" s="35">
        <f>VENTAS[[#This Row],[Cantidad]]*VENTAS[[#This Row],[Precio Venta]]</f>
        <v>28</v>
      </c>
      <c r="J314" s="35">
        <f>IF(VENTAS[[#This Row],[Nombre del Gestor]]&gt;1,VENTAS[[#This Row],[Total]]*10%,0)</f>
        <v>0</v>
      </c>
      <c r="K314" s="35">
        <f>IFERROR(VLOOKUP(VENTAS[[#This Row],[Código del producto Vendido]],STOCK[],16,FALSE)*VENTAS[[#This Row],[Cantidad]]+VLOOKUP(VENTAS[[#This Row],[Código del producto Vendido]],STOCK[],19,FALSE)*VENTAS[[#This Row],[Cantidad]],VENTAS[[#This Row],[Total]])</f>
        <v>19.3389705882353</v>
      </c>
      <c r="L314" s="35">
        <f>VENTAS[[#This Row],[Total]]-VENTAS[[#This Row],[Comisión 10%]]-VENTAS[[#This Row],[Costo SIN Comision]]</f>
        <v>8.6610294117647</v>
      </c>
      <c r="M314" s="35"/>
    </row>
    <row r="315" ht="20" customHeight="1" spans="1:13">
      <c r="A315" s="29">
        <v>45100</v>
      </c>
      <c r="B315" s="30"/>
      <c r="C315" s="30"/>
      <c r="D315" s="30"/>
      <c r="E315" s="30" t="s">
        <v>1130</v>
      </c>
      <c r="F315" s="34" t="str">
        <f>IFERROR(VLOOKUP(VENTAS[[#This Row],[Código del producto Vendido]],STOCK[],5,FALSE),"-")</f>
        <v>Maxi Vestido espalda corrida</v>
      </c>
      <c r="G315" s="34">
        <v>1</v>
      </c>
      <c r="H315" s="35">
        <v>30</v>
      </c>
      <c r="I315" s="35">
        <f>VENTAS[[#This Row],[Cantidad]]*VENTAS[[#This Row],[Precio Venta]]</f>
        <v>30</v>
      </c>
      <c r="J315" s="35">
        <f>IF(VENTAS[[#This Row],[Nombre del Gestor]]&gt;1,VENTAS[[#This Row],[Total]]*10%,0)</f>
        <v>0</v>
      </c>
      <c r="K315" s="35">
        <f>IFERROR(VLOOKUP(VENTAS[[#This Row],[Código del producto Vendido]],STOCK[],16,FALSE)*VENTAS[[#This Row],[Cantidad]]+VLOOKUP(VENTAS[[#This Row],[Código del producto Vendido]],STOCK[],19,FALSE)*VENTAS[[#This Row],[Cantidad]],VENTAS[[#This Row],[Total]])</f>
        <v>23.6544117647059</v>
      </c>
      <c r="L315" s="35">
        <f>VENTAS[[#This Row],[Total]]-VENTAS[[#This Row],[Comisión 10%]]-VENTAS[[#This Row],[Costo SIN Comision]]</f>
        <v>6.3455882352941</v>
      </c>
      <c r="M315" s="35"/>
    </row>
    <row r="316" ht="20" customHeight="1" spans="1:13">
      <c r="A316" s="29">
        <v>45100</v>
      </c>
      <c r="B316" s="30"/>
      <c r="C316" s="30"/>
      <c r="D316" s="30"/>
      <c r="E316" s="30" t="s">
        <v>905</v>
      </c>
      <c r="F316" s="34" t="str">
        <f>IFERROR(VLOOKUP(VENTAS[[#This Row],[Código del producto Vendido]],STOCK[],5,FALSE),"-")</f>
        <v>Bikini Floral</v>
      </c>
      <c r="G316" s="34">
        <v>1</v>
      </c>
      <c r="H316" s="35">
        <v>28</v>
      </c>
      <c r="I316" s="35">
        <f>VENTAS[[#This Row],[Cantidad]]*VENTAS[[#This Row],[Precio Venta]]</f>
        <v>28</v>
      </c>
      <c r="J316" s="35">
        <f>IF(VENTAS[[#This Row],[Nombre del Gestor]]&gt;1,VENTAS[[#This Row],[Total]]*10%,0)</f>
        <v>0</v>
      </c>
      <c r="K316" s="35">
        <f>IFERROR(VLOOKUP(VENTAS[[#This Row],[Código del producto Vendido]],STOCK[],16,FALSE)*VENTAS[[#This Row],[Cantidad]]+VLOOKUP(VENTAS[[#This Row],[Código del producto Vendido]],STOCK[],19,FALSE)*VENTAS[[#This Row],[Cantidad]],VENTAS[[#This Row],[Total]])</f>
        <v>17.5127272727273</v>
      </c>
      <c r="L316" s="35">
        <f>VENTAS[[#This Row],[Total]]-VENTAS[[#This Row],[Comisión 10%]]-VENTAS[[#This Row],[Costo SIN Comision]]</f>
        <v>10.4872727272727</v>
      </c>
      <c r="M316" s="35"/>
    </row>
    <row r="317" ht="20" customHeight="1" spans="1:13">
      <c r="A317" s="29">
        <v>45133</v>
      </c>
      <c r="B317" s="30"/>
      <c r="C317" s="30"/>
      <c r="D317" s="30"/>
      <c r="E317" s="30" t="s">
        <v>278</v>
      </c>
      <c r="F317" s="34" t="str">
        <f>IFERROR(VLOOKUP(VENTAS[[#This Row],[Código del producto Vendido]],STOCK[],5,FALSE),"-")</f>
        <v>Top de cuello V media manga</v>
      </c>
      <c r="G317" s="34">
        <v>1</v>
      </c>
      <c r="H317" s="35">
        <v>14</v>
      </c>
      <c r="I317" s="35">
        <f>VENTAS[[#This Row],[Cantidad]]*VENTAS[[#This Row],[Precio Venta]]</f>
        <v>14</v>
      </c>
      <c r="J317" s="35">
        <f>IF(VENTAS[[#This Row],[Nombre del Gestor]]&gt;1,VENTAS[[#This Row],[Total]]*10%,0)</f>
        <v>0</v>
      </c>
      <c r="K317" s="35">
        <f>IFERROR(VLOOKUP(VENTAS[[#This Row],[Código del producto Vendido]],STOCK[],16,FALSE)*VENTAS[[#This Row],[Cantidad]]+VLOOKUP(VENTAS[[#This Row],[Código del producto Vendido]],STOCK[],19,FALSE)*VENTAS[[#This Row],[Cantidad]],VENTAS[[#This Row],[Total]])</f>
        <v>6.99555555555556</v>
      </c>
      <c r="L317" s="35">
        <f>VENTAS[[#This Row],[Total]]-VENTAS[[#This Row],[Comisión 10%]]-VENTAS[[#This Row],[Costo SIN Comision]]</f>
        <v>7.00444444444444</v>
      </c>
      <c r="M317" s="35"/>
    </row>
    <row r="318" ht="20" customHeight="1" spans="1:13">
      <c r="A318" s="42">
        <v>45133</v>
      </c>
      <c r="B318" s="30"/>
      <c r="C318" s="30"/>
      <c r="D318" s="30"/>
      <c r="E318" s="30" t="s">
        <v>234</v>
      </c>
      <c r="F318" s="34" t="str">
        <f>IFERROR(VLOOKUP(VENTAS[[#This Row],[Código del producto Vendido]],STOCK[],5,FALSE),"-")</f>
        <v>Top de cuello con cordón de lunares</v>
      </c>
      <c r="G318" s="34">
        <v>1</v>
      </c>
      <c r="H318" s="35">
        <v>12</v>
      </c>
      <c r="I318" s="35">
        <f>VENTAS[[#This Row],[Cantidad]]*VENTAS[[#This Row],[Precio Venta]]</f>
        <v>12</v>
      </c>
      <c r="J318" s="35">
        <f>IF(VENTAS[[#This Row],[Nombre del Gestor]]&gt;1,VENTAS[[#This Row],[Total]]*10%,0)</f>
        <v>0</v>
      </c>
      <c r="K318" s="35">
        <f>IFERROR(VLOOKUP(VENTAS[[#This Row],[Código del producto Vendido]],STOCK[],16,FALSE)*VENTAS[[#This Row],[Cantidad]]+VLOOKUP(VENTAS[[#This Row],[Código del producto Vendido]],STOCK[],19,FALSE)*VENTAS[[#This Row],[Cantidad]],VENTAS[[#This Row],[Total]])</f>
        <v>7.90444444444444</v>
      </c>
      <c r="L318" s="35">
        <f>VENTAS[[#This Row],[Total]]-VENTAS[[#This Row],[Comisión 10%]]-VENTAS[[#This Row],[Costo SIN Comision]]</f>
        <v>4.09555555555556</v>
      </c>
      <c r="M318" s="35"/>
    </row>
    <row r="319" ht="20" customHeight="1" spans="1:13">
      <c r="A319" s="29">
        <v>45108</v>
      </c>
      <c r="B319" s="30"/>
      <c r="C319" s="30"/>
      <c r="D319" s="30"/>
      <c r="E319" s="30" t="s">
        <v>192</v>
      </c>
      <c r="F319" s="34" t="str">
        <f>IFERROR(VLOOKUP(VENTAS[[#This Row],[Código del producto Vendido]],STOCK[],5,FALSE),"-")</f>
        <v>Pantalones de pierna ancha de talle alto con abertura</v>
      </c>
      <c r="G319" s="34">
        <v>1</v>
      </c>
      <c r="H319" s="35">
        <v>22</v>
      </c>
      <c r="I319" s="35">
        <f>VENTAS[[#This Row],[Cantidad]]*VENTAS[[#This Row],[Precio Venta]]</f>
        <v>22</v>
      </c>
      <c r="J319" s="35">
        <f>IF(VENTAS[[#This Row],[Nombre del Gestor]]&gt;1,VENTAS[[#This Row],[Total]]*10%,0)</f>
        <v>0</v>
      </c>
      <c r="K319" s="35">
        <f>IFERROR(VLOOKUP(VENTAS[[#This Row],[Código del producto Vendido]],STOCK[],16,FALSE)*VENTAS[[#This Row],[Cantidad]]+VLOOKUP(VENTAS[[#This Row],[Código del producto Vendido]],STOCK[],19,FALSE)*VENTAS[[#This Row],[Cantidad]],VENTAS[[#This Row],[Total]])</f>
        <v>13.1511111111111</v>
      </c>
      <c r="L319" s="35">
        <f>VENTAS[[#This Row],[Total]]-VENTAS[[#This Row],[Comisión 10%]]-VENTAS[[#This Row],[Costo SIN Comision]]</f>
        <v>8.8488888888889</v>
      </c>
      <c r="M319" s="35"/>
    </row>
    <row r="320" ht="20" customHeight="1" spans="1:13">
      <c r="A320" s="29">
        <v>45107</v>
      </c>
      <c r="B320" s="30"/>
      <c r="C320" s="30"/>
      <c r="D320" s="30"/>
      <c r="E320" s="30" t="s">
        <v>29</v>
      </c>
      <c r="F320" s="34" t="str">
        <f>IFERROR(VLOOKUP(VENTAS[[#This Row],[Código del producto Vendido]],STOCK[],5,FALSE),"-")</f>
        <v>Pareo falda </v>
      </c>
      <c r="G320" s="34">
        <v>1</v>
      </c>
      <c r="H320" s="35">
        <v>8</v>
      </c>
      <c r="I320" s="35">
        <f>VENTAS[[#This Row],[Cantidad]]*VENTAS[[#This Row],[Precio Venta]]</f>
        <v>8</v>
      </c>
      <c r="J320" s="35">
        <f>IF(VENTAS[[#This Row],[Nombre del Gestor]]&gt;1,VENTAS[[#This Row],[Total]]*10%,0)</f>
        <v>0</v>
      </c>
      <c r="K320" s="35">
        <f>IFERROR(VLOOKUP(VENTAS[[#This Row],[Código del producto Vendido]],STOCK[],16,FALSE)*VENTAS[[#This Row],[Cantidad]]+VLOOKUP(VENTAS[[#This Row],[Código del producto Vendido]],STOCK[],19,FALSE)*VENTAS[[#This Row],[Cantidad]],VENTAS[[#This Row],[Total]])</f>
        <v>4.33722222222222</v>
      </c>
      <c r="L320" s="35">
        <f>VENTAS[[#This Row],[Total]]-VENTAS[[#This Row],[Comisión 10%]]-VENTAS[[#This Row],[Costo SIN Comision]]</f>
        <v>3.66277777777778</v>
      </c>
      <c r="M320" s="35"/>
    </row>
    <row r="321" ht="20" customHeight="1" spans="1:13">
      <c r="A321" s="29">
        <v>45108</v>
      </c>
      <c r="B321" s="30"/>
      <c r="C321" s="30"/>
      <c r="D321" s="30"/>
      <c r="E321" s="30" t="s">
        <v>889</v>
      </c>
      <c r="F321" s="34" t="str">
        <f>IFERROR(VLOOKUP(VENTAS[[#This Row],[Código del producto Vendido]],STOCK[],5,FALSE),"-")</f>
        <v>Top Cuello encaje y mangas abombadas</v>
      </c>
      <c r="G321" s="34">
        <v>1</v>
      </c>
      <c r="H321" s="35">
        <v>12</v>
      </c>
      <c r="I321" s="35">
        <f>VENTAS[[#This Row],[Cantidad]]*VENTAS[[#This Row],[Precio Venta]]</f>
        <v>12</v>
      </c>
      <c r="J321" s="35">
        <f>IF(VENTAS[[#This Row],[Nombre del Gestor]]&gt;1,VENTAS[[#This Row],[Total]]*10%,0)</f>
        <v>0</v>
      </c>
      <c r="K321" s="35">
        <f>IFERROR(VLOOKUP(VENTAS[[#This Row],[Código del producto Vendido]],STOCK[],16,FALSE)*VENTAS[[#This Row],[Cantidad]]+VLOOKUP(VENTAS[[#This Row],[Código del producto Vendido]],STOCK[],19,FALSE)*VENTAS[[#This Row],[Cantidad]],VENTAS[[#This Row],[Total]])</f>
        <v>6.35818181818182</v>
      </c>
      <c r="L321" s="35">
        <f>VENTAS[[#This Row],[Total]]-VENTAS[[#This Row],[Comisión 10%]]-VENTAS[[#This Row],[Costo SIN Comision]]</f>
        <v>5.64181818181818</v>
      </c>
      <c r="M321" s="35"/>
    </row>
    <row r="322" ht="20" customHeight="1" spans="1:13">
      <c r="A322" s="29">
        <v>45107</v>
      </c>
      <c r="B322" s="30"/>
      <c r="C322" s="30"/>
      <c r="D322" s="30"/>
      <c r="E322" s="30" t="s">
        <v>911</v>
      </c>
      <c r="F322" s="34" t="str">
        <f>IFERROR(VLOOKUP(VENTAS[[#This Row],[Código del producto Vendido]],STOCK[],5,FALSE),"-")</f>
        <v>Bañador de pierna alta</v>
      </c>
      <c r="G322" s="34">
        <v>1</v>
      </c>
      <c r="H322" s="35">
        <v>28</v>
      </c>
      <c r="I322" s="35">
        <f>VENTAS[[#This Row],[Cantidad]]*VENTAS[[#This Row],[Precio Venta]]</f>
        <v>28</v>
      </c>
      <c r="J322" s="35">
        <f>IF(VENTAS[[#This Row],[Nombre del Gestor]]&gt;1,VENTAS[[#This Row],[Total]]*10%,0)</f>
        <v>0</v>
      </c>
      <c r="K322" s="35">
        <f>IFERROR(VLOOKUP(VENTAS[[#This Row],[Código del producto Vendido]],STOCK[],16,FALSE)*VENTAS[[#This Row],[Cantidad]]+VLOOKUP(VENTAS[[#This Row],[Código del producto Vendido]],STOCK[],19,FALSE)*VENTAS[[#This Row],[Cantidad]],VENTAS[[#This Row],[Total]])</f>
        <v>15.8931818181818</v>
      </c>
      <c r="L322" s="35">
        <f>VENTAS[[#This Row],[Total]]-VENTAS[[#This Row],[Comisión 10%]]-VENTAS[[#This Row],[Costo SIN Comision]]</f>
        <v>12.1068181818182</v>
      </c>
      <c r="M322" s="35"/>
    </row>
    <row r="323" ht="20" customHeight="1" spans="1:13">
      <c r="A323" s="29">
        <v>45133</v>
      </c>
      <c r="B323" s="30"/>
      <c r="C323" s="30"/>
      <c r="D323" s="30"/>
      <c r="E323" s="30" t="s">
        <v>260</v>
      </c>
      <c r="F323" s="34" t="str">
        <f>IFERROR(VLOOKUP(VENTAS[[#This Row],[Código del producto Vendido]],STOCK[],5,FALSE),"-")</f>
        <v>Blusas Botón Floral Casual</v>
      </c>
      <c r="G323" s="34">
        <v>1</v>
      </c>
      <c r="H323" s="35">
        <v>14</v>
      </c>
      <c r="I323" s="35">
        <f>VENTAS[[#This Row],[Cantidad]]*VENTAS[[#This Row],[Precio Venta]]</f>
        <v>14</v>
      </c>
      <c r="J323" s="35">
        <f>IF(VENTAS[[#This Row],[Nombre del Gestor]]&gt;1,VENTAS[[#This Row],[Total]]*10%,0)</f>
        <v>0</v>
      </c>
      <c r="K323" s="35">
        <f>IFERROR(VLOOKUP(VENTAS[[#This Row],[Código del producto Vendido]],STOCK[],16,FALSE)*VENTAS[[#This Row],[Cantidad]]+VLOOKUP(VENTAS[[#This Row],[Código del producto Vendido]],STOCK[],19,FALSE)*VENTAS[[#This Row],[Cantidad]],VENTAS[[#This Row],[Total]])</f>
        <v>8.10222222222222</v>
      </c>
      <c r="L323" s="35">
        <f>VENTAS[[#This Row],[Total]]-VENTAS[[#This Row],[Comisión 10%]]-VENTAS[[#This Row],[Costo SIN Comision]]</f>
        <v>5.89777777777778</v>
      </c>
      <c r="M323" s="35"/>
    </row>
    <row r="324" ht="20" customHeight="1" spans="1:13">
      <c r="A324" s="29">
        <v>45103</v>
      </c>
      <c r="B324" s="30"/>
      <c r="C324" s="30"/>
      <c r="D324" s="30"/>
      <c r="E324" s="30" t="s">
        <v>1028</v>
      </c>
      <c r="F324" s="34" t="str">
        <f>IFERROR(VLOOKUP(VENTAS[[#This Row],[Código del producto Vendido]],STOCK[],5,FALSE),"-")</f>
        <v>Top cuello V Blanco</v>
      </c>
      <c r="G324" s="34">
        <v>1</v>
      </c>
      <c r="H324" s="35">
        <v>12</v>
      </c>
      <c r="I324" s="35">
        <f>VENTAS[[#This Row],[Cantidad]]*VENTAS[[#This Row],[Precio Venta]]</f>
        <v>12</v>
      </c>
      <c r="J324" s="35">
        <f>IF(VENTAS[[#This Row],[Nombre del Gestor]]&gt;1,VENTAS[[#This Row],[Total]]*10%,0)</f>
        <v>0</v>
      </c>
      <c r="K324" s="35">
        <f>IFERROR(VLOOKUP(VENTAS[[#This Row],[Código del producto Vendido]],STOCK[],16,FALSE)*VENTAS[[#This Row],[Cantidad]]+VLOOKUP(VENTAS[[#This Row],[Código del producto Vendido]],STOCK[],19,FALSE)*VENTAS[[#This Row],[Cantidad]],VENTAS[[#This Row],[Total]])</f>
        <v>7.75568181818182</v>
      </c>
      <c r="L324" s="35">
        <f>VENTAS[[#This Row],[Total]]-VENTAS[[#This Row],[Comisión 10%]]-VENTAS[[#This Row],[Costo SIN Comision]]</f>
        <v>4.24431818181818</v>
      </c>
      <c r="M324" s="35"/>
    </row>
    <row r="325" ht="20" customHeight="1" spans="1:13">
      <c r="A325" s="29">
        <v>45108</v>
      </c>
      <c r="B325" s="30"/>
      <c r="C325" s="30"/>
      <c r="D325" s="30"/>
      <c r="E325" s="30" t="s">
        <v>948</v>
      </c>
      <c r="F325" s="34" t="str">
        <f>IFERROR(VLOOKUP(VENTAS[[#This Row],[Código del producto Vendido]],STOCK[],5,FALSE),"-")</f>
        <v> Pantaloneta Verde</v>
      </c>
      <c r="G325" s="34">
        <v>1</v>
      </c>
      <c r="H325" s="35">
        <v>25</v>
      </c>
      <c r="I325" s="35">
        <f>VENTAS[[#This Row],[Cantidad]]*VENTAS[[#This Row],[Precio Venta]]</f>
        <v>25</v>
      </c>
      <c r="J325" s="35">
        <f>IF(VENTAS[[#This Row],[Nombre del Gestor]]&gt;1,VENTAS[[#This Row],[Total]]*10%,0)</f>
        <v>0</v>
      </c>
      <c r="K325" s="35">
        <f>IFERROR(VLOOKUP(VENTAS[[#This Row],[Código del producto Vendido]],STOCK[],16,FALSE)*VENTAS[[#This Row],[Cantidad]]+VLOOKUP(VENTAS[[#This Row],[Código del producto Vendido]],STOCK[],19,FALSE)*VENTAS[[#This Row],[Cantidad]],VENTAS[[#This Row],[Total]])</f>
        <v>14.8713636363636</v>
      </c>
      <c r="L325" s="35">
        <f>VENTAS[[#This Row],[Total]]-VENTAS[[#This Row],[Comisión 10%]]-VENTAS[[#This Row],[Costo SIN Comision]]</f>
        <v>10.1286363636364</v>
      </c>
      <c r="M325" s="35"/>
    </row>
    <row r="326" ht="20" customHeight="1" spans="1:13">
      <c r="A326" s="29">
        <v>45110</v>
      </c>
      <c r="B326" s="30"/>
      <c r="C326" s="30"/>
      <c r="D326" s="30"/>
      <c r="E326" s="30" t="s">
        <v>1092</v>
      </c>
      <c r="F326" s="34" t="str">
        <f>IFERROR(VLOOKUP(VENTAS[[#This Row],[Código del producto Vendido]],STOCK[],5,FALSE),"-")</f>
        <v>Bikini Short con cordón de ajuste</v>
      </c>
      <c r="G326" s="34">
        <v>1</v>
      </c>
      <c r="H326" s="35">
        <v>28</v>
      </c>
      <c r="I326" s="35">
        <f>VENTAS[[#This Row],[Cantidad]]*VENTAS[[#This Row],[Precio Venta]]</f>
        <v>28</v>
      </c>
      <c r="J326" s="35">
        <f>IF(VENTAS[[#This Row],[Nombre del Gestor]]&gt;1,VENTAS[[#This Row],[Total]]*10%,0)</f>
        <v>0</v>
      </c>
      <c r="K326" s="35">
        <f>IFERROR(VLOOKUP(VENTAS[[#This Row],[Código del producto Vendido]],STOCK[],16,FALSE)*VENTAS[[#This Row],[Cantidad]]+VLOOKUP(VENTAS[[#This Row],[Código del producto Vendido]],STOCK[],19,FALSE)*VENTAS[[#This Row],[Cantidad]],VENTAS[[#This Row],[Total]])</f>
        <v>20.4794117647059</v>
      </c>
      <c r="L326" s="35">
        <f>VENTAS[[#This Row],[Total]]-VENTAS[[#This Row],[Comisión 10%]]-VENTAS[[#This Row],[Costo SIN Comision]]</f>
        <v>7.5205882352941</v>
      </c>
      <c r="M326" s="35"/>
    </row>
    <row r="327" ht="20" customHeight="1" spans="1:13">
      <c r="A327" s="29">
        <v>45113</v>
      </c>
      <c r="B327" s="30"/>
      <c r="C327" s="30"/>
      <c r="D327" s="30"/>
      <c r="E327" s="30" t="s">
        <v>1049</v>
      </c>
      <c r="F327" s="34" t="str">
        <f>IFERROR(VLOOKUP(VENTAS[[#This Row],[Código del producto Vendido]],STOCK[],5,FALSE),"-")</f>
        <v>Pantaloneta Camel</v>
      </c>
      <c r="G327" s="34">
        <v>1</v>
      </c>
      <c r="H327" s="35">
        <v>30</v>
      </c>
      <c r="I327" s="35">
        <f>VENTAS[[#This Row],[Cantidad]]*VENTAS[[#This Row],[Precio Venta]]</f>
        <v>30</v>
      </c>
      <c r="J327" s="35">
        <f>IF(VENTAS[[#This Row],[Nombre del Gestor]]&gt;1,VENTAS[[#This Row],[Total]]*10%,0)</f>
        <v>0</v>
      </c>
      <c r="K327" s="35">
        <f>IFERROR(VLOOKUP(VENTAS[[#This Row],[Código del producto Vendido]],STOCK[],16,FALSE)*VENTAS[[#This Row],[Cantidad]]+VLOOKUP(VENTAS[[#This Row],[Código del producto Vendido]],STOCK[],19,FALSE)*VENTAS[[#This Row],[Cantidad]],VENTAS[[#This Row],[Total]])</f>
        <v>18.6477272727273</v>
      </c>
      <c r="L327" s="35">
        <f>VENTAS[[#This Row],[Total]]-VENTAS[[#This Row],[Comisión 10%]]-VENTAS[[#This Row],[Costo SIN Comision]]</f>
        <v>11.3522727272727</v>
      </c>
      <c r="M327" s="35"/>
    </row>
    <row r="328" ht="20" customHeight="1" spans="1:13">
      <c r="A328" s="29">
        <v>45113</v>
      </c>
      <c r="B328" s="30"/>
      <c r="C328" s="30"/>
      <c r="D328" s="30"/>
      <c r="E328" s="30" t="s">
        <v>905</v>
      </c>
      <c r="F328" s="34" t="str">
        <f>IFERROR(VLOOKUP(VENTAS[[#This Row],[Código del producto Vendido]],STOCK[],5,FALSE),"-")</f>
        <v>Bikini Floral</v>
      </c>
      <c r="G328" s="34">
        <v>1</v>
      </c>
      <c r="H328" s="35">
        <v>28</v>
      </c>
      <c r="I328" s="35">
        <f>VENTAS[[#This Row],[Cantidad]]*VENTAS[[#This Row],[Precio Venta]]</f>
        <v>28</v>
      </c>
      <c r="J328" s="35">
        <f>IF(VENTAS[[#This Row],[Nombre del Gestor]]&gt;1,VENTAS[[#This Row],[Total]]*10%,0)</f>
        <v>0</v>
      </c>
      <c r="K328" s="35">
        <f>IFERROR(VLOOKUP(VENTAS[[#This Row],[Código del producto Vendido]],STOCK[],16,FALSE)*VENTAS[[#This Row],[Cantidad]]+VLOOKUP(VENTAS[[#This Row],[Código del producto Vendido]],STOCK[],19,FALSE)*VENTAS[[#This Row],[Cantidad]],VENTAS[[#This Row],[Total]])</f>
        <v>17.5127272727273</v>
      </c>
      <c r="L328" s="35">
        <f>VENTAS[[#This Row],[Total]]-VENTAS[[#This Row],[Comisión 10%]]-VENTAS[[#This Row],[Costo SIN Comision]]</f>
        <v>10.4872727272727</v>
      </c>
      <c r="M328" s="35"/>
    </row>
    <row r="329" ht="20" customHeight="1" spans="1:13">
      <c r="A329" s="29">
        <v>45114</v>
      </c>
      <c r="B329" s="30"/>
      <c r="C329" s="30"/>
      <c r="D329" s="30"/>
      <c r="E329" s="30" t="s">
        <v>1097</v>
      </c>
      <c r="F329" s="34" t="str">
        <f>IFERROR(VLOOKUP(VENTAS[[#This Row],[Código del producto Vendido]],STOCK[],5,FALSE),"-")</f>
        <v>Bañador en contraste azul</v>
      </c>
      <c r="G329" s="34">
        <v>1</v>
      </c>
      <c r="H329" s="35">
        <v>28</v>
      </c>
      <c r="I329" s="35">
        <f>VENTAS[[#This Row],[Cantidad]]*VENTAS[[#This Row],[Precio Venta]]</f>
        <v>28</v>
      </c>
      <c r="J329" s="35">
        <f>IF(VENTAS[[#This Row],[Nombre del Gestor]]&gt;1,VENTAS[[#This Row],[Total]]*10%,0)</f>
        <v>0</v>
      </c>
      <c r="K329" s="35">
        <f>IFERROR(VLOOKUP(VENTAS[[#This Row],[Código del producto Vendido]],STOCK[],16,FALSE)*VENTAS[[#This Row],[Cantidad]]+VLOOKUP(VENTAS[[#This Row],[Código del producto Vendido]],STOCK[],19,FALSE)*VENTAS[[#This Row],[Cantidad]],VENTAS[[#This Row],[Total]])</f>
        <v>19.3389705882353</v>
      </c>
      <c r="L329" s="35">
        <f>VENTAS[[#This Row],[Total]]-VENTAS[[#This Row],[Comisión 10%]]-VENTAS[[#This Row],[Costo SIN Comision]]</f>
        <v>8.6610294117647</v>
      </c>
      <c r="M329" s="35"/>
    </row>
    <row r="330" ht="20" customHeight="1" spans="1:13">
      <c r="A330" s="29">
        <v>45111</v>
      </c>
      <c r="B330" s="30"/>
      <c r="C330" s="30"/>
      <c r="D330" s="30"/>
      <c r="E330" s="30" t="s">
        <v>243</v>
      </c>
      <c r="F330" s="34" t="str">
        <f>IFERROR(VLOOKUP(VENTAS[[#This Row],[Código del producto Vendido]],STOCK[],5,FALSE),"-")</f>
        <v>Blusa de manga mariposa escote V</v>
      </c>
      <c r="G330" s="34">
        <v>1</v>
      </c>
      <c r="H330" s="35">
        <v>14</v>
      </c>
      <c r="I330" s="35">
        <f>VENTAS[[#This Row],[Cantidad]]*VENTAS[[#This Row],[Precio Venta]]</f>
        <v>14</v>
      </c>
      <c r="J330" s="35">
        <f>IF(VENTAS[[#This Row],[Nombre del Gestor]]&gt;1,VENTAS[[#This Row],[Total]]*10%,0)</f>
        <v>0</v>
      </c>
      <c r="K330" s="35">
        <f>IFERROR(VLOOKUP(VENTAS[[#This Row],[Código del producto Vendido]],STOCK[],16,FALSE)*VENTAS[[#This Row],[Cantidad]]+VLOOKUP(VENTAS[[#This Row],[Código del producto Vendido]],STOCK[],19,FALSE)*VENTAS[[#This Row],[Cantidad]],VENTAS[[#This Row],[Total]])</f>
        <v>9.10444444444444</v>
      </c>
      <c r="L330" s="35">
        <f>VENTAS[[#This Row],[Total]]-VENTAS[[#This Row],[Comisión 10%]]-VENTAS[[#This Row],[Costo SIN Comision]]</f>
        <v>4.89555555555556</v>
      </c>
      <c r="M330" s="35"/>
    </row>
    <row r="331" ht="20" customHeight="1" spans="1:13">
      <c r="A331" s="29">
        <v>45116</v>
      </c>
      <c r="B331" s="30"/>
      <c r="C331" s="30"/>
      <c r="D331" s="30"/>
      <c r="E331" s="30" t="s">
        <v>61</v>
      </c>
      <c r="F331" s="34" t="str">
        <f>IFERROR(VLOOKUP(VENTAS[[#This Row],[Código del producto Vendido]],STOCK[],5,FALSE),"-")</f>
        <v>Bikini Mangas Fuccia</v>
      </c>
      <c r="G331" s="34">
        <v>1</v>
      </c>
      <c r="H331" s="35">
        <v>22</v>
      </c>
      <c r="I331" s="35">
        <f>VENTAS[[#This Row],[Cantidad]]*VENTAS[[#This Row],[Precio Venta]]</f>
        <v>22</v>
      </c>
      <c r="J331" s="35">
        <f>IF(VENTAS[[#This Row],[Nombre del Gestor]]&gt;1,VENTAS[[#This Row],[Total]]*10%,0)</f>
        <v>0</v>
      </c>
      <c r="K331" s="35">
        <f>IFERROR(VLOOKUP(VENTAS[[#This Row],[Código del producto Vendido]],STOCK[],16,FALSE)*VENTAS[[#This Row],[Cantidad]]+VLOOKUP(VENTAS[[#This Row],[Código del producto Vendido]],STOCK[],19,FALSE)*VENTAS[[#This Row],[Cantidad]],VENTAS[[#This Row],[Total]])</f>
        <v>14.495</v>
      </c>
      <c r="L331" s="35">
        <f>VENTAS[[#This Row],[Total]]-VENTAS[[#This Row],[Comisión 10%]]-VENTAS[[#This Row],[Costo SIN Comision]]</f>
        <v>7.505</v>
      </c>
      <c r="M331" s="35"/>
    </row>
    <row r="332" ht="20" customHeight="1" spans="1:13">
      <c r="A332" s="29">
        <v>45111</v>
      </c>
      <c r="B332" s="30"/>
      <c r="C332" s="30"/>
      <c r="D332" s="30"/>
      <c r="E332" s="30" t="s">
        <v>408</v>
      </c>
      <c r="F332" s="34" t="str">
        <f>IFERROR(VLOOKUP(VENTAS[[#This Row],[Código del producto Vendido]],STOCK[],5,FALSE),"-")</f>
        <v>Bañador una pieza de color combinado </v>
      </c>
      <c r="G332" s="34">
        <v>1</v>
      </c>
      <c r="H332" s="35">
        <v>20</v>
      </c>
      <c r="I332" s="35">
        <f>VENTAS[[#This Row],[Cantidad]]*VENTAS[[#This Row],[Precio Venta]]</f>
        <v>20</v>
      </c>
      <c r="J332" s="35">
        <f>IF(VENTAS[[#This Row],[Nombre del Gestor]]&gt;1,VENTAS[[#This Row],[Total]]*10%,0)</f>
        <v>0</v>
      </c>
      <c r="K332" s="35">
        <f>IFERROR(VLOOKUP(VENTAS[[#This Row],[Código del producto Vendido]],STOCK[],16,FALSE)*VENTAS[[#This Row],[Cantidad]]+VLOOKUP(VENTAS[[#This Row],[Código del producto Vendido]],STOCK[],19,FALSE)*VENTAS[[#This Row],[Cantidad]],VENTAS[[#This Row],[Total]])</f>
        <v>9.66666666666667</v>
      </c>
      <c r="L332" s="35">
        <f>VENTAS[[#This Row],[Total]]-VENTAS[[#This Row],[Comisión 10%]]-VENTAS[[#This Row],[Costo SIN Comision]]</f>
        <v>10.3333333333333</v>
      </c>
      <c r="M332" s="35"/>
    </row>
    <row r="333" ht="20" customHeight="1" spans="1:13">
      <c r="A333" s="29">
        <v>45111</v>
      </c>
      <c r="B333" s="30"/>
      <c r="C333" s="30"/>
      <c r="D333" s="30"/>
      <c r="E333" s="30" t="s">
        <v>1090</v>
      </c>
      <c r="F333" s="34" t="str">
        <f>IFERROR(VLOOKUP(VENTAS[[#This Row],[Código del producto Vendido]],STOCK[],5,FALSE),"-")</f>
        <v>Bikini Short con cordón de ajuste</v>
      </c>
      <c r="G333" s="34">
        <v>1</v>
      </c>
      <c r="H333" s="35">
        <v>28</v>
      </c>
      <c r="I333" s="35">
        <f>VENTAS[[#This Row],[Cantidad]]*VENTAS[[#This Row],[Precio Venta]]</f>
        <v>28</v>
      </c>
      <c r="J333" s="35">
        <f>IF(VENTAS[[#This Row],[Nombre del Gestor]]&gt;1,VENTAS[[#This Row],[Total]]*10%,0)</f>
        <v>0</v>
      </c>
      <c r="K333" s="35">
        <f>IFERROR(VLOOKUP(VENTAS[[#This Row],[Código del producto Vendido]],STOCK[],16,FALSE)*VENTAS[[#This Row],[Cantidad]]+VLOOKUP(VENTAS[[#This Row],[Código del producto Vendido]],STOCK[],19,FALSE)*VENTAS[[#This Row],[Cantidad]],VENTAS[[#This Row],[Total]])</f>
        <v>20.4794117647059</v>
      </c>
      <c r="L333" s="35">
        <f>VENTAS[[#This Row],[Total]]-VENTAS[[#This Row],[Comisión 10%]]-VENTAS[[#This Row],[Costo SIN Comision]]</f>
        <v>7.5205882352941</v>
      </c>
      <c r="M333" s="35"/>
    </row>
    <row r="334" ht="20" customHeight="1" spans="1:13">
      <c r="A334" s="29">
        <v>45111</v>
      </c>
      <c r="B334" s="30"/>
      <c r="C334" s="30"/>
      <c r="D334" s="30"/>
      <c r="E334" s="30" t="s">
        <v>935</v>
      </c>
      <c r="F334" s="34" t="str">
        <f>IFERROR(VLOOKUP(VENTAS[[#This Row],[Código del producto Vendido]],STOCK[],5,FALSE),"-")</f>
        <v>Bañador con zíper de pierna alta</v>
      </c>
      <c r="G334" s="34">
        <v>1</v>
      </c>
      <c r="H334" s="35">
        <v>28</v>
      </c>
      <c r="I334" s="35">
        <f>VENTAS[[#This Row],[Cantidad]]*VENTAS[[#This Row],[Precio Venta]]</f>
        <v>28</v>
      </c>
      <c r="J334" s="35">
        <f>IF(VENTAS[[#This Row],[Nombre del Gestor]]&gt;1,VENTAS[[#This Row],[Total]]*10%,0)</f>
        <v>0</v>
      </c>
      <c r="K334" s="35">
        <f>IFERROR(VLOOKUP(VENTAS[[#This Row],[Código del producto Vendido]],STOCK[],16,FALSE)*VENTAS[[#This Row],[Cantidad]]+VLOOKUP(VENTAS[[#This Row],[Código del producto Vendido]],STOCK[],19,FALSE)*VENTAS[[#This Row],[Cantidad]],VENTAS[[#This Row],[Total]])</f>
        <v>14.0231818181818</v>
      </c>
      <c r="L334" s="35">
        <f>VENTAS[[#This Row],[Total]]-VENTAS[[#This Row],[Comisión 10%]]-VENTAS[[#This Row],[Costo SIN Comision]]</f>
        <v>13.9768181818182</v>
      </c>
      <c r="M334" s="35"/>
    </row>
    <row r="335" ht="20" customHeight="1" spans="1:13">
      <c r="A335" s="29">
        <v>45111</v>
      </c>
      <c r="B335" s="30"/>
      <c r="C335" s="30"/>
      <c r="D335" s="30"/>
      <c r="E335" s="30" t="s">
        <v>1101</v>
      </c>
      <c r="F335" s="34" t="str">
        <f>IFERROR(VLOOKUP(VENTAS[[#This Row],[Código del producto Vendido]],STOCK[],5,FALSE),"-")</f>
        <v>Sandalias crema</v>
      </c>
      <c r="G335" s="34">
        <v>1</v>
      </c>
      <c r="H335" s="35">
        <v>40</v>
      </c>
      <c r="I335" s="35">
        <f>VENTAS[[#This Row],[Cantidad]]*VENTAS[[#This Row],[Precio Venta]]</f>
        <v>40</v>
      </c>
      <c r="J335" s="35">
        <f>IF(VENTAS[[#This Row],[Nombre del Gestor]]&gt;1,VENTAS[[#This Row],[Total]]*10%,0)</f>
        <v>0</v>
      </c>
      <c r="K335" s="35">
        <f>IFERROR(VLOOKUP(VENTAS[[#This Row],[Código del producto Vendido]],STOCK[],16,FALSE)*VENTAS[[#This Row],[Cantidad]]+VLOOKUP(VENTAS[[#This Row],[Código del producto Vendido]],STOCK[],19,FALSE)*VENTAS[[#This Row],[Cantidad]],VENTAS[[#This Row],[Total]])</f>
        <v>26.8529411764706</v>
      </c>
      <c r="L335" s="35">
        <f>VENTAS[[#This Row],[Total]]-VENTAS[[#This Row],[Comisión 10%]]-VENTAS[[#This Row],[Costo SIN Comision]]</f>
        <v>13.1470588235294</v>
      </c>
      <c r="M335" s="35"/>
    </row>
    <row r="336" ht="20" customHeight="1" spans="1:13">
      <c r="A336" s="29">
        <v>45115</v>
      </c>
      <c r="B336" s="30"/>
      <c r="C336" s="30"/>
      <c r="D336" s="30"/>
      <c r="E336" s="30" t="s">
        <v>934</v>
      </c>
      <c r="F336" s="34" t="str">
        <f>IFERROR(VLOOKUP(VENTAS[[#This Row],[Código del producto Vendido]],STOCK[],5,FALSE),"-")</f>
        <v>Bañador de pierna alta</v>
      </c>
      <c r="G336" s="34">
        <v>1</v>
      </c>
      <c r="H336" s="35">
        <v>28</v>
      </c>
      <c r="I336" s="35">
        <f>VENTAS[[#This Row],[Cantidad]]*VENTAS[[#This Row],[Precio Venta]]</f>
        <v>28</v>
      </c>
      <c r="J336" s="35">
        <f>IF(VENTAS[[#This Row],[Nombre del Gestor]]&gt;1,VENTAS[[#This Row],[Total]]*10%,0)</f>
        <v>0</v>
      </c>
      <c r="K336" s="35">
        <f>IFERROR(VLOOKUP(VENTAS[[#This Row],[Código del producto Vendido]],STOCK[],16,FALSE)*VENTAS[[#This Row],[Cantidad]]+VLOOKUP(VENTAS[[#This Row],[Código del producto Vendido]],STOCK[],19,FALSE)*VENTAS[[#This Row],[Cantidad]],VENTAS[[#This Row],[Total]])</f>
        <v>14.0231818181818</v>
      </c>
      <c r="L336" s="35">
        <f>VENTAS[[#This Row],[Total]]-VENTAS[[#This Row],[Comisión 10%]]-VENTAS[[#This Row],[Costo SIN Comision]]</f>
        <v>13.9768181818182</v>
      </c>
      <c r="M336" s="35"/>
    </row>
    <row r="337" ht="20" customHeight="1" spans="1:13">
      <c r="A337" s="29">
        <v>45115</v>
      </c>
      <c r="B337" s="30"/>
      <c r="C337" s="30"/>
      <c r="D337" s="30"/>
      <c r="E337" s="30" t="s">
        <v>935</v>
      </c>
      <c r="F337" s="34" t="str">
        <f>IFERROR(VLOOKUP(VENTAS[[#This Row],[Código del producto Vendido]],STOCK[],5,FALSE),"-")</f>
        <v>Bañador con zíper de pierna alta</v>
      </c>
      <c r="G337" s="34">
        <v>1</v>
      </c>
      <c r="H337" s="35">
        <v>28</v>
      </c>
      <c r="I337" s="35">
        <f>VENTAS[[#This Row],[Cantidad]]*VENTAS[[#This Row],[Precio Venta]]</f>
        <v>28</v>
      </c>
      <c r="J337" s="35">
        <f>IF(VENTAS[[#This Row],[Nombre del Gestor]]&gt;1,VENTAS[[#This Row],[Total]]*10%,0)</f>
        <v>0</v>
      </c>
      <c r="K337" s="35">
        <f>IFERROR(VLOOKUP(VENTAS[[#This Row],[Código del producto Vendido]],STOCK[],16,FALSE)*VENTAS[[#This Row],[Cantidad]]+VLOOKUP(VENTAS[[#This Row],[Código del producto Vendido]],STOCK[],19,FALSE)*VENTAS[[#This Row],[Cantidad]],VENTAS[[#This Row],[Total]])</f>
        <v>14.0231818181818</v>
      </c>
      <c r="L337" s="35">
        <f>VENTAS[[#This Row],[Total]]-VENTAS[[#This Row],[Comisión 10%]]-VENTAS[[#This Row],[Costo SIN Comision]]</f>
        <v>13.9768181818182</v>
      </c>
      <c r="M337" s="35"/>
    </row>
    <row r="338" ht="20" customHeight="1" spans="1:13">
      <c r="A338" s="29">
        <v>45115</v>
      </c>
      <c r="B338" s="30"/>
      <c r="C338" s="30"/>
      <c r="D338" s="30"/>
      <c r="E338" s="30" t="s">
        <v>917</v>
      </c>
      <c r="F338" s="34" t="str">
        <f>IFERROR(VLOOKUP(VENTAS[[#This Row],[Código del producto Vendido]],STOCK[],5,FALSE),"-")</f>
        <v>Vestido de lunares </v>
      </c>
      <c r="G338" s="34">
        <v>1</v>
      </c>
      <c r="H338" s="35">
        <v>25</v>
      </c>
      <c r="I338" s="35">
        <f>VENTAS[[#This Row],[Cantidad]]*VENTAS[[#This Row],[Precio Venta]]</f>
        <v>25</v>
      </c>
      <c r="J338" s="35">
        <f>IF(VENTAS[[#This Row],[Nombre del Gestor]]&gt;1,VENTAS[[#This Row],[Total]]*10%,0)</f>
        <v>0</v>
      </c>
      <c r="K338" s="35">
        <f>IFERROR(VLOOKUP(VENTAS[[#This Row],[Código del producto Vendido]],STOCK[],16,FALSE)*VENTAS[[#This Row],[Cantidad]]+VLOOKUP(VENTAS[[#This Row],[Código del producto Vendido]],STOCK[],19,FALSE)*VENTAS[[#This Row],[Cantidad]],VENTAS[[#This Row],[Total]])</f>
        <v>13.9113636363636</v>
      </c>
      <c r="L338" s="35">
        <f>VENTAS[[#This Row],[Total]]-VENTAS[[#This Row],[Comisión 10%]]-VENTAS[[#This Row],[Costo SIN Comision]]</f>
        <v>11.0886363636364</v>
      </c>
      <c r="M338" s="35"/>
    </row>
    <row r="339" ht="20" customHeight="1" spans="1:13">
      <c r="A339" s="29">
        <v>45115</v>
      </c>
      <c r="B339" s="30"/>
      <c r="C339" s="30"/>
      <c r="D339" s="30"/>
      <c r="E339" s="30" t="s">
        <v>950</v>
      </c>
      <c r="F339" s="34" t="str">
        <f>IFERROR(VLOOKUP(VENTAS[[#This Row],[Código del producto Vendido]],STOCK[],5,FALSE),"-")</f>
        <v> Pantaloneta Verde</v>
      </c>
      <c r="G339" s="34">
        <v>1</v>
      </c>
      <c r="H339" s="35">
        <v>25</v>
      </c>
      <c r="I339" s="35">
        <f>VENTAS[[#This Row],[Cantidad]]*VENTAS[[#This Row],[Precio Venta]]</f>
        <v>25</v>
      </c>
      <c r="J339" s="35">
        <f>IF(VENTAS[[#This Row],[Nombre del Gestor]]&gt;1,VENTAS[[#This Row],[Total]]*10%,0)</f>
        <v>0</v>
      </c>
      <c r="K339" s="35">
        <f>IFERROR(VLOOKUP(VENTAS[[#This Row],[Código del producto Vendido]],STOCK[],16,FALSE)*VENTAS[[#This Row],[Cantidad]]+VLOOKUP(VENTAS[[#This Row],[Código del producto Vendido]],STOCK[],19,FALSE)*VENTAS[[#This Row],[Cantidad]],VENTAS[[#This Row],[Total]])</f>
        <v>14.8713636363636</v>
      </c>
      <c r="L339" s="35">
        <f>VENTAS[[#This Row],[Total]]-VENTAS[[#This Row],[Comisión 10%]]-VENTAS[[#This Row],[Costo SIN Comision]]</f>
        <v>10.1286363636364</v>
      </c>
      <c r="M339" s="35"/>
    </row>
    <row r="340" ht="20" customHeight="1" spans="1:13">
      <c r="A340" s="29">
        <v>45115</v>
      </c>
      <c r="B340" s="30"/>
      <c r="C340" s="30"/>
      <c r="D340" s="30"/>
      <c r="E340" s="30" t="s">
        <v>971</v>
      </c>
      <c r="F340" s="34" t="str">
        <f>IFERROR(VLOOKUP(VENTAS[[#This Row],[Código del producto Vendido]],STOCK[],5,FALSE),"-")</f>
        <v>Bañador Cisne Espalda descubierta</v>
      </c>
      <c r="G340" s="34">
        <v>1</v>
      </c>
      <c r="H340" s="35">
        <v>25</v>
      </c>
      <c r="I340" s="35">
        <f>VENTAS[[#This Row],[Cantidad]]*VENTAS[[#This Row],[Precio Venta]]</f>
        <v>25</v>
      </c>
      <c r="J340" s="35">
        <f>IF(VENTAS[[#This Row],[Nombre del Gestor]]&gt;1,VENTAS[[#This Row],[Total]]*10%,0)</f>
        <v>0</v>
      </c>
      <c r="K340" s="35">
        <f>IFERROR(VLOOKUP(VENTAS[[#This Row],[Código del producto Vendido]],STOCK[],16,FALSE)*VENTAS[[#This Row],[Cantidad]]+VLOOKUP(VENTAS[[#This Row],[Código del producto Vendido]],STOCK[],19,FALSE)*VENTAS[[#This Row],[Cantidad]],VENTAS[[#This Row],[Total]])</f>
        <v>15.325</v>
      </c>
      <c r="L340" s="35">
        <f>VENTAS[[#This Row],[Total]]-VENTAS[[#This Row],[Comisión 10%]]-VENTAS[[#This Row],[Costo SIN Comision]]</f>
        <v>9.675</v>
      </c>
      <c r="M340" s="35"/>
    </row>
    <row r="341" ht="20" customHeight="1" spans="1:13">
      <c r="A341" s="29">
        <v>45116</v>
      </c>
      <c r="B341" s="30"/>
      <c r="C341" s="30"/>
      <c r="D341" s="30"/>
      <c r="E341" s="30" t="s">
        <v>61</v>
      </c>
      <c r="F341" s="34" t="str">
        <f>IFERROR(VLOOKUP(VENTAS[[#This Row],[Código del producto Vendido]],STOCK[],5,FALSE),"-")</f>
        <v>Bikini Mangas Fuccia</v>
      </c>
      <c r="G341" s="34">
        <v>1</v>
      </c>
      <c r="H341" s="35">
        <v>22</v>
      </c>
      <c r="I341" s="35">
        <f>VENTAS[[#This Row],[Cantidad]]*VENTAS[[#This Row],[Precio Venta]]</f>
        <v>22</v>
      </c>
      <c r="J341" s="35">
        <f>IF(VENTAS[[#This Row],[Nombre del Gestor]]&gt;1,VENTAS[[#This Row],[Total]]*10%,0)</f>
        <v>0</v>
      </c>
      <c r="K341" s="35">
        <f>IFERROR(VLOOKUP(VENTAS[[#This Row],[Código del producto Vendido]],STOCK[],16,FALSE)*VENTAS[[#This Row],[Cantidad]]+VLOOKUP(VENTAS[[#This Row],[Código del producto Vendido]],STOCK[],19,FALSE)*VENTAS[[#This Row],[Cantidad]],VENTAS[[#This Row],[Total]])</f>
        <v>14.495</v>
      </c>
      <c r="L341" s="35">
        <f>VENTAS[[#This Row],[Total]]-VENTAS[[#This Row],[Comisión 10%]]-VENTAS[[#This Row],[Costo SIN Comision]]</f>
        <v>7.505</v>
      </c>
      <c r="M341" s="35"/>
    </row>
    <row r="342" ht="20" customHeight="1" spans="1:13">
      <c r="A342" s="29">
        <v>45116</v>
      </c>
      <c r="B342" s="30"/>
      <c r="C342" s="30"/>
      <c r="D342" s="30"/>
      <c r="E342" s="30" t="s">
        <v>111</v>
      </c>
      <c r="F342" s="34" t="str">
        <f>IFERROR(VLOOKUP(VENTAS[[#This Row],[Código del producto Vendido]],STOCK[],5,FALSE),"-")</f>
        <v>Bikini Floral</v>
      </c>
      <c r="G342" s="34">
        <v>1</v>
      </c>
      <c r="H342" s="35">
        <v>28</v>
      </c>
      <c r="I342" s="35">
        <f>VENTAS[[#This Row],[Cantidad]]*VENTAS[[#This Row],[Precio Venta]]</f>
        <v>28</v>
      </c>
      <c r="J342" s="35">
        <f>IF(VENTAS[[#This Row],[Nombre del Gestor]]&gt;1,VENTAS[[#This Row],[Total]]*10%,0)</f>
        <v>0</v>
      </c>
      <c r="K342" s="35">
        <f>IFERROR(VLOOKUP(VENTAS[[#This Row],[Código del producto Vendido]],STOCK[],16,FALSE)*VENTAS[[#This Row],[Cantidad]]+VLOOKUP(VENTAS[[#This Row],[Código del producto Vendido]],STOCK[],19,FALSE)*VENTAS[[#This Row],[Cantidad]],VENTAS[[#This Row],[Total]])</f>
        <v>18.7338888888889</v>
      </c>
      <c r="L342" s="35">
        <f>VENTAS[[#This Row],[Total]]-VENTAS[[#This Row],[Comisión 10%]]-VENTAS[[#This Row],[Costo SIN Comision]]</f>
        <v>9.2661111111111</v>
      </c>
      <c r="M342" s="35"/>
    </row>
    <row r="343" ht="20" customHeight="1" spans="1:13">
      <c r="A343" s="29">
        <v>45116</v>
      </c>
      <c r="B343" s="30"/>
      <c r="C343" s="30"/>
      <c r="D343" s="30"/>
      <c r="E343" s="30" t="s">
        <v>158</v>
      </c>
      <c r="F343" s="34" t="str">
        <f>IFERROR(VLOOKUP(VENTAS[[#This Row],[Código del producto Vendido]],STOCK[],5,FALSE),"-")</f>
        <v>Bañador con estampado floral</v>
      </c>
      <c r="G343" s="34">
        <v>1</v>
      </c>
      <c r="H343" s="35">
        <v>28</v>
      </c>
      <c r="I343" s="35">
        <f>VENTAS[[#This Row],[Cantidad]]*VENTAS[[#This Row],[Precio Venta]]</f>
        <v>28</v>
      </c>
      <c r="J343" s="35">
        <f>IF(VENTAS[[#This Row],[Nombre del Gestor]]&gt;1,VENTAS[[#This Row],[Total]]*10%,0)</f>
        <v>0</v>
      </c>
      <c r="K343" s="35">
        <f>IFERROR(VLOOKUP(VENTAS[[#This Row],[Código del producto Vendido]],STOCK[],16,FALSE)*VENTAS[[#This Row],[Cantidad]]+VLOOKUP(VENTAS[[#This Row],[Código del producto Vendido]],STOCK[],19,FALSE)*VENTAS[[#This Row],[Cantidad]],VENTAS[[#This Row],[Total]])</f>
        <v>18.3088888888889</v>
      </c>
      <c r="L343" s="35">
        <f>VENTAS[[#This Row],[Total]]-VENTAS[[#This Row],[Comisión 10%]]-VENTAS[[#This Row],[Costo SIN Comision]]</f>
        <v>9.6911111111111</v>
      </c>
      <c r="M343" s="35"/>
    </row>
    <row r="344" ht="20" customHeight="1" spans="1:13">
      <c r="A344" s="29">
        <v>45116</v>
      </c>
      <c r="B344" s="30"/>
      <c r="C344" s="30"/>
      <c r="D344" s="30"/>
      <c r="E344" s="30" t="s">
        <v>1097</v>
      </c>
      <c r="F344" s="34" t="str">
        <f>IFERROR(VLOOKUP(VENTAS[[#This Row],[Código del producto Vendido]],STOCK[],5,FALSE),"-")</f>
        <v>Bañador en contraste azul</v>
      </c>
      <c r="G344" s="34">
        <v>1</v>
      </c>
      <c r="H344" s="35">
        <v>28</v>
      </c>
      <c r="I344" s="35">
        <f>VENTAS[[#This Row],[Cantidad]]*VENTAS[[#This Row],[Precio Venta]]</f>
        <v>28</v>
      </c>
      <c r="J344" s="35">
        <f>IF(VENTAS[[#This Row],[Nombre del Gestor]]&gt;1,VENTAS[[#This Row],[Total]]*10%,0)</f>
        <v>0</v>
      </c>
      <c r="K344" s="35">
        <f>IFERROR(VLOOKUP(VENTAS[[#This Row],[Código del producto Vendido]],STOCK[],16,FALSE)*VENTAS[[#This Row],[Cantidad]]+VLOOKUP(VENTAS[[#This Row],[Código del producto Vendido]],STOCK[],19,FALSE)*VENTAS[[#This Row],[Cantidad]],VENTAS[[#This Row],[Total]])</f>
        <v>19.3389705882353</v>
      </c>
      <c r="L344" s="35">
        <f>VENTAS[[#This Row],[Total]]-VENTAS[[#This Row],[Comisión 10%]]-VENTAS[[#This Row],[Costo SIN Comision]]</f>
        <v>8.6610294117647</v>
      </c>
      <c r="M344" s="35"/>
    </row>
    <row r="345" ht="20" customHeight="1" spans="1:13">
      <c r="A345" s="29">
        <v>45116</v>
      </c>
      <c r="B345" s="30"/>
      <c r="C345" s="30"/>
      <c r="D345" s="30"/>
      <c r="E345" s="30" t="s">
        <v>861</v>
      </c>
      <c r="F345" s="34" t="str">
        <f>IFERROR(VLOOKUP(VENTAS[[#This Row],[Código del producto Vendido]],STOCK[],5,FALSE),"-")</f>
        <v>Bikini Rosa canalé</v>
      </c>
      <c r="G345" s="34">
        <v>1</v>
      </c>
      <c r="H345" s="35">
        <v>20</v>
      </c>
      <c r="I345" s="35">
        <f>VENTAS[[#This Row],[Cantidad]]*VENTAS[[#This Row],[Precio Venta]]</f>
        <v>20</v>
      </c>
      <c r="J345" s="35">
        <f>IF(VENTAS[[#This Row],[Nombre del Gestor]]&gt;1,VENTAS[[#This Row],[Total]]*10%,0)</f>
        <v>0</v>
      </c>
      <c r="K345" s="35">
        <f>IFERROR(VLOOKUP(VENTAS[[#This Row],[Código del producto Vendido]],STOCK[],16,FALSE)*VENTAS[[#This Row],[Cantidad]]+VLOOKUP(VENTAS[[#This Row],[Código del producto Vendido]],STOCK[],19,FALSE)*VENTAS[[#This Row],[Cantidad]],VENTAS[[#This Row],[Total]])</f>
        <v>13.4444444444444</v>
      </c>
      <c r="L345" s="35">
        <f>VENTAS[[#This Row],[Total]]-VENTAS[[#This Row],[Comisión 10%]]-VENTAS[[#This Row],[Costo SIN Comision]]</f>
        <v>6.5555555555556</v>
      </c>
      <c r="M345" s="35"/>
    </row>
    <row r="346" ht="20" customHeight="1" spans="1:13">
      <c r="A346" s="29">
        <v>45121</v>
      </c>
      <c r="B346" s="30"/>
      <c r="C346" s="30"/>
      <c r="D346" s="30"/>
      <c r="E346" s="30" t="s">
        <v>82</v>
      </c>
      <c r="F346" s="34" t="str">
        <f>IFERROR(VLOOKUP(VENTAS[[#This Row],[Código del producto Vendido]],STOCK[],5,FALSE),"-")</f>
        <v>Enguatada solera sin parte de abajo</v>
      </c>
      <c r="G346" s="34">
        <v>1</v>
      </c>
      <c r="H346" s="35">
        <v>17</v>
      </c>
      <c r="I346" s="35">
        <f>VENTAS[[#This Row],[Cantidad]]*VENTAS[[#This Row],[Precio Venta]]</f>
        <v>17</v>
      </c>
      <c r="J346" s="35">
        <f>IF(VENTAS[[#This Row],[Nombre del Gestor]]&gt;1,VENTAS[[#This Row],[Total]]*10%,0)</f>
        <v>0</v>
      </c>
      <c r="K346" s="35">
        <f>IFERROR(VLOOKUP(VENTAS[[#This Row],[Código del producto Vendido]],STOCK[],16,FALSE)*VENTAS[[#This Row],[Cantidad]]+VLOOKUP(VENTAS[[#This Row],[Código del producto Vendido]],STOCK[],19,FALSE)*VENTAS[[#This Row],[Cantidad]],VENTAS[[#This Row],[Total]])</f>
        <v>13.3316666666667</v>
      </c>
      <c r="L346" s="35">
        <f>VENTAS[[#This Row],[Total]]-VENTAS[[#This Row],[Comisión 10%]]-VENTAS[[#This Row],[Costo SIN Comision]]</f>
        <v>3.66833333333333</v>
      </c>
      <c r="M346" s="35"/>
    </row>
    <row r="347" ht="20" customHeight="1" spans="1:13">
      <c r="A347" s="29">
        <v>45122</v>
      </c>
      <c r="B347" s="30"/>
      <c r="C347" s="30"/>
      <c r="D347" s="30"/>
      <c r="E347" s="30" t="s">
        <v>258</v>
      </c>
      <c r="F347" s="34" t="str">
        <f>IFERROR(VLOOKUP(VENTAS[[#This Row],[Código del producto Vendido]],STOCK[],5,FALSE),"-")</f>
        <v>Top unicolor de hombros con almohadilla</v>
      </c>
      <c r="G347" s="34">
        <v>1</v>
      </c>
      <c r="H347" s="35">
        <v>14</v>
      </c>
      <c r="I347" s="35">
        <f>VENTAS[[#This Row],[Cantidad]]*VENTAS[[#This Row],[Precio Venta]]</f>
        <v>14</v>
      </c>
      <c r="J347" s="35">
        <f>IF(VENTAS[[#This Row],[Nombre del Gestor]]&gt;1,VENTAS[[#This Row],[Total]]*10%,0)</f>
        <v>0</v>
      </c>
      <c r="K347" s="35">
        <f>IFERROR(VLOOKUP(VENTAS[[#This Row],[Código del producto Vendido]],STOCK[],16,FALSE)*VENTAS[[#This Row],[Cantidad]]+VLOOKUP(VENTAS[[#This Row],[Código del producto Vendido]],STOCK[],19,FALSE)*VENTAS[[#This Row],[Cantidad]],VENTAS[[#This Row],[Total]])</f>
        <v>7.51111111111111</v>
      </c>
      <c r="L347" s="35">
        <f>VENTAS[[#This Row],[Total]]-VENTAS[[#This Row],[Comisión 10%]]-VENTAS[[#This Row],[Costo SIN Comision]]</f>
        <v>6.48888888888889</v>
      </c>
      <c r="M347" s="35"/>
    </row>
    <row r="348" ht="20" customHeight="1" spans="1:13">
      <c r="A348" s="52">
        <v>45121</v>
      </c>
      <c r="B348" s="30"/>
      <c r="C348" s="30"/>
      <c r="D348" s="30"/>
      <c r="E348" s="30" t="s">
        <v>795</v>
      </c>
      <c r="F348" s="34" t="str">
        <f>IFERROR(VLOOKUP(VENTAS[[#This Row],[Código del producto Vendido]],STOCK[],5,FALSE),"-")</f>
        <v>Bañador floreado</v>
      </c>
      <c r="G348" s="34">
        <v>1</v>
      </c>
      <c r="H348" s="35">
        <v>20</v>
      </c>
      <c r="I348" s="35">
        <f>VENTAS[[#This Row],[Cantidad]]*VENTAS[[#This Row],[Precio Venta]]</f>
        <v>20</v>
      </c>
      <c r="J348" s="35">
        <f>IF(VENTAS[[#This Row],[Nombre del Gestor]]&gt;1,VENTAS[[#This Row],[Total]]*10%,0)</f>
        <v>0</v>
      </c>
      <c r="K348" s="35">
        <f>IFERROR(VLOOKUP(VENTAS[[#This Row],[Código del producto Vendido]],STOCK[],16,FALSE)*VENTAS[[#This Row],[Cantidad]]+VLOOKUP(VENTAS[[#This Row],[Código del producto Vendido]],STOCK[],19,FALSE)*VENTAS[[#This Row],[Cantidad]],VENTAS[[#This Row],[Total]])</f>
        <v>11.7222222222222</v>
      </c>
      <c r="L348" s="35">
        <f>VENTAS[[#This Row],[Total]]-VENTAS[[#This Row],[Comisión 10%]]-VENTAS[[#This Row],[Costo SIN Comision]]</f>
        <v>8.27777777777778</v>
      </c>
      <c r="M348" s="35"/>
    </row>
    <row r="349" ht="20" customHeight="1" spans="1:13">
      <c r="A349" s="52">
        <v>45122</v>
      </c>
      <c r="B349" s="30"/>
      <c r="C349" s="30"/>
      <c r="D349" s="30"/>
      <c r="E349" s="30" t="s">
        <v>804</v>
      </c>
      <c r="F349" s="34" t="str">
        <f>IFERROR(VLOOKUP(VENTAS[[#This Row],[Código del producto Vendido]],STOCK[],5,FALSE),"-")</f>
        <v> Bañador espalda descubierta</v>
      </c>
      <c r="G349" s="34">
        <v>1</v>
      </c>
      <c r="H349" s="35">
        <v>20</v>
      </c>
      <c r="I349" s="35">
        <f>VENTAS[[#This Row],[Cantidad]]*VENTAS[[#This Row],[Precio Venta]]</f>
        <v>20</v>
      </c>
      <c r="J349" s="35">
        <f>IF(VENTAS[[#This Row],[Nombre del Gestor]]&gt;1,VENTAS[[#This Row],[Total]]*10%,0)</f>
        <v>0</v>
      </c>
      <c r="K349" s="35">
        <f>IFERROR(VLOOKUP(VENTAS[[#This Row],[Código del producto Vendido]],STOCK[],16,FALSE)*VENTAS[[#This Row],[Cantidad]]+VLOOKUP(VENTAS[[#This Row],[Código del producto Vendido]],STOCK[],19,FALSE)*VENTAS[[#This Row],[Cantidad]],VENTAS[[#This Row],[Total]])</f>
        <v>15.5555555555556</v>
      </c>
      <c r="L349" s="35">
        <f>VENTAS[[#This Row],[Total]]-VENTAS[[#This Row],[Comisión 10%]]-VENTAS[[#This Row],[Costo SIN Comision]]</f>
        <v>4.4444444444444</v>
      </c>
      <c r="M349" s="35"/>
    </row>
    <row r="350" ht="20" customHeight="1" spans="1:13">
      <c r="A350" s="52">
        <v>45122</v>
      </c>
      <c r="B350" s="30"/>
      <c r="C350" s="30"/>
      <c r="D350" s="30"/>
      <c r="E350" s="30" t="s">
        <v>408</v>
      </c>
      <c r="F350" s="34" t="str">
        <f>IFERROR(VLOOKUP(VENTAS[[#This Row],[Código del producto Vendido]],STOCK[],5,FALSE),"-")</f>
        <v>Bañador una pieza de color combinado </v>
      </c>
      <c r="G350" s="34">
        <v>1</v>
      </c>
      <c r="H350" s="35">
        <v>20</v>
      </c>
      <c r="I350" s="35">
        <f>VENTAS[[#This Row],[Cantidad]]*VENTAS[[#This Row],[Precio Venta]]</f>
        <v>20</v>
      </c>
      <c r="J350" s="35">
        <f>IF(VENTAS[[#This Row],[Nombre del Gestor]]&gt;1,VENTAS[[#This Row],[Total]]*10%,0)</f>
        <v>0</v>
      </c>
      <c r="K350" s="35">
        <f>IFERROR(VLOOKUP(VENTAS[[#This Row],[Código del producto Vendido]],STOCK[],16,FALSE)*VENTAS[[#This Row],[Cantidad]]+VLOOKUP(VENTAS[[#This Row],[Código del producto Vendido]],STOCK[],19,FALSE)*VENTAS[[#This Row],[Cantidad]],VENTAS[[#This Row],[Total]])</f>
        <v>9.66666666666667</v>
      </c>
      <c r="L350" s="35">
        <f>VENTAS[[#This Row],[Total]]-VENTAS[[#This Row],[Comisión 10%]]-VENTAS[[#This Row],[Costo SIN Comision]]</f>
        <v>10.3333333333333</v>
      </c>
      <c r="M350" s="35"/>
    </row>
    <row r="351" ht="20" customHeight="1" spans="1:13">
      <c r="A351" s="52">
        <v>45122</v>
      </c>
      <c r="B351" s="30"/>
      <c r="C351" s="30"/>
      <c r="D351" s="30"/>
      <c r="E351" s="30" t="s">
        <v>906</v>
      </c>
      <c r="F351" s="34" t="str">
        <f>IFERROR(VLOOKUP(VENTAS[[#This Row],[Código del producto Vendido]],STOCK[],5,FALSE),"-")</f>
        <v> Top Cuello V Verde</v>
      </c>
      <c r="G351" s="34">
        <v>1</v>
      </c>
      <c r="H351" s="35">
        <v>12</v>
      </c>
      <c r="I351" s="35">
        <f>VENTAS[[#This Row],[Cantidad]]*VENTAS[[#This Row],[Precio Venta]]</f>
        <v>12</v>
      </c>
      <c r="J351" s="35">
        <f>IF(VENTAS[[#This Row],[Nombre del Gestor]]&gt;1,VENTAS[[#This Row],[Total]]*10%,0)</f>
        <v>0</v>
      </c>
      <c r="K351" s="35">
        <f>IFERROR(VLOOKUP(VENTAS[[#This Row],[Código del producto Vendido]],STOCK[],16,FALSE)*VENTAS[[#This Row],[Cantidad]]+VLOOKUP(VENTAS[[#This Row],[Código del producto Vendido]],STOCK[],19,FALSE)*VENTAS[[#This Row],[Cantidad]],VENTAS[[#This Row],[Total]])</f>
        <v>8.00545454545454</v>
      </c>
      <c r="L351" s="35">
        <f>VENTAS[[#This Row],[Total]]-VENTAS[[#This Row],[Comisión 10%]]-VENTAS[[#This Row],[Costo SIN Comision]]</f>
        <v>3.99454545454546</v>
      </c>
      <c r="M351" s="35"/>
    </row>
    <row r="352" ht="20" customHeight="1" spans="1:13">
      <c r="A352" s="52">
        <v>45122</v>
      </c>
      <c r="B352" s="30"/>
      <c r="C352" s="30"/>
      <c r="D352" s="30"/>
      <c r="E352" s="30" t="s">
        <v>1028</v>
      </c>
      <c r="F352" s="34" t="str">
        <f>IFERROR(VLOOKUP(VENTAS[[#This Row],[Código del producto Vendido]],STOCK[],5,FALSE),"-")</f>
        <v>Top cuello V Blanco</v>
      </c>
      <c r="G352" s="34">
        <v>1</v>
      </c>
      <c r="H352" s="35">
        <v>12</v>
      </c>
      <c r="I352" s="35">
        <f>VENTAS[[#This Row],[Cantidad]]*VENTAS[[#This Row],[Precio Venta]]</f>
        <v>12</v>
      </c>
      <c r="J352" s="35">
        <f>IF(VENTAS[[#This Row],[Nombre del Gestor]]&gt;1,VENTAS[[#This Row],[Total]]*10%,0)</f>
        <v>0</v>
      </c>
      <c r="K352" s="35">
        <f>IFERROR(VLOOKUP(VENTAS[[#This Row],[Código del producto Vendido]],STOCK[],16,FALSE)*VENTAS[[#This Row],[Cantidad]]+VLOOKUP(VENTAS[[#This Row],[Código del producto Vendido]],STOCK[],19,FALSE)*VENTAS[[#This Row],[Cantidad]],VENTAS[[#This Row],[Total]])</f>
        <v>7.75568181818182</v>
      </c>
      <c r="L352" s="35">
        <f>VENTAS[[#This Row],[Total]]-VENTAS[[#This Row],[Comisión 10%]]-VENTAS[[#This Row],[Costo SIN Comision]]</f>
        <v>4.24431818181818</v>
      </c>
      <c r="M352" s="35"/>
    </row>
    <row r="353" ht="20" customHeight="1" spans="1:13">
      <c r="A353" s="52">
        <v>45124</v>
      </c>
      <c r="B353" s="30"/>
      <c r="C353" s="30"/>
      <c r="D353" s="30"/>
      <c r="E353" s="30" t="s">
        <v>1032</v>
      </c>
      <c r="F353" s="34" t="str">
        <f>IFERROR(VLOOKUP(VENTAS[[#This Row],[Código del producto Vendido]],STOCK[],5,FALSE),"-")</f>
        <v>Jenas Ajustados Oscuro</v>
      </c>
      <c r="G353" s="34">
        <v>1</v>
      </c>
      <c r="H353" s="35">
        <v>35</v>
      </c>
      <c r="I353" s="35">
        <f>VENTAS[[#This Row],[Cantidad]]*VENTAS[[#This Row],[Precio Venta]]</f>
        <v>35</v>
      </c>
      <c r="J353" s="35">
        <f>IF(VENTAS[[#This Row],[Nombre del Gestor]]&gt;1,VENTAS[[#This Row],[Total]]*10%,0)</f>
        <v>0</v>
      </c>
      <c r="K353" s="35">
        <f>IFERROR(VLOOKUP(VENTAS[[#This Row],[Código del producto Vendido]],STOCK[],16,FALSE)*VENTAS[[#This Row],[Cantidad]]+VLOOKUP(VENTAS[[#This Row],[Código del producto Vendido]],STOCK[],19,FALSE)*VENTAS[[#This Row],[Cantidad]],VENTAS[[#This Row],[Total]])</f>
        <v>24.6818181818182</v>
      </c>
      <c r="L353" s="35">
        <f>VENTAS[[#This Row],[Total]]-VENTAS[[#This Row],[Comisión 10%]]-VENTAS[[#This Row],[Costo SIN Comision]]</f>
        <v>10.3181818181818</v>
      </c>
      <c r="M353" s="35"/>
    </row>
    <row r="354" ht="20" customHeight="1" spans="1:13">
      <c r="A354" s="52">
        <v>45124</v>
      </c>
      <c r="B354" s="30"/>
      <c r="C354" s="30"/>
      <c r="D354" s="30"/>
      <c r="E354" s="30" t="s">
        <v>29</v>
      </c>
      <c r="F354" s="34" t="str">
        <f>IFERROR(VLOOKUP(VENTAS[[#This Row],[Código del producto Vendido]],STOCK[],5,FALSE),"-")</f>
        <v>Pareo falda </v>
      </c>
      <c r="G354" s="34">
        <v>1</v>
      </c>
      <c r="H354" s="35">
        <v>8</v>
      </c>
      <c r="I354" s="35">
        <f>VENTAS[[#This Row],[Cantidad]]*VENTAS[[#This Row],[Precio Venta]]</f>
        <v>8</v>
      </c>
      <c r="J354" s="35">
        <f>IF(VENTAS[[#This Row],[Nombre del Gestor]]&gt;1,VENTAS[[#This Row],[Total]]*10%,0)</f>
        <v>0</v>
      </c>
      <c r="K354" s="35">
        <f>IFERROR(VLOOKUP(VENTAS[[#This Row],[Código del producto Vendido]],STOCK[],16,FALSE)*VENTAS[[#This Row],[Cantidad]]+VLOOKUP(VENTAS[[#This Row],[Código del producto Vendido]],STOCK[],19,FALSE)*VENTAS[[#This Row],[Cantidad]],VENTAS[[#This Row],[Total]])</f>
        <v>4.33722222222222</v>
      </c>
      <c r="L354" s="35">
        <f>VENTAS[[#This Row],[Total]]-VENTAS[[#This Row],[Comisión 10%]]-VENTAS[[#This Row],[Costo SIN Comision]]</f>
        <v>3.66277777777778</v>
      </c>
      <c r="M354" s="35"/>
    </row>
    <row r="355" ht="20" customHeight="1" spans="1:13">
      <c r="A355" s="52">
        <v>45124</v>
      </c>
      <c r="B355" s="30"/>
      <c r="C355" s="30"/>
      <c r="D355" s="30"/>
      <c r="E355" s="30" t="s">
        <v>451</v>
      </c>
      <c r="F355" s="34" t="str">
        <f>IFERROR(VLOOKUP(VENTAS[[#This Row],[Código del producto Vendido]],STOCK[],5,FALSE),"-")</f>
        <v>Bañador bikini de manga raglán con cordón floral</v>
      </c>
      <c r="G355" s="34">
        <v>1</v>
      </c>
      <c r="H355" s="35">
        <v>25</v>
      </c>
      <c r="I355" s="35">
        <f>VENTAS[[#This Row],[Cantidad]]*VENTAS[[#This Row],[Precio Venta]]</f>
        <v>25</v>
      </c>
      <c r="J355" s="35">
        <f>IF(VENTAS[[#This Row],[Nombre del Gestor]]&gt;1,VENTAS[[#This Row],[Total]]*10%,0)</f>
        <v>0</v>
      </c>
      <c r="K355" s="35">
        <f>IFERROR(VLOOKUP(VENTAS[[#This Row],[Código del producto Vendido]],STOCK[],16,FALSE)*VENTAS[[#This Row],[Cantidad]]+VLOOKUP(VENTAS[[#This Row],[Código del producto Vendido]],STOCK[],19,FALSE)*VENTAS[[#This Row],[Cantidad]],VENTAS[[#This Row],[Total]])</f>
        <v>19.7944444444444</v>
      </c>
      <c r="L355" s="35">
        <f>VENTAS[[#This Row],[Total]]-VENTAS[[#This Row],[Comisión 10%]]-VENTAS[[#This Row],[Costo SIN Comision]]</f>
        <v>5.2055555555556</v>
      </c>
      <c r="M355" s="35"/>
    </row>
    <row r="356" ht="20" customHeight="1" spans="1:13">
      <c r="A356" s="52">
        <v>45124</v>
      </c>
      <c r="B356" s="30"/>
      <c r="C356" s="30"/>
      <c r="D356" s="30"/>
      <c r="E356" s="30" t="s">
        <v>104</v>
      </c>
      <c r="F356" s="34" t="str">
        <f>IFERROR(VLOOKUP(VENTAS[[#This Row],[Código del producto Vendido]],STOCK[],5,FALSE),"-")</f>
        <v>Bikini Elegante con Herrajes</v>
      </c>
      <c r="G356" s="34">
        <v>1</v>
      </c>
      <c r="H356" s="35">
        <v>18</v>
      </c>
      <c r="I356" s="35">
        <f>VENTAS[[#This Row],[Cantidad]]*VENTAS[[#This Row],[Precio Venta]]</f>
        <v>18</v>
      </c>
      <c r="J356" s="35">
        <f>IF(VENTAS[[#This Row],[Nombre del Gestor]]&gt;1,VENTAS[[#This Row],[Total]]*10%,0)</f>
        <v>0</v>
      </c>
      <c r="K356" s="35">
        <f>IFERROR(VLOOKUP(VENTAS[[#This Row],[Código del producto Vendido]],STOCK[],16,FALSE)*VENTAS[[#This Row],[Cantidad]]+VLOOKUP(VENTAS[[#This Row],[Código del producto Vendido]],STOCK[],19,FALSE)*VENTAS[[#This Row],[Cantidad]],VENTAS[[#This Row],[Total]])</f>
        <v>12.4194444444444</v>
      </c>
      <c r="L356" s="35">
        <f>VENTAS[[#This Row],[Total]]-VENTAS[[#This Row],[Comisión 10%]]-VENTAS[[#This Row],[Costo SIN Comision]]</f>
        <v>5.58055555555556</v>
      </c>
      <c r="M356" s="35"/>
    </row>
    <row r="357" ht="20" customHeight="1" spans="1:13">
      <c r="A357" s="52">
        <v>45125</v>
      </c>
      <c r="B357" s="30"/>
      <c r="C357" s="30"/>
      <c r="D357" s="30"/>
      <c r="E357" s="30" t="s">
        <v>39</v>
      </c>
      <c r="F357" s="34" t="str">
        <f>IFERROR(VLOOKUP(VENTAS[[#This Row],[Código del producto Vendido]],STOCK[],5,FALSE),"-")</f>
        <v>Bikini Floral</v>
      </c>
      <c r="G357" s="34">
        <v>1</v>
      </c>
      <c r="H357" s="35">
        <v>25</v>
      </c>
      <c r="I357" s="35">
        <f>VENTAS[[#This Row],[Cantidad]]*VENTAS[[#This Row],[Precio Venta]]</f>
        <v>25</v>
      </c>
      <c r="J357" s="35">
        <f>IF(VENTAS[[#This Row],[Nombre del Gestor]]&gt;1,VENTAS[[#This Row],[Total]]*10%,0)</f>
        <v>0</v>
      </c>
      <c r="K357" s="35">
        <f>IFERROR(VLOOKUP(VENTAS[[#This Row],[Código del producto Vendido]],STOCK[],16,FALSE)*VENTAS[[#This Row],[Cantidad]]+VLOOKUP(VENTAS[[#This Row],[Código del producto Vendido]],STOCK[],19,FALSE)*VENTAS[[#This Row],[Cantidad]],VENTAS[[#This Row],[Total]])</f>
        <v>19.5611111111111</v>
      </c>
      <c r="L357" s="35">
        <f>VENTAS[[#This Row],[Total]]-VENTAS[[#This Row],[Comisión 10%]]-VENTAS[[#This Row],[Costo SIN Comision]]</f>
        <v>5.4388888888889</v>
      </c>
      <c r="M357" s="35"/>
    </row>
    <row r="358" ht="20" customHeight="1" spans="1:13">
      <c r="A358" s="52">
        <v>45128</v>
      </c>
      <c r="B358" s="30"/>
      <c r="C358" s="30"/>
      <c r="D358" s="30"/>
      <c r="E358" s="30" t="s">
        <v>39</v>
      </c>
      <c r="F358" s="34" t="str">
        <f>IFERROR(VLOOKUP(VENTAS[[#This Row],[Código del producto Vendido]],STOCK[],5,FALSE),"-")</f>
        <v>Bikini Floral</v>
      </c>
      <c r="G358" s="34">
        <v>1</v>
      </c>
      <c r="H358" s="35">
        <v>25</v>
      </c>
      <c r="I358" s="35">
        <f>VENTAS[[#This Row],[Cantidad]]*VENTAS[[#This Row],[Precio Venta]]</f>
        <v>25</v>
      </c>
      <c r="J358" s="35">
        <f>IF(VENTAS[[#This Row],[Nombre del Gestor]]&gt;1,VENTAS[[#This Row],[Total]]*10%,0)</f>
        <v>0</v>
      </c>
      <c r="K358" s="35">
        <f>IFERROR(VLOOKUP(VENTAS[[#This Row],[Código del producto Vendido]],STOCK[],16,FALSE)*VENTAS[[#This Row],[Cantidad]]+VLOOKUP(VENTAS[[#This Row],[Código del producto Vendido]],STOCK[],19,FALSE)*VENTAS[[#This Row],[Cantidad]],VENTAS[[#This Row],[Total]])</f>
        <v>19.5611111111111</v>
      </c>
      <c r="L358" s="35">
        <f>VENTAS[[#This Row],[Total]]-VENTAS[[#This Row],[Comisión 10%]]-VENTAS[[#This Row],[Costo SIN Comision]]</f>
        <v>5.4388888888889</v>
      </c>
      <c r="M358" s="35"/>
    </row>
    <row r="359" ht="20" customHeight="1" spans="1:13">
      <c r="A359" s="53">
        <v>45133</v>
      </c>
      <c r="B359" s="41" t="s">
        <v>3372</v>
      </c>
      <c r="C359" s="41"/>
      <c r="D359" s="41"/>
      <c r="E359" s="58" t="s">
        <v>454</v>
      </c>
      <c r="F359" s="43" t="str">
        <f>IFERROR(VLOOKUP(VENTAS[[#This Row],[Código del producto Vendido]],STOCK[],5,FALSE),"-")</f>
        <v>Bikini de manga y short floreado</v>
      </c>
      <c r="G359" s="43">
        <v>1</v>
      </c>
      <c r="H359" s="44">
        <v>25</v>
      </c>
      <c r="I359" s="44">
        <f>VENTAS[[#This Row],[Cantidad]]*VENTAS[[#This Row],[Precio Venta]]</f>
        <v>25</v>
      </c>
      <c r="J359" s="44">
        <f>IF(VENTAS[[#This Row],[Nombre del Gestor]]&gt;1,VENTAS[[#This Row],[Total]]*10%,0)</f>
        <v>0</v>
      </c>
      <c r="K359" s="35">
        <f>IFERROR(VLOOKUP(VENTAS[[#This Row],[Código del producto Vendido]],STOCK[],16,FALSE)*VENTAS[[#This Row],[Cantidad]]+VLOOKUP(VENTAS[[#This Row],[Código del producto Vendido]],STOCK[],19,FALSE)*VENTAS[[#This Row],[Cantidad]],VENTAS[[#This Row],[Total]])</f>
        <v>16.6444444444444</v>
      </c>
      <c r="L359" s="35">
        <f>VENTAS[[#This Row],[Total]]-VENTAS[[#This Row],[Comisión 10%]]-VENTAS[[#This Row],[Costo SIN Comision]]</f>
        <v>8.3555555555556</v>
      </c>
      <c r="M359" s="35"/>
    </row>
    <row r="360" ht="20" customHeight="1" spans="1:13">
      <c r="A360" s="52">
        <v>45133</v>
      </c>
      <c r="B360" s="30"/>
      <c r="C360" s="30"/>
      <c r="D360" s="30"/>
      <c r="E360" s="30" t="s">
        <v>120</v>
      </c>
      <c r="F360" s="34" t="str">
        <f>IFERROR(VLOOKUP(VENTAS[[#This Row],[Código del producto Vendido]],STOCK[],5,FALSE),"-")</f>
        <v>Bañador una pieza tropical</v>
      </c>
      <c r="G360" s="34">
        <v>1</v>
      </c>
      <c r="H360" s="35">
        <v>25</v>
      </c>
      <c r="I360" s="35">
        <f>VENTAS[[#This Row],[Cantidad]]*VENTAS[[#This Row],[Precio Venta]]</f>
        <v>25</v>
      </c>
      <c r="J360" s="35">
        <f>IF(VENTAS[[#This Row],[Nombre del Gestor]]&gt;1,VENTAS[[#This Row],[Total]]*10%,0)</f>
        <v>0</v>
      </c>
      <c r="K360" s="35">
        <f>IFERROR(VLOOKUP(VENTAS[[#This Row],[Código del producto Vendido]],STOCK[],16,FALSE)*VENTAS[[#This Row],[Cantidad]]+VLOOKUP(VENTAS[[#This Row],[Código del producto Vendido]],STOCK[],19,FALSE)*VENTAS[[#This Row],[Cantidad]],VENTAS[[#This Row],[Total]])</f>
        <v>14.5111111111111</v>
      </c>
      <c r="L360" s="35">
        <f>VENTAS[[#This Row],[Total]]-VENTAS[[#This Row],[Comisión 10%]]-VENTAS[[#This Row],[Costo SIN Comision]]</f>
        <v>10.4888888888889</v>
      </c>
      <c r="M360" s="35"/>
    </row>
    <row r="361" ht="20" customHeight="1" spans="1:13">
      <c r="A361" s="52">
        <v>45133</v>
      </c>
      <c r="B361" s="30"/>
      <c r="C361" s="30"/>
      <c r="D361" s="30"/>
      <c r="E361" s="30" t="s">
        <v>303</v>
      </c>
      <c r="F361" s="34" t="str">
        <f>IFERROR(VLOOKUP(VENTAS[[#This Row],[Código del producto Vendido]],STOCK[],5,FALSE),"-")</f>
        <v>Jumpsuit palazzo de tie dye</v>
      </c>
      <c r="G361" s="34">
        <v>1</v>
      </c>
      <c r="H361" s="35">
        <v>30</v>
      </c>
      <c r="I361" s="35">
        <f>VENTAS[[#This Row],[Cantidad]]*VENTAS[[#This Row],[Precio Venta]]</f>
        <v>30</v>
      </c>
      <c r="J361" s="35">
        <f>IF(VENTAS[[#This Row],[Nombre del Gestor]]&gt;1,VENTAS[[#This Row],[Total]]*10%,0)</f>
        <v>0</v>
      </c>
      <c r="K361" s="35">
        <f>IFERROR(VLOOKUP(VENTAS[[#This Row],[Código del producto Vendido]],STOCK[],16,FALSE)*VENTAS[[#This Row],[Cantidad]]+VLOOKUP(VENTAS[[#This Row],[Código del producto Vendido]],STOCK[],19,FALSE)*VENTAS[[#This Row],[Cantidad]],VENTAS[[#This Row],[Total]])</f>
        <v>16.3333333333333</v>
      </c>
      <c r="L361" s="35">
        <f>VENTAS[[#This Row],[Total]]-VENTAS[[#This Row],[Comisión 10%]]-VENTAS[[#This Row],[Costo SIN Comision]]</f>
        <v>13.6666666666667</v>
      </c>
      <c r="M361" s="35"/>
    </row>
    <row r="362" ht="20" customHeight="1" spans="1:13">
      <c r="A362" s="52">
        <v>45133</v>
      </c>
      <c r="B362" s="30"/>
      <c r="C362" s="30"/>
      <c r="D362" s="30"/>
      <c r="E362" s="30" t="s">
        <v>1265</v>
      </c>
      <c r="F362" s="34" t="str">
        <f>IFERROR(VLOOKUP(VENTAS[[#This Row],[Código del producto Vendido]],STOCK[],5,FALSE),"-")</f>
        <v>Top asimétrico blanco</v>
      </c>
      <c r="G362" s="34">
        <v>1</v>
      </c>
      <c r="H362" s="35">
        <v>12</v>
      </c>
      <c r="I362" s="35">
        <f>VENTAS[[#This Row],[Cantidad]]*VENTAS[[#This Row],[Precio Venta]]</f>
        <v>12</v>
      </c>
      <c r="J362" s="35">
        <f>IF(VENTAS[[#This Row],[Nombre del Gestor]]&gt;1,VENTAS[[#This Row],[Total]]*10%,0)</f>
        <v>0</v>
      </c>
      <c r="K362" s="35">
        <f>IFERROR(VLOOKUP(VENTAS[[#This Row],[Código del producto Vendido]],STOCK[],16,FALSE)*VENTAS[[#This Row],[Cantidad]]+VLOOKUP(VENTAS[[#This Row],[Código del producto Vendido]],STOCK[],19,FALSE)*VENTAS[[#This Row],[Cantidad]],VENTAS[[#This Row],[Total]])</f>
        <v>5.77</v>
      </c>
      <c r="L362" s="35">
        <f>VENTAS[[#This Row],[Total]]-VENTAS[[#This Row],[Comisión 10%]]-VENTAS[[#This Row],[Costo SIN Comision]]</f>
        <v>6.23</v>
      </c>
      <c r="M362" s="35"/>
    </row>
    <row r="363" ht="20" customHeight="1" spans="1:13">
      <c r="A363" s="54">
        <v>45133</v>
      </c>
      <c r="B363" s="30"/>
      <c r="C363" s="30"/>
      <c r="D363" s="30"/>
      <c r="E363" s="30" t="s">
        <v>1241</v>
      </c>
      <c r="F363" s="34" t="str">
        <f>IFERROR(VLOOKUP(VENTAS[[#This Row],[Código del producto Vendido]],STOCK[],5,FALSE),"-")</f>
        <v>Cinturón de hebilla dorada</v>
      </c>
      <c r="G363" s="34">
        <v>1</v>
      </c>
      <c r="H363" s="35">
        <v>12</v>
      </c>
      <c r="I363" s="35">
        <f>VENTAS[[#This Row],[Cantidad]]*VENTAS[[#This Row],[Precio Venta]]</f>
        <v>12</v>
      </c>
      <c r="J363" s="35">
        <f>IF(VENTAS[[#This Row],[Nombre del Gestor]]&gt;1,VENTAS[[#This Row],[Total]]*10%,0)</f>
        <v>0</v>
      </c>
      <c r="K363" s="35">
        <f>IFERROR(VLOOKUP(VENTAS[[#This Row],[Código del producto Vendido]],STOCK[],16,FALSE)*VENTAS[[#This Row],[Cantidad]]+VLOOKUP(VENTAS[[#This Row],[Código del producto Vendido]],STOCK[],19,FALSE)*VENTAS[[#This Row],[Cantidad]],VENTAS[[#This Row],[Total]])</f>
        <v>4.09</v>
      </c>
      <c r="L363" s="35">
        <f>VENTAS[[#This Row],[Total]]-VENTAS[[#This Row],[Comisión 10%]]-VENTAS[[#This Row],[Costo SIN Comision]]</f>
        <v>7.91</v>
      </c>
      <c r="M363" s="35"/>
    </row>
    <row r="364" ht="20" customHeight="1" spans="1:13">
      <c r="A364" s="52">
        <v>45133</v>
      </c>
      <c r="B364" s="30"/>
      <c r="C364" s="30"/>
      <c r="D364" s="30"/>
      <c r="E364" s="30" t="s">
        <v>1202</v>
      </c>
      <c r="F364" s="34" t="str">
        <f>IFERROR(VLOOKUP(VENTAS[[#This Row],[Código del producto Vendido]],STOCK[],5,FALSE),"-")</f>
        <v>Camisa Blanca</v>
      </c>
      <c r="G364" s="34">
        <v>1</v>
      </c>
      <c r="H364" s="35">
        <v>20</v>
      </c>
      <c r="I364" s="35">
        <f>VENTAS[[#This Row],[Cantidad]]*VENTAS[[#This Row],[Precio Venta]]</f>
        <v>20</v>
      </c>
      <c r="J364" s="35">
        <f>IF(VENTAS[[#This Row],[Nombre del Gestor]]&gt;1,VENTAS[[#This Row],[Total]]*10%,0)</f>
        <v>0</v>
      </c>
      <c r="K364" s="35">
        <f>IFERROR(VLOOKUP(VENTAS[[#This Row],[Código del producto Vendido]],STOCK[],16,FALSE)*VENTAS[[#This Row],[Cantidad]]+VLOOKUP(VENTAS[[#This Row],[Código del producto Vendido]],STOCK[],19,FALSE)*VENTAS[[#This Row],[Cantidad]],VENTAS[[#This Row],[Total]])</f>
        <v>12.9</v>
      </c>
      <c r="L364" s="35">
        <f>VENTAS[[#This Row],[Total]]-VENTAS[[#This Row],[Comisión 10%]]-VENTAS[[#This Row],[Costo SIN Comision]]</f>
        <v>7.1</v>
      </c>
      <c r="M364" s="35"/>
    </row>
    <row r="365" ht="20" customHeight="1" spans="1:13">
      <c r="A365" s="52">
        <v>45133</v>
      </c>
      <c r="B365" s="30"/>
      <c r="C365" s="30"/>
      <c r="D365" s="30"/>
      <c r="E365" s="30" t="s">
        <v>1161</v>
      </c>
      <c r="F365" s="34" t="str">
        <f>IFERROR(VLOOKUP(VENTAS[[#This Row],[Código del producto Vendido]],STOCK[],5,FALSE),"-")</f>
        <v>Short de mezclilla oscura con doblez</v>
      </c>
      <c r="G365" s="34">
        <v>1</v>
      </c>
      <c r="H365" s="35">
        <v>25</v>
      </c>
      <c r="I365" s="35">
        <f>VENTAS[[#This Row],[Cantidad]]*VENTAS[[#This Row],[Precio Venta]]</f>
        <v>25</v>
      </c>
      <c r="J365" s="35">
        <f>IF(VENTAS[[#This Row],[Nombre del Gestor]]&gt;1,VENTAS[[#This Row],[Total]]*10%,0)</f>
        <v>0</v>
      </c>
      <c r="K365" s="35">
        <f>IFERROR(VLOOKUP(VENTAS[[#This Row],[Código del producto Vendido]],STOCK[],16,FALSE)*VENTAS[[#This Row],[Cantidad]]+VLOOKUP(VENTAS[[#This Row],[Código del producto Vendido]],STOCK[],19,FALSE)*VENTAS[[#This Row],[Cantidad]],VENTAS[[#This Row],[Total]])</f>
        <v>14.29</v>
      </c>
      <c r="L365" s="35">
        <f>VENTAS[[#This Row],[Total]]-VENTAS[[#This Row],[Comisión 10%]]-VENTAS[[#This Row],[Costo SIN Comision]]</f>
        <v>10.71</v>
      </c>
      <c r="M365" s="35"/>
    </row>
    <row r="366" ht="20" customHeight="1" spans="1:13">
      <c r="A366" s="54">
        <v>45133</v>
      </c>
      <c r="B366" s="30"/>
      <c r="C366" s="30"/>
      <c r="D366" s="30"/>
      <c r="E366" s="30" t="s">
        <v>1161</v>
      </c>
      <c r="F366" s="34" t="str">
        <f>IFERROR(VLOOKUP(VENTAS[[#This Row],[Código del producto Vendido]],STOCK[],5,FALSE),"-")</f>
        <v>Short de mezclilla oscura con doblez</v>
      </c>
      <c r="G366" s="34">
        <v>1</v>
      </c>
      <c r="H366" s="35">
        <v>25</v>
      </c>
      <c r="I366" s="35">
        <f>VENTAS[[#This Row],[Cantidad]]*VENTAS[[#This Row],[Precio Venta]]</f>
        <v>25</v>
      </c>
      <c r="J366" s="35">
        <f>IF(VENTAS[[#This Row],[Nombre del Gestor]]&gt;1,VENTAS[[#This Row],[Total]]*10%,0)</f>
        <v>0</v>
      </c>
      <c r="K366" s="35">
        <f>IFERROR(VLOOKUP(VENTAS[[#This Row],[Código del producto Vendido]],STOCK[],16,FALSE)*VENTAS[[#This Row],[Cantidad]]+VLOOKUP(VENTAS[[#This Row],[Código del producto Vendido]],STOCK[],19,FALSE)*VENTAS[[#This Row],[Cantidad]],VENTAS[[#This Row],[Total]])</f>
        <v>14.29</v>
      </c>
      <c r="L366" s="35">
        <f>VENTAS[[#This Row],[Total]]-VENTAS[[#This Row],[Comisión 10%]]-VENTAS[[#This Row],[Costo SIN Comision]]</f>
        <v>10.71</v>
      </c>
      <c r="M366" s="35"/>
    </row>
    <row r="367" ht="20" customHeight="1" spans="1:13">
      <c r="A367" s="52">
        <v>45133</v>
      </c>
      <c r="B367" s="30"/>
      <c r="C367" s="30"/>
      <c r="D367" s="30"/>
      <c r="E367" s="30" t="s">
        <v>1272</v>
      </c>
      <c r="F367" s="34" t="str">
        <f>IFERROR(VLOOKUP(VENTAS[[#This Row],[Código del producto Vendido]],STOCK[],5,FALSE),"-")</f>
        <v>Top de cuello V con encaje</v>
      </c>
      <c r="G367" s="34">
        <v>1</v>
      </c>
      <c r="H367" s="35">
        <v>12</v>
      </c>
      <c r="I367" s="35">
        <f>VENTAS[[#This Row],[Cantidad]]*VENTAS[[#This Row],[Precio Venta]]</f>
        <v>12</v>
      </c>
      <c r="J367" s="35">
        <f>IF(VENTAS[[#This Row],[Nombre del Gestor]]&gt;1,VENTAS[[#This Row],[Total]]*10%,0)</f>
        <v>0</v>
      </c>
      <c r="K367" s="35">
        <f>IFERROR(VLOOKUP(VENTAS[[#This Row],[Código del producto Vendido]],STOCK[],16,FALSE)*VENTAS[[#This Row],[Cantidad]]+VLOOKUP(VENTAS[[#This Row],[Código del producto Vendido]],STOCK[],19,FALSE)*VENTAS[[#This Row],[Cantidad]],VENTAS[[#This Row],[Total]])</f>
        <v>7.97</v>
      </c>
      <c r="L367" s="35">
        <f>VENTAS[[#This Row],[Total]]-VENTAS[[#This Row],[Comisión 10%]]-VENTAS[[#This Row],[Costo SIN Comision]]</f>
        <v>4.03</v>
      </c>
      <c r="M367" s="35"/>
    </row>
    <row r="368" s="22" customFormat="1" ht="20" customHeight="1" spans="1:13">
      <c r="A368" s="55">
        <v>45135</v>
      </c>
      <c r="B368" s="49" t="s">
        <v>3373</v>
      </c>
      <c r="C368" s="49"/>
      <c r="D368" s="49"/>
      <c r="E368" s="59" t="s">
        <v>1231</v>
      </c>
      <c r="F368" s="50" t="str">
        <f>IFERROR(VLOOKUP(VENTAS[[#This Row],[Código del producto Vendido]],STOCK[],5,FALSE),"-")</f>
        <v>Short elegante de pierna ancha con doblez </v>
      </c>
      <c r="G368" s="50">
        <v>1</v>
      </c>
      <c r="H368" s="51">
        <v>20</v>
      </c>
      <c r="I368" s="51">
        <f>VENTAS[[#This Row],[Cantidad]]*VENTAS[[#This Row],[Precio Venta]]</f>
        <v>20</v>
      </c>
      <c r="J368" s="51">
        <f>IF(VENTAS[[#This Row],[Nombre del Gestor]]&gt;1,VENTAS[[#This Row],[Total]]*10%,0)</f>
        <v>0</v>
      </c>
      <c r="K368" s="35">
        <f>IFERROR(VLOOKUP(VENTAS[[#This Row],[Código del producto Vendido]],STOCK[],16,FALSE)*VENTAS[[#This Row],[Cantidad]]+VLOOKUP(VENTAS[[#This Row],[Código del producto Vendido]],STOCK[],19,FALSE)*VENTAS[[#This Row],[Cantidad]],VENTAS[[#This Row],[Total]])</f>
        <v>14.37</v>
      </c>
      <c r="L368" s="35">
        <f>VENTAS[[#This Row],[Total]]-VENTAS[[#This Row],[Comisión 10%]]-VENTAS[[#This Row],[Costo SIN Comision]]</f>
        <v>5.63</v>
      </c>
      <c r="M368" s="44"/>
    </row>
    <row r="369" ht="20" customHeight="1" spans="1:13">
      <c r="A369" s="54">
        <v>45135</v>
      </c>
      <c r="B369" s="30"/>
      <c r="C369" s="30"/>
      <c r="D369" s="30"/>
      <c r="E369" s="30" t="s">
        <v>613</v>
      </c>
      <c r="F369" s="34" t="str">
        <f>IFERROR(VLOOKUP(VENTAS[[#This Row],[Código del producto Vendido]],STOCK[],5,FALSE),"-")</f>
        <v>Camiseta corta de manga farol</v>
      </c>
      <c r="G369" s="34">
        <v>1</v>
      </c>
      <c r="H369" s="35">
        <v>10</v>
      </c>
      <c r="I369" s="35">
        <f>VENTAS[[#This Row],[Cantidad]]*VENTAS[[#This Row],[Precio Venta]]</f>
        <v>10</v>
      </c>
      <c r="J369" s="35">
        <f>IF(VENTAS[[#This Row],[Nombre del Gestor]]&gt;1,VENTAS[[#This Row],[Total]]*10%,0)</f>
        <v>0</v>
      </c>
      <c r="K369" s="35">
        <f>IFERROR(VLOOKUP(VENTAS[[#This Row],[Código del producto Vendido]],STOCK[],16,FALSE)*VENTAS[[#This Row],[Cantidad]]+VLOOKUP(VENTAS[[#This Row],[Código del producto Vendido]],STOCK[],19,FALSE)*VENTAS[[#This Row],[Cantidad]],VENTAS[[#This Row],[Total]])</f>
        <v>5.735</v>
      </c>
      <c r="L369" s="35">
        <f>VENTAS[[#This Row],[Total]]-VENTAS[[#This Row],[Comisión 10%]]-VENTAS[[#This Row],[Costo SIN Comision]]</f>
        <v>4.265</v>
      </c>
      <c r="M369" s="35"/>
    </row>
    <row r="370" ht="20" customHeight="1" spans="1:13">
      <c r="A370" s="54">
        <v>45135</v>
      </c>
      <c r="B370" s="30"/>
      <c r="C370" s="30"/>
      <c r="D370" s="30"/>
      <c r="E370" s="30" t="s">
        <v>1206</v>
      </c>
      <c r="F370" s="34" t="str">
        <f>IFERROR(VLOOKUP(VENTAS[[#This Row],[Código del producto Vendido]],STOCK[],5,FALSE),"-")</f>
        <v>Pantaloneta roja</v>
      </c>
      <c r="G370" s="34">
        <v>1</v>
      </c>
      <c r="H370" s="35">
        <v>20</v>
      </c>
      <c r="I370" s="35">
        <f>VENTAS[[#This Row],[Cantidad]]*VENTAS[[#This Row],[Precio Venta]]</f>
        <v>20</v>
      </c>
      <c r="J370" s="35">
        <f>IF(VENTAS[[#This Row],[Nombre del Gestor]]&gt;1,VENTAS[[#This Row],[Total]]*10%,0)</f>
        <v>0</v>
      </c>
      <c r="K370" s="35">
        <f>IFERROR(VLOOKUP(VENTAS[[#This Row],[Código del producto Vendido]],STOCK[],16,FALSE)*VENTAS[[#This Row],[Cantidad]]+VLOOKUP(VENTAS[[#This Row],[Código del producto Vendido]],STOCK[],19,FALSE)*VENTAS[[#This Row],[Cantidad]],VENTAS[[#This Row],[Total]])</f>
        <v>13.36</v>
      </c>
      <c r="L370" s="35">
        <f>VENTAS[[#This Row],[Total]]-VENTAS[[#This Row],[Comisión 10%]]-VENTAS[[#This Row],[Costo SIN Comision]]</f>
        <v>6.64</v>
      </c>
      <c r="M370" s="35"/>
    </row>
    <row r="371" ht="20" customHeight="1" spans="1:13">
      <c r="A371" s="54">
        <v>45137</v>
      </c>
      <c r="B371" s="30"/>
      <c r="C371" s="30"/>
      <c r="D371" s="30"/>
      <c r="E371" s="30" t="s">
        <v>719</v>
      </c>
      <c r="F371" s="34" t="str">
        <f>IFERROR(VLOOKUP(VENTAS[[#This Row],[Código del producto Vendido]],STOCK[],5,FALSE),"-")</f>
        <v>Top acanalado sin mangas</v>
      </c>
      <c r="G371" s="34">
        <v>1</v>
      </c>
      <c r="H371" s="35">
        <v>10</v>
      </c>
      <c r="I371" s="35">
        <f>VENTAS[[#This Row],[Cantidad]]*VENTAS[[#This Row],[Precio Venta]]</f>
        <v>10</v>
      </c>
      <c r="J371" s="35">
        <f>IF(VENTAS[[#This Row],[Nombre del Gestor]]&gt;1,VENTAS[[#This Row],[Total]]*10%,0)</f>
        <v>0</v>
      </c>
      <c r="K371" s="35">
        <f>IFERROR(VLOOKUP(VENTAS[[#This Row],[Código del producto Vendido]],STOCK[],16,FALSE)*VENTAS[[#This Row],[Cantidad]]+VLOOKUP(VENTAS[[#This Row],[Código del producto Vendido]],STOCK[],19,FALSE)*VENTAS[[#This Row],[Cantidad]],VENTAS[[#This Row],[Total]])</f>
        <v>5.02222222222222</v>
      </c>
      <c r="L371" s="35">
        <f>VENTAS[[#This Row],[Total]]-VENTAS[[#This Row],[Comisión 10%]]-VENTAS[[#This Row],[Costo SIN Comision]]</f>
        <v>4.97777777777778</v>
      </c>
      <c r="M371" s="35"/>
    </row>
    <row r="372" ht="20" customHeight="1" spans="1:13">
      <c r="A372" s="54">
        <v>45137</v>
      </c>
      <c r="B372" s="30"/>
      <c r="C372" s="30"/>
      <c r="D372" s="30"/>
      <c r="E372" s="30" t="s">
        <v>1159</v>
      </c>
      <c r="F372" s="34" t="str">
        <f>IFERROR(VLOOKUP(VENTAS[[#This Row],[Código del producto Vendido]],STOCK[],5,FALSE),"-")</f>
        <v>Pezoneras de silicona</v>
      </c>
      <c r="G372" s="34">
        <v>2</v>
      </c>
      <c r="H372" s="35">
        <v>6</v>
      </c>
      <c r="I372" s="35">
        <f>VENTAS[[#This Row],[Cantidad]]*VENTAS[[#This Row],[Precio Venta]]</f>
        <v>12</v>
      </c>
      <c r="J372" s="35">
        <f>IF(VENTAS[[#This Row],[Nombre del Gestor]]&gt;1,VENTAS[[#This Row],[Total]]*10%,0)</f>
        <v>0</v>
      </c>
      <c r="K372" s="35">
        <f>IFERROR(VLOOKUP(VENTAS[[#This Row],[Código del producto Vendido]],STOCK[],16,FALSE)*VENTAS[[#This Row],[Cantidad]]+VLOOKUP(VENTAS[[#This Row],[Código del producto Vendido]],STOCK[],19,FALSE)*VENTAS[[#This Row],[Cantidad]],VENTAS[[#This Row],[Total]])</f>
        <v>4.06</v>
      </c>
      <c r="L372" s="35">
        <f>VENTAS[[#This Row],[Total]]-VENTAS[[#This Row],[Comisión 10%]]-VENTAS[[#This Row],[Costo SIN Comision]]</f>
        <v>7.94</v>
      </c>
      <c r="M372" s="35"/>
    </row>
    <row r="373" ht="20" customHeight="1" spans="1:13">
      <c r="A373" s="54">
        <v>45137</v>
      </c>
      <c r="B373" s="30"/>
      <c r="C373" s="30"/>
      <c r="D373" s="30"/>
      <c r="E373" s="30" t="s">
        <v>1180</v>
      </c>
      <c r="F373" s="34" t="str">
        <f>IFERROR(VLOOKUP(VENTAS[[#This Row],[Código del producto Vendido]],STOCK[],5,FALSE),"-")</f>
        <v>Short de mezclilla clara con doblez</v>
      </c>
      <c r="G373" s="34">
        <v>1</v>
      </c>
      <c r="H373" s="35">
        <v>25</v>
      </c>
      <c r="I373" s="35">
        <f>VENTAS[[#This Row],[Cantidad]]*VENTAS[[#This Row],[Precio Venta]]</f>
        <v>25</v>
      </c>
      <c r="J373" s="35">
        <f>IF(VENTAS[[#This Row],[Nombre del Gestor]]&gt;1,VENTAS[[#This Row],[Total]]*10%,0)</f>
        <v>0</v>
      </c>
      <c r="K373" s="35">
        <f>IFERROR(VLOOKUP(VENTAS[[#This Row],[Código del producto Vendido]],STOCK[],16,FALSE)*VENTAS[[#This Row],[Cantidad]]+VLOOKUP(VENTAS[[#This Row],[Código del producto Vendido]],STOCK[],19,FALSE)*VENTAS[[#This Row],[Cantidad]],VENTAS[[#This Row],[Total]])</f>
        <v>14.29</v>
      </c>
      <c r="L373" s="35">
        <f>VENTAS[[#This Row],[Total]]-VENTAS[[#This Row],[Comisión 10%]]-VENTAS[[#This Row],[Costo SIN Comision]]</f>
        <v>10.71</v>
      </c>
      <c r="M373" s="35"/>
    </row>
    <row r="374" ht="20" customHeight="1" spans="1:13">
      <c r="A374" s="54">
        <v>45137</v>
      </c>
      <c r="B374" s="30"/>
      <c r="C374" s="30"/>
      <c r="D374" s="30"/>
      <c r="E374" s="30" t="s">
        <v>1271</v>
      </c>
      <c r="F374" s="34" t="str">
        <f>IFERROR(VLOOKUP(VENTAS[[#This Row],[Código del producto Vendido]],STOCK[],5,FALSE),"-")</f>
        <v>Top blanco cuello V con encaje</v>
      </c>
      <c r="G374" s="34">
        <v>1</v>
      </c>
      <c r="H374" s="35">
        <v>12</v>
      </c>
      <c r="I374" s="35">
        <f>VENTAS[[#This Row],[Cantidad]]*VENTAS[[#This Row],[Precio Venta]]</f>
        <v>12</v>
      </c>
      <c r="J374" s="35">
        <f>IF(VENTAS[[#This Row],[Nombre del Gestor]]&gt;1,VENTAS[[#This Row],[Total]]*10%,0)</f>
        <v>0</v>
      </c>
      <c r="K374" s="35">
        <f>IFERROR(VLOOKUP(VENTAS[[#This Row],[Código del producto Vendido]],STOCK[],16,FALSE)*VENTAS[[#This Row],[Cantidad]]+VLOOKUP(VENTAS[[#This Row],[Código del producto Vendido]],STOCK[],19,FALSE)*VENTAS[[#This Row],[Cantidad]],VENTAS[[#This Row],[Total]])</f>
        <v>7.97</v>
      </c>
      <c r="L374" s="35">
        <f>VENTAS[[#This Row],[Total]]-VENTAS[[#This Row],[Comisión 10%]]-VENTAS[[#This Row],[Costo SIN Comision]]</f>
        <v>4.03</v>
      </c>
      <c r="M374" s="35"/>
    </row>
    <row r="375" ht="20" customHeight="1" spans="1:13">
      <c r="A375" s="54">
        <v>45138</v>
      </c>
      <c r="B375" s="30"/>
      <c r="C375" s="30"/>
      <c r="D375" s="30"/>
      <c r="E375" s="30" t="s">
        <v>920</v>
      </c>
      <c r="F375" s="34" t="str">
        <f>IFERROR(VLOOKUP(VENTAS[[#This Row],[Código del producto Vendido]],STOCK[],5,FALSE),"-")</f>
        <v>Vestido de lunares</v>
      </c>
      <c r="G375" s="34">
        <v>1</v>
      </c>
      <c r="H375" s="35">
        <v>22</v>
      </c>
      <c r="I375" s="35">
        <f>VENTAS[[#This Row],[Cantidad]]*VENTAS[[#This Row],[Precio Venta]]</f>
        <v>22</v>
      </c>
      <c r="J375" s="35">
        <f>IF(VENTAS[[#This Row],[Nombre del Gestor]]&gt;1,VENTAS[[#This Row],[Total]]*10%,0)</f>
        <v>0</v>
      </c>
      <c r="K375" s="35">
        <f>IFERROR(VLOOKUP(VENTAS[[#This Row],[Código del producto Vendido]],STOCK[],16,FALSE)*VENTAS[[#This Row],[Cantidad]]+VLOOKUP(VENTAS[[#This Row],[Código del producto Vendido]],STOCK[],19,FALSE)*VENTAS[[#This Row],[Cantidad]],VENTAS[[#This Row],[Total]])</f>
        <v>13.9113636363636</v>
      </c>
      <c r="L375" s="35">
        <f>VENTAS[[#This Row],[Total]]-VENTAS[[#This Row],[Comisión 10%]]-VENTAS[[#This Row],[Costo SIN Comision]]</f>
        <v>8.0886363636364</v>
      </c>
      <c r="M375" s="35"/>
    </row>
    <row r="376" s="23" customFormat="1" ht="20" customHeight="1" spans="1:13">
      <c r="A376" s="56"/>
      <c r="B376" s="30"/>
      <c r="C376" s="30"/>
      <c r="D376" s="30"/>
      <c r="E376" s="30" t="s">
        <v>732</v>
      </c>
      <c r="F376" s="34" t="str">
        <f>IFERROR(VLOOKUP(VENTAS[[#This Row],[Código del producto Vendido]],STOCK[],5,FALSE),"-")</f>
        <v>Vestido corto azul real</v>
      </c>
      <c r="G376" s="34">
        <v>1</v>
      </c>
      <c r="H376" s="35">
        <v>19</v>
      </c>
      <c r="I376" s="35">
        <f>VENTAS[[#This Row],[Cantidad]]*VENTAS[[#This Row],[Precio Venta]]</f>
        <v>19</v>
      </c>
      <c r="J376" s="35">
        <f>IF(VENTAS[[#This Row],[Nombre del Gestor]]&gt;1,VENTAS[[#This Row],[Total]]*10%,0)</f>
        <v>0</v>
      </c>
      <c r="K376" s="35">
        <f>IFERROR(VLOOKUP(VENTAS[[#This Row],[Código del producto Vendido]],STOCK[],16,FALSE)*VENTAS[[#This Row],[Cantidad]]+VLOOKUP(VENTAS[[#This Row],[Código del producto Vendido]],STOCK[],19,FALSE)*VENTAS[[#This Row],[Cantidad]],VENTAS[[#This Row],[Total]])</f>
        <v>11.9444444444444</v>
      </c>
      <c r="L376" s="35">
        <f>VENTAS[[#This Row],[Total]]-VENTAS[[#This Row],[Comisión 10%]]-VENTAS[[#This Row],[Costo SIN Comision]]</f>
        <v>7.05555555555556</v>
      </c>
      <c r="M376" s="60"/>
    </row>
    <row r="377" s="23" customFormat="1" ht="20" customHeight="1" spans="1:13">
      <c r="A377" s="56"/>
      <c r="B377" s="30"/>
      <c r="C377" s="30"/>
      <c r="D377" s="30"/>
      <c r="E377" s="30" t="s">
        <v>735</v>
      </c>
      <c r="F377" s="34" t="str">
        <f>IFERROR(VLOOKUP(VENTAS[[#This Row],[Código del producto Vendido]],STOCK[],5,FALSE),"-")</f>
        <v>Vestido corto azul real</v>
      </c>
      <c r="G377" s="34">
        <v>1</v>
      </c>
      <c r="H377" s="35">
        <v>18</v>
      </c>
      <c r="I377" s="35">
        <f>VENTAS[[#This Row],[Cantidad]]*VENTAS[[#This Row],[Precio Venta]]</f>
        <v>18</v>
      </c>
      <c r="J377" s="35">
        <f>IF(VENTAS[[#This Row],[Nombre del Gestor]]&gt;1,VENTAS[[#This Row],[Total]]*10%,0)</f>
        <v>0</v>
      </c>
      <c r="K377" s="35">
        <f>IFERROR(VLOOKUP(VENTAS[[#This Row],[Código del producto Vendido]],STOCK[],16,FALSE)*VENTAS[[#This Row],[Cantidad]]+VLOOKUP(VENTAS[[#This Row],[Código del producto Vendido]],STOCK[],19,FALSE)*VENTAS[[#This Row],[Cantidad]],VENTAS[[#This Row],[Total]])</f>
        <v>11.9444444444444</v>
      </c>
      <c r="L377" s="35">
        <f>VENTAS[[#This Row],[Total]]-VENTAS[[#This Row],[Comisión 10%]]-VENTAS[[#This Row],[Costo SIN Comision]]</f>
        <v>6.05555555555556</v>
      </c>
      <c r="M377" s="60"/>
    </row>
    <row r="378" ht="20" customHeight="1" spans="1:13">
      <c r="A378" s="56"/>
      <c r="B378" s="30"/>
      <c r="C378" s="30"/>
      <c r="D378" s="30"/>
      <c r="E378" s="30" t="s">
        <v>726</v>
      </c>
      <c r="F378" s="34" t="str">
        <f>IFERROR(VLOOKUP(VENTAS[[#This Row],[Código del producto Vendido]],STOCK[],5,FALSE),"-")</f>
        <v>Top acanalado sin mangas</v>
      </c>
      <c r="G378" s="34">
        <v>1</v>
      </c>
      <c r="H378" s="35">
        <v>12</v>
      </c>
      <c r="I378" s="35">
        <f>VENTAS[[#This Row],[Cantidad]]*VENTAS[[#This Row],[Precio Venta]]</f>
        <v>12</v>
      </c>
      <c r="J378" s="35">
        <f>IF(VENTAS[[#This Row],[Nombre del Gestor]]&gt;1,VENTAS[[#This Row],[Total]]*10%,0)</f>
        <v>0</v>
      </c>
      <c r="K378" s="35">
        <f>IFERROR(VLOOKUP(VENTAS[[#This Row],[Código del producto Vendido]],STOCK[],16,FALSE)*VENTAS[[#This Row],[Cantidad]]+VLOOKUP(VENTAS[[#This Row],[Código del producto Vendido]],STOCK[],19,FALSE)*VENTAS[[#This Row],[Cantidad]],VENTAS[[#This Row],[Total]])</f>
        <v>5.02222222222222</v>
      </c>
      <c r="L378" s="35">
        <f>VENTAS[[#This Row],[Total]]-VENTAS[[#This Row],[Comisión 10%]]-VENTAS[[#This Row],[Costo SIN Comision]]</f>
        <v>6.97777777777778</v>
      </c>
      <c r="M378" s="35"/>
    </row>
    <row r="379" s="23" customFormat="1" ht="20" customHeight="1" spans="1:13">
      <c r="A379" s="54">
        <v>45138</v>
      </c>
      <c r="B379" s="30"/>
      <c r="C379" s="30"/>
      <c r="D379" s="30"/>
      <c r="E379" s="30" t="s">
        <v>1239</v>
      </c>
      <c r="F379" s="34" t="str">
        <f>IFERROR(VLOOKUP(VENTAS[[#This Row],[Código del producto Vendido]],STOCK[],5,FALSE),"-")</f>
        <v>Cinturón negro con hebilla dorada</v>
      </c>
      <c r="G379" s="34">
        <v>1</v>
      </c>
      <c r="H379" s="35">
        <v>18</v>
      </c>
      <c r="I379" s="35">
        <f>VENTAS[[#This Row],[Cantidad]]*VENTAS[[#This Row],[Precio Venta]]</f>
        <v>18</v>
      </c>
      <c r="J379" s="35">
        <f>IF(VENTAS[[#This Row],[Nombre del Gestor]]&gt;1,VENTAS[[#This Row],[Total]]*10%,0)</f>
        <v>0</v>
      </c>
      <c r="K379" s="35">
        <f>IFERROR(VLOOKUP(VENTAS[[#This Row],[Código del producto Vendido]],STOCK[],16,FALSE)*VENTAS[[#This Row],[Cantidad]]+VLOOKUP(VENTAS[[#This Row],[Código del producto Vendido]],STOCK[],19,FALSE)*VENTAS[[#This Row],[Cantidad]],VENTAS[[#This Row],[Total]])</f>
        <v>4.61</v>
      </c>
      <c r="L379" s="35">
        <f>VENTAS[[#This Row],[Total]]-VENTAS[[#This Row],[Comisión 10%]]-VENTAS[[#This Row],[Costo SIN Comision]]</f>
        <v>13.39</v>
      </c>
      <c r="M379" s="60"/>
    </row>
    <row r="380" s="23" customFormat="1" ht="20" customHeight="1" spans="1:13">
      <c r="A380" s="57"/>
      <c r="B380" s="30"/>
      <c r="C380" s="30"/>
      <c r="D380" s="30"/>
      <c r="E380" s="30" t="s">
        <v>1032</v>
      </c>
      <c r="F380" s="30" t="str">
        <f>IFERROR(VLOOKUP(VENTAS[[#This Row],[Código del producto Vendido]],STOCK[],5,FALSE),"-")</f>
        <v>Jenas Ajustados Oscuro</v>
      </c>
      <c r="G380" s="30">
        <v>1</v>
      </c>
      <c r="H380" s="35">
        <v>35</v>
      </c>
      <c r="I380" s="35">
        <f>VENTAS[[#This Row],[Cantidad]]*VENTAS[[#This Row],[Precio Venta]]</f>
        <v>35</v>
      </c>
      <c r="J380" s="35">
        <f>IF(VENTAS[[#This Row],[Nombre del Gestor]]&gt;1,VENTAS[[#This Row],[Total]]*10%,0)</f>
        <v>0</v>
      </c>
      <c r="K380" s="35">
        <f>IFERROR(VLOOKUP(VENTAS[[#This Row],[Código del producto Vendido]],STOCK[],16,FALSE)*VENTAS[[#This Row],[Cantidad]]+VLOOKUP(VENTAS[[#This Row],[Código del producto Vendido]],STOCK[],19,FALSE)*VENTAS[[#This Row],[Cantidad]],VENTAS[[#This Row],[Total]])</f>
        <v>24.6818181818182</v>
      </c>
      <c r="L380" s="35">
        <f>VENTAS[[#This Row],[Total]]-VENTAS[[#This Row],[Comisión 10%]]-VENTAS[[#This Row],[Costo SIN Comision]]</f>
        <v>10.3181818181818</v>
      </c>
      <c r="M380" s="60"/>
    </row>
    <row r="381" ht="20" customHeight="1" spans="1:13">
      <c r="A381" s="57"/>
      <c r="B381" s="30"/>
      <c r="C381" s="30"/>
      <c r="D381" s="30"/>
      <c r="E381" s="30" t="s">
        <v>935</v>
      </c>
      <c r="F381" s="30" t="str">
        <f>IFERROR(VLOOKUP(VENTAS[[#This Row],[Código del producto Vendido]],STOCK[],5,FALSE),"-")</f>
        <v>Bañador con zíper de pierna alta</v>
      </c>
      <c r="G381" s="30">
        <v>1</v>
      </c>
      <c r="H381" s="35">
        <v>28</v>
      </c>
      <c r="I381" s="35">
        <f>VENTAS[[#This Row],[Cantidad]]*VENTAS[[#This Row],[Precio Venta]]</f>
        <v>28</v>
      </c>
      <c r="J381" s="35">
        <f>IF(VENTAS[[#This Row],[Nombre del Gestor]]&gt;1,VENTAS[[#This Row],[Total]]*10%,0)</f>
        <v>0</v>
      </c>
      <c r="K381" s="35">
        <f>IFERROR(VLOOKUP(VENTAS[[#This Row],[Código del producto Vendido]],STOCK[],16,FALSE)*VENTAS[[#This Row],[Cantidad]]+VLOOKUP(VENTAS[[#This Row],[Código del producto Vendido]],STOCK[],19,FALSE)*VENTAS[[#This Row],[Cantidad]],VENTAS[[#This Row],[Total]])</f>
        <v>14.0231818181818</v>
      </c>
      <c r="L381" s="35">
        <f>VENTAS[[#This Row],[Total]]-VENTAS[[#This Row],[Comisión 10%]]-VENTAS[[#This Row],[Costo SIN Comision]]</f>
        <v>13.9768181818182</v>
      </c>
      <c r="M381" s="35"/>
    </row>
    <row r="382" ht="20" customHeight="1" spans="1:13">
      <c r="A382" s="57"/>
      <c r="B382" s="30"/>
      <c r="C382" s="30"/>
      <c r="D382" s="30"/>
      <c r="E382" s="30" t="s">
        <v>911</v>
      </c>
      <c r="F382" s="30" t="str">
        <f>IFERROR(VLOOKUP(VENTAS[[#This Row],[Código del producto Vendido]],STOCK[],5,FALSE),"-")</f>
        <v>Bañador de pierna alta</v>
      </c>
      <c r="G382" s="30">
        <v>1</v>
      </c>
      <c r="H382" s="35">
        <v>28</v>
      </c>
      <c r="I382" s="35">
        <f>VENTAS[[#This Row],[Cantidad]]*VENTAS[[#This Row],[Precio Venta]]</f>
        <v>28</v>
      </c>
      <c r="J382" s="35">
        <f>IF(VENTAS[[#This Row],[Nombre del Gestor]]&gt;1,VENTAS[[#This Row],[Total]]*10%,0)</f>
        <v>0</v>
      </c>
      <c r="K382" s="35">
        <f>IFERROR(VLOOKUP(VENTAS[[#This Row],[Código del producto Vendido]],STOCK[],16,FALSE)*VENTAS[[#This Row],[Cantidad]]+VLOOKUP(VENTAS[[#This Row],[Código del producto Vendido]],STOCK[],19,FALSE)*VENTAS[[#This Row],[Cantidad]],VENTAS[[#This Row],[Total]])</f>
        <v>15.8931818181818</v>
      </c>
      <c r="L382" s="35">
        <f>VENTAS[[#This Row],[Total]]-VENTAS[[#This Row],[Comisión 10%]]-VENTAS[[#This Row],[Costo SIN Comision]]</f>
        <v>12.1068181818182</v>
      </c>
      <c r="M382" s="35"/>
    </row>
    <row r="383" ht="20" customHeight="1" spans="1:13">
      <c r="A383" s="57"/>
      <c r="B383" s="30"/>
      <c r="C383" s="30"/>
      <c r="D383" s="30"/>
      <c r="E383" s="30" t="s">
        <v>905</v>
      </c>
      <c r="F383" s="30" t="str">
        <f>IFERROR(VLOOKUP(VENTAS[[#This Row],[Código del producto Vendido]],STOCK[],5,FALSE),"-")</f>
        <v>Bikini Floral</v>
      </c>
      <c r="G383" s="30">
        <v>1</v>
      </c>
      <c r="H383" s="35">
        <v>25</v>
      </c>
      <c r="I383" s="35">
        <f>VENTAS[[#This Row],[Cantidad]]*VENTAS[[#This Row],[Precio Venta]]</f>
        <v>25</v>
      </c>
      <c r="J383" s="35">
        <f>IF(VENTAS[[#This Row],[Nombre del Gestor]]&gt;1,VENTAS[[#This Row],[Total]]*10%,0)</f>
        <v>0</v>
      </c>
      <c r="K383" s="35">
        <f>IFERROR(VLOOKUP(VENTAS[[#This Row],[Código del producto Vendido]],STOCK[],16,FALSE)*VENTAS[[#This Row],[Cantidad]]+VLOOKUP(VENTAS[[#This Row],[Código del producto Vendido]],STOCK[],19,FALSE)*VENTAS[[#This Row],[Cantidad]],VENTAS[[#This Row],[Total]])</f>
        <v>17.5127272727273</v>
      </c>
      <c r="L383" s="35">
        <f>VENTAS[[#This Row],[Total]]-VENTAS[[#This Row],[Comisión 10%]]-VENTAS[[#This Row],[Costo SIN Comision]]</f>
        <v>7.4872727272727</v>
      </c>
      <c r="M383" s="35"/>
    </row>
    <row r="384" ht="20" customHeight="1" spans="1:13">
      <c r="A384" s="57"/>
      <c r="B384" s="30"/>
      <c r="C384" s="30"/>
      <c r="D384" s="30"/>
      <c r="E384" s="30" t="s">
        <v>881</v>
      </c>
      <c r="F384" s="30" t="str">
        <f>IFERROR(VLOOKUP(VENTAS[[#This Row],[Código del producto Vendido]],STOCK[],5,FALSE),"-")</f>
        <v>Bragas sin costuras</v>
      </c>
      <c r="G384" s="30">
        <v>3</v>
      </c>
      <c r="H384" s="35">
        <v>3</v>
      </c>
      <c r="I384" s="35">
        <f>VENTAS[[#This Row],[Cantidad]]*VENTAS[[#This Row],[Precio Venta]]</f>
        <v>9</v>
      </c>
      <c r="J384" s="35">
        <f>IF(VENTAS[[#This Row],[Nombre del Gestor]]&gt;1,VENTAS[[#This Row],[Total]]*10%,0)</f>
        <v>0</v>
      </c>
      <c r="K384" s="35">
        <f>IFERROR(VLOOKUP(VENTAS[[#This Row],[Código del producto Vendido]],STOCK[],16,FALSE)*VENTAS[[#This Row],[Cantidad]]+VLOOKUP(VENTAS[[#This Row],[Código del producto Vendido]],STOCK[],19,FALSE)*VENTAS[[#This Row],[Cantidad]],VENTAS[[#This Row],[Total]])</f>
        <v>5.98333333333332</v>
      </c>
      <c r="L384" s="35">
        <f>VENTAS[[#This Row],[Total]]-VENTAS[[#This Row],[Comisión 10%]]-VENTAS[[#This Row],[Costo SIN Comision]]</f>
        <v>3.01666666666668</v>
      </c>
      <c r="M384" s="35"/>
    </row>
    <row r="385" ht="20" customHeight="1" spans="1:13">
      <c r="A385" s="57"/>
      <c r="B385" s="30"/>
      <c r="C385" s="30"/>
      <c r="D385" s="30"/>
      <c r="E385" s="30" t="s">
        <v>793</v>
      </c>
      <c r="F385" s="30" t="str">
        <f>IFERROR(VLOOKUP(VENTAS[[#This Row],[Código del producto Vendido]],STOCK[],5,FALSE),"-")</f>
        <v>Bañador atado a los lados</v>
      </c>
      <c r="G385" s="30">
        <v>1</v>
      </c>
      <c r="H385" s="35">
        <v>19</v>
      </c>
      <c r="I385" s="35">
        <f>VENTAS[[#This Row],[Cantidad]]*VENTAS[[#This Row],[Precio Venta]]</f>
        <v>19</v>
      </c>
      <c r="J385" s="35">
        <f>IF(VENTAS[[#This Row],[Nombre del Gestor]]&gt;1,VENTAS[[#This Row],[Total]]*10%,0)</f>
        <v>0</v>
      </c>
      <c r="K385" s="35">
        <f>IFERROR(VLOOKUP(VENTAS[[#This Row],[Código del producto Vendido]],STOCK[],16,FALSE)*VENTAS[[#This Row],[Cantidad]]+VLOOKUP(VENTAS[[#This Row],[Código del producto Vendido]],STOCK[],19,FALSE)*VENTAS[[#This Row],[Cantidad]],VENTAS[[#This Row],[Total]])</f>
        <v>12.8333333333333</v>
      </c>
      <c r="L385" s="35">
        <f>VENTAS[[#This Row],[Total]]-VENTAS[[#This Row],[Comisión 10%]]-VENTAS[[#This Row],[Costo SIN Comision]]</f>
        <v>6.1666666666667</v>
      </c>
      <c r="M385" s="35"/>
    </row>
    <row r="386" ht="20" customHeight="1" spans="1:13">
      <c r="A386" s="61">
        <v>45138</v>
      </c>
      <c r="B386" s="30"/>
      <c r="C386" s="30"/>
      <c r="D386" s="30"/>
      <c r="E386" s="30" t="s">
        <v>641</v>
      </c>
      <c r="F386" s="34" t="str">
        <f>IFERROR(VLOOKUP(VENTAS[[#This Row],[Código del producto Vendido]],STOCK[],5,FALSE),"-")</f>
        <v>Vestido con estampado floral</v>
      </c>
      <c r="G386" s="34">
        <v>1</v>
      </c>
      <c r="H386" s="35">
        <v>15</v>
      </c>
      <c r="I386" s="35">
        <f>VENTAS[[#This Row],[Cantidad]]*VENTAS[[#This Row],[Precio Venta]]</f>
        <v>15</v>
      </c>
      <c r="J386" s="35">
        <f>IF(VENTAS[[#This Row],[Nombre del Gestor]]&gt;1,VENTAS[[#This Row],[Total]]*10%,0)</f>
        <v>0</v>
      </c>
      <c r="K386" s="35">
        <f>IFERROR(VLOOKUP(VENTAS[[#This Row],[Código del producto Vendido]],STOCK[],16,FALSE)*VENTAS[[#This Row],[Cantidad]]+VLOOKUP(VENTAS[[#This Row],[Código del producto Vendido]],STOCK[],19,FALSE)*VENTAS[[#This Row],[Cantidad]],VENTAS[[#This Row],[Total]])</f>
        <v>10.7222222222222</v>
      </c>
      <c r="L386" s="35">
        <f>VENTAS[[#This Row],[Total]]-VENTAS[[#This Row],[Comisión 10%]]-VENTAS[[#This Row],[Costo SIN Comision]]</f>
        <v>4.27777777777778</v>
      </c>
      <c r="M386" s="35"/>
    </row>
    <row r="387" ht="20" customHeight="1" spans="1:13">
      <c r="A387" s="62">
        <v>45138</v>
      </c>
      <c r="B387" s="30"/>
      <c r="C387" s="30"/>
      <c r="D387" s="30"/>
      <c r="E387" s="30" t="s">
        <v>618</v>
      </c>
      <c r="F387" s="34" t="str">
        <f>IFERROR(VLOOKUP(VENTAS[[#This Row],[Código del producto Vendido]],STOCK[],5,FALSE),"-")</f>
        <v>Vestido pecho con fruncido </v>
      </c>
      <c r="G387" s="34">
        <v>1</v>
      </c>
      <c r="H387" s="35">
        <v>15</v>
      </c>
      <c r="I387" s="35">
        <f>VENTAS[[#This Row],[Cantidad]]*VENTAS[[#This Row],[Precio Venta]]</f>
        <v>15</v>
      </c>
      <c r="J387" s="35">
        <f>IF(VENTAS[[#This Row],[Nombre del Gestor]]&gt;1,VENTAS[[#This Row],[Total]]*10%,0)</f>
        <v>0</v>
      </c>
      <c r="K387" s="35">
        <f>IFERROR(VLOOKUP(VENTAS[[#This Row],[Código del producto Vendido]],STOCK[],16,FALSE)*VENTAS[[#This Row],[Cantidad]]+VLOOKUP(VENTAS[[#This Row],[Código del producto Vendido]],STOCK[],19,FALSE)*VENTAS[[#This Row],[Cantidad]],VENTAS[[#This Row],[Total]])</f>
        <v>10.7222222222222</v>
      </c>
      <c r="L387" s="35">
        <f>VENTAS[[#This Row],[Total]]-VENTAS[[#This Row],[Comisión 10%]]-VENTAS[[#This Row],[Costo SIN Comision]]</f>
        <v>4.27777777777778</v>
      </c>
      <c r="M387" s="35"/>
    </row>
    <row r="388" ht="20" customHeight="1" spans="1:13">
      <c r="A388" s="57"/>
      <c r="B388" s="30"/>
      <c r="C388" s="30"/>
      <c r="D388" s="30"/>
      <c r="E388" s="30" t="s">
        <v>462</v>
      </c>
      <c r="F388" s="34" t="str">
        <f>IFERROR(VLOOKUP(VENTAS[[#This Row],[Código del producto Vendido]],STOCK[],5,FALSE),"-")</f>
        <v>Vestido cruzado de lunares</v>
      </c>
      <c r="G388" s="34">
        <v>1</v>
      </c>
      <c r="H388" s="35">
        <v>15</v>
      </c>
      <c r="I388" s="35">
        <f>VENTAS[[#This Row],[Cantidad]]*VENTAS[[#This Row],[Precio Venta]]</f>
        <v>15</v>
      </c>
      <c r="J388" s="35">
        <f>IF(VENTAS[[#This Row],[Nombre del Gestor]]&gt;1,VENTAS[[#This Row],[Total]]*10%,0)</f>
        <v>0</v>
      </c>
      <c r="K388" s="35">
        <f>IFERROR(VLOOKUP(VENTAS[[#This Row],[Código del producto Vendido]],STOCK[],16,FALSE)*VENTAS[[#This Row],[Cantidad]]+VLOOKUP(VENTAS[[#This Row],[Código del producto Vendido]],STOCK[],19,FALSE)*VENTAS[[#This Row],[Cantidad]],VENTAS[[#This Row],[Total]])</f>
        <v>11.1933333333333</v>
      </c>
      <c r="L388" s="35">
        <f>VENTAS[[#This Row],[Total]]-VENTAS[[#This Row],[Comisión 10%]]-VENTAS[[#This Row],[Costo SIN Comision]]</f>
        <v>3.80666666666667</v>
      </c>
      <c r="M388" s="35"/>
    </row>
    <row r="389" ht="20" customHeight="1" spans="1:13">
      <c r="A389" s="57"/>
      <c r="B389" s="30"/>
      <c r="C389" s="30"/>
      <c r="D389" s="30"/>
      <c r="E389" s="30" t="s">
        <v>453</v>
      </c>
      <c r="F389" s="34" t="str">
        <f>IFERROR(VLOOKUP(VENTAS[[#This Row],[Código del producto Vendido]],STOCK[],5,FALSE),"-")</f>
        <v>Bañador bikini de manga raglán con cordón floral</v>
      </c>
      <c r="G389" s="34">
        <v>1</v>
      </c>
      <c r="H389" s="35">
        <v>25</v>
      </c>
      <c r="I389" s="35">
        <f>VENTAS[[#This Row],[Cantidad]]*VENTAS[[#This Row],[Precio Venta]]</f>
        <v>25</v>
      </c>
      <c r="J389" s="35">
        <f>IF(VENTAS[[#This Row],[Nombre del Gestor]]&gt;1,VENTAS[[#This Row],[Total]]*10%,0)</f>
        <v>0</v>
      </c>
      <c r="K389" s="35">
        <f>IFERROR(VLOOKUP(VENTAS[[#This Row],[Código del producto Vendido]],STOCK[],16,FALSE)*VENTAS[[#This Row],[Cantidad]]+VLOOKUP(VENTAS[[#This Row],[Código del producto Vendido]],STOCK[],19,FALSE)*VENTAS[[#This Row],[Cantidad]],VENTAS[[#This Row],[Total]])</f>
        <v>19.7944444444444</v>
      </c>
      <c r="L389" s="35">
        <f>VENTAS[[#This Row],[Total]]-VENTAS[[#This Row],[Comisión 10%]]-VENTAS[[#This Row],[Costo SIN Comision]]</f>
        <v>5.2055555555556</v>
      </c>
      <c r="M389" s="35"/>
    </row>
    <row r="390" ht="20" customHeight="1" spans="1:13">
      <c r="A390" s="63"/>
      <c r="B390" s="30"/>
      <c r="C390" s="30"/>
      <c r="D390" s="30"/>
      <c r="E390" s="30" t="s">
        <v>400</v>
      </c>
      <c r="F390" s="34" t="str">
        <f>IFERROR(VLOOKUP(VENTAS[[#This Row],[Código del producto Vendido]],STOCK[],5,FALSE),"-")</f>
        <v>Vestido Volante rígido Floral </v>
      </c>
      <c r="G390" s="34">
        <v>1</v>
      </c>
      <c r="H390" s="35">
        <v>25</v>
      </c>
      <c r="I390" s="35">
        <f>VENTAS[[#This Row],[Cantidad]]*VENTAS[[#This Row],[Precio Venta]]</f>
        <v>25</v>
      </c>
      <c r="J390" s="35">
        <f>IF(VENTAS[[#This Row],[Nombre del Gestor]]&gt;1,VENTAS[[#This Row],[Total]]*10%,0)</f>
        <v>0</v>
      </c>
      <c r="K390" s="35">
        <f>IFERROR(VLOOKUP(VENTAS[[#This Row],[Código del producto Vendido]],STOCK[],16,FALSE)*VENTAS[[#This Row],[Cantidad]]+VLOOKUP(VENTAS[[#This Row],[Código del producto Vendido]],STOCK[],19,FALSE)*VENTAS[[#This Row],[Cantidad]],VENTAS[[#This Row],[Total]])</f>
        <v>19.21</v>
      </c>
      <c r="L390" s="35">
        <f>VENTAS[[#This Row],[Total]]-VENTAS[[#This Row],[Comisión 10%]]-VENTAS[[#This Row],[Costo SIN Comision]]</f>
        <v>5.79</v>
      </c>
      <c r="M390" s="35"/>
    </row>
    <row r="391" ht="20" customHeight="1" spans="1:13">
      <c r="A391" s="62">
        <v>45138</v>
      </c>
      <c r="B391" s="30"/>
      <c r="C391" s="30"/>
      <c r="D391" s="30"/>
      <c r="E391" s="30" t="s">
        <v>400</v>
      </c>
      <c r="F391" s="34" t="str">
        <f>IFERROR(VLOOKUP(VENTAS[[#This Row],[Código del producto Vendido]],STOCK[],5,FALSE),"-")</f>
        <v>Vestido Volante rígido Floral </v>
      </c>
      <c r="G391" s="34">
        <v>1</v>
      </c>
      <c r="H391" s="35">
        <v>25</v>
      </c>
      <c r="I391" s="35">
        <f>VENTAS[[#This Row],[Cantidad]]*VENTAS[[#This Row],[Precio Venta]]</f>
        <v>25</v>
      </c>
      <c r="J391" s="35">
        <f>IF(VENTAS[[#This Row],[Nombre del Gestor]]&gt;1,VENTAS[[#This Row],[Total]]*10%,0)</f>
        <v>0</v>
      </c>
      <c r="K391" s="35">
        <f>IFERROR(VLOOKUP(VENTAS[[#This Row],[Código del producto Vendido]],STOCK[],16,FALSE)*VENTAS[[#This Row],[Cantidad]]+VLOOKUP(VENTAS[[#This Row],[Código del producto Vendido]],STOCK[],19,FALSE)*VENTAS[[#This Row],[Cantidad]],VENTAS[[#This Row],[Total]])</f>
        <v>19.21</v>
      </c>
      <c r="L391" s="35">
        <f>VENTAS[[#This Row],[Total]]-VENTAS[[#This Row],[Comisión 10%]]-VENTAS[[#This Row],[Costo SIN Comision]]</f>
        <v>5.79</v>
      </c>
      <c r="M391" s="35"/>
    </row>
    <row r="392" ht="20" customHeight="1" spans="1:13">
      <c r="A392" s="61">
        <v>45138</v>
      </c>
      <c r="B392" s="30"/>
      <c r="C392" s="30"/>
      <c r="D392" s="30"/>
      <c r="E392" s="30" t="s">
        <v>77</v>
      </c>
      <c r="F392" s="34" t="str">
        <f>IFERROR(VLOOKUP(VENTAS[[#This Row],[Código del producto Vendido]],STOCK[],5,FALSE),"-")</f>
        <v>Bikini con cordón lateral</v>
      </c>
      <c r="G392" s="34">
        <v>1</v>
      </c>
      <c r="H392" s="35">
        <v>22</v>
      </c>
      <c r="I392" s="35">
        <f>VENTAS[[#This Row],[Cantidad]]*VENTAS[[#This Row],[Precio Venta]]</f>
        <v>22</v>
      </c>
      <c r="J392" s="35">
        <f>IF(VENTAS[[#This Row],[Nombre del Gestor]]&gt;1,VENTAS[[#This Row],[Total]]*10%,0)</f>
        <v>0</v>
      </c>
      <c r="K392" s="35">
        <f>IFERROR(VLOOKUP(VENTAS[[#This Row],[Código del producto Vendido]],STOCK[],16,FALSE)*VENTAS[[#This Row],[Cantidad]]+VLOOKUP(VENTAS[[#This Row],[Código del producto Vendido]],STOCK[],19,FALSE)*VENTAS[[#This Row],[Cantidad]],VENTAS[[#This Row],[Total]])</f>
        <v>14.75</v>
      </c>
      <c r="L392" s="35">
        <f>VENTAS[[#This Row],[Total]]-VENTAS[[#This Row],[Comisión 10%]]-VENTAS[[#This Row],[Costo SIN Comision]]</f>
        <v>7.25</v>
      </c>
      <c r="M392" s="35"/>
    </row>
    <row r="393" ht="20" customHeight="1" spans="1:13">
      <c r="A393" s="62">
        <v>45138</v>
      </c>
      <c r="B393" s="30"/>
      <c r="C393" s="30"/>
      <c r="D393" s="30"/>
      <c r="E393" s="30" t="s">
        <v>615</v>
      </c>
      <c r="F393" s="34" t="str">
        <f>IFERROR(VLOOKUP(VENTAS[[#This Row],[Código del producto Vendido]],STOCK[],5,FALSE),"-")</f>
        <v>Camiseta corta de manga farol</v>
      </c>
      <c r="G393" s="34">
        <v>1</v>
      </c>
      <c r="H393" s="35">
        <v>10</v>
      </c>
      <c r="I393" s="35">
        <f>VENTAS[[#This Row],[Cantidad]]*VENTAS[[#This Row],[Precio Venta]]</f>
        <v>10</v>
      </c>
      <c r="J393" s="35">
        <f>IF(VENTAS[[#This Row],[Nombre del Gestor]]&gt;1,VENTAS[[#This Row],[Total]]*10%,0)</f>
        <v>0</v>
      </c>
      <c r="K393" s="35">
        <f>IFERROR(VLOOKUP(VENTAS[[#This Row],[Código del producto Vendido]],STOCK[],16,FALSE)*VENTAS[[#This Row],[Cantidad]]+VLOOKUP(VENTAS[[#This Row],[Código del producto Vendido]],STOCK[],19,FALSE)*VENTAS[[#This Row],[Cantidad]],VENTAS[[#This Row],[Total]])</f>
        <v>5.735</v>
      </c>
      <c r="L393" s="35">
        <f>VENTAS[[#This Row],[Total]]-VENTAS[[#This Row],[Comisión 10%]]-VENTAS[[#This Row],[Costo SIN Comision]]</f>
        <v>4.265</v>
      </c>
      <c r="M393" s="35"/>
    </row>
    <row r="394" ht="20" customHeight="1" spans="1:13">
      <c r="A394" s="64"/>
      <c r="B394" s="30"/>
      <c r="C394" s="30"/>
      <c r="D394" s="30"/>
      <c r="E394" s="30" t="s">
        <v>509</v>
      </c>
      <c r="F394" s="34" t="str">
        <f>IFERROR(VLOOKUP(VENTAS[[#This Row],[Código del producto Vendido]],STOCK[],5,FALSE),"-")</f>
        <v>Set 3 piezas bikini</v>
      </c>
      <c r="G394" s="34">
        <v>1</v>
      </c>
      <c r="H394" s="35">
        <v>24</v>
      </c>
      <c r="I394" s="35">
        <f>VENTAS[[#This Row],[Cantidad]]*VENTAS[[#This Row],[Precio Venta]]</f>
        <v>24</v>
      </c>
      <c r="J394" s="35">
        <f>IF(VENTAS[[#This Row],[Nombre del Gestor]]&gt;1,VENTAS[[#This Row],[Total]]*10%,0)</f>
        <v>0</v>
      </c>
      <c r="K394" s="35">
        <f>IFERROR(VLOOKUP(VENTAS[[#This Row],[Código del producto Vendido]],STOCK[],16,FALSE)*VENTAS[[#This Row],[Cantidad]]+VLOOKUP(VENTAS[[#This Row],[Código del producto Vendido]],STOCK[],19,FALSE)*VENTAS[[#This Row],[Cantidad]],VENTAS[[#This Row],[Total]])</f>
        <v>16.0444444444444</v>
      </c>
      <c r="L394" s="35">
        <f>VENTAS[[#This Row],[Total]]-VENTAS[[#This Row],[Comisión 10%]]-VENTAS[[#This Row],[Costo SIN Comision]]</f>
        <v>7.9555555555556</v>
      </c>
      <c r="M394" s="35"/>
    </row>
    <row r="395" ht="20" customHeight="1" spans="1:13">
      <c r="A395" s="65"/>
      <c r="B395" s="30"/>
      <c r="C395" s="30"/>
      <c r="D395" s="30"/>
      <c r="E395" s="30" t="s">
        <v>75</v>
      </c>
      <c r="F395" s="34" t="str">
        <f>IFERROR(VLOOKUP(VENTAS[[#This Row],[Código del producto Vendido]],STOCK[],5,FALSE),"-")</f>
        <v>Pareo pantalón de malla</v>
      </c>
      <c r="G395" s="34">
        <v>1</v>
      </c>
      <c r="H395" s="35">
        <v>15</v>
      </c>
      <c r="I395" s="35">
        <f>VENTAS[[#This Row],[Cantidad]]*VENTAS[[#This Row],[Precio Venta]]</f>
        <v>15</v>
      </c>
      <c r="J395" s="35">
        <f>IF(VENTAS[[#This Row],[Nombre del Gestor]]&gt;1,VENTAS[[#This Row],[Total]]*10%,0)</f>
        <v>0</v>
      </c>
      <c r="K395" s="35">
        <f>IFERROR(VLOOKUP(VENTAS[[#This Row],[Código del producto Vendido]],STOCK[],16,FALSE)*VENTAS[[#This Row],[Cantidad]]+VLOOKUP(VENTAS[[#This Row],[Código del producto Vendido]],STOCK[],19,FALSE)*VENTAS[[#This Row],[Cantidad]],VENTAS[[#This Row],[Total]])</f>
        <v>9.36055555555556</v>
      </c>
      <c r="L395" s="35">
        <f>VENTAS[[#This Row],[Total]]-VENTAS[[#This Row],[Comisión 10%]]-VENTAS[[#This Row],[Costo SIN Comision]]</f>
        <v>5.63944444444444</v>
      </c>
      <c r="M395" s="35"/>
    </row>
    <row r="396" ht="20" customHeight="1" spans="1:13">
      <c r="A396" s="64"/>
      <c r="B396" s="30"/>
      <c r="C396" s="30"/>
      <c r="D396" s="30"/>
      <c r="E396" s="30" t="s">
        <v>87</v>
      </c>
      <c r="F396" s="34" t="str">
        <f>IFERROR(VLOOKUP(VENTAS[[#This Row],[Código del producto Vendido]],STOCK[],5,FALSE),"-")</f>
        <v>Bikini Elegante con Herrajes</v>
      </c>
      <c r="G396" s="34">
        <v>1</v>
      </c>
      <c r="H396" s="35">
        <v>18</v>
      </c>
      <c r="I396" s="35">
        <f>VENTAS[[#This Row],[Cantidad]]*VENTAS[[#This Row],[Precio Venta]]</f>
        <v>18</v>
      </c>
      <c r="J396" s="35">
        <f>IF(VENTAS[[#This Row],[Nombre del Gestor]]&gt;1,VENTAS[[#This Row],[Total]]*10%,0)</f>
        <v>0</v>
      </c>
      <c r="K396" s="35">
        <f>IFERROR(VLOOKUP(VENTAS[[#This Row],[Código del producto Vendido]],STOCK[],16,FALSE)*VENTAS[[#This Row],[Cantidad]]+VLOOKUP(VENTAS[[#This Row],[Código del producto Vendido]],STOCK[],19,FALSE)*VENTAS[[#This Row],[Cantidad]],VENTAS[[#This Row],[Total]])</f>
        <v>12.6972222222222</v>
      </c>
      <c r="L396" s="35">
        <f>VENTAS[[#This Row],[Total]]-VENTAS[[#This Row],[Comisión 10%]]-VENTAS[[#This Row],[Costo SIN Comision]]</f>
        <v>5.30277777777778</v>
      </c>
      <c r="M396" s="35"/>
    </row>
    <row r="397" ht="20" customHeight="1" spans="1:13">
      <c r="A397" s="65"/>
      <c r="B397" s="30"/>
      <c r="C397" s="30" t="s">
        <v>3374</v>
      </c>
      <c r="D397" s="30"/>
      <c r="E397" s="30" t="s">
        <v>427</v>
      </c>
      <c r="F397" s="34" t="str">
        <f>IFERROR(VLOOKUP(VENTAS[[#This Row],[Código del producto Vendido]],STOCK[],5,FALSE),"-")</f>
        <v>Mono Bohemio con cinturón </v>
      </c>
      <c r="G397" s="34">
        <v>1</v>
      </c>
      <c r="H397" s="35">
        <v>15</v>
      </c>
      <c r="I397" s="35">
        <f>VENTAS[[#This Row],[Cantidad]]*VENTAS[[#This Row],[Precio Venta]]</f>
        <v>15</v>
      </c>
      <c r="J397" s="35">
        <f>IF(VENTAS[[#This Row],[Nombre del Gestor]]&gt;1,VENTAS[[#This Row],[Total]]*10%,0)</f>
        <v>0</v>
      </c>
      <c r="K397" s="35">
        <f>IFERROR(VLOOKUP(VENTAS[[#This Row],[Código del producto Vendido]],STOCK[],16,FALSE)*VENTAS[[#This Row],[Cantidad]]+VLOOKUP(VENTAS[[#This Row],[Código del producto Vendido]],STOCK[],19,FALSE)*VENTAS[[#This Row],[Cantidad]],VENTAS[[#This Row],[Total]])</f>
        <v>14.7022222222222</v>
      </c>
      <c r="L397" s="35">
        <f>VENTAS[[#This Row],[Total]]-VENTAS[[#This Row],[Comisión 10%]]-VENTAS[[#This Row],[Costo SIN Comision]]</f>
        <v>0.297777777777799</v>
      </c>
      <c r="M397" s="35"/>
    </row>
    <row r="398" ht="20" customHeight="1" spans="1:13">
      <c r="A398" s="64" t="s">
        <v>3375</v>
      </c>
      <c r="B398" s="30"/>
      <c r="C398" s="30"/>
      <c r="D398" s="30"/>
      <c r="E398" s="30" t="s">
        <v>1111</v>
      </c>
      <c r="F398" s="34" t="str">
        <f>IFERROR(VLOOKUP(VENTAS[[#This Row],[Código del producto Vendido]],STOCK[],5,FALSE),"-")</f>
        <v>Bolso de mimbre</v>
      </c>
      <c r="G398" s="34">
        <v>1</v>
      </c>
      <c r="H398" s="35">
        <v>12</v>
      </c>
      <c r="I398" s="35">
        <f>VENTAS[[#This Row],[Cantidad]]*VENTAS[[#This Row],[Precio Venta]]</f>
        <v>12</v>
      </c>
      <c r="J398" s="35">
        <f>IF(VENTAS[[#This Row],[Nombre del Gestor]]&gt;1,VENTAS[[#This Row],[Total]]*10%,0)</f>
        <v>0</v>
      </c>
      <c r="K398" s="35">
        <f>IFERROR(VLOOKUP(VENTAS[[#This Row],[Código del producto Vendido]],STOCK[],16,FALSE)*VENTAS[[#This Row],[Cantidad]]+VLOOKUP(VENTAS[[#This Row],[Código del producto Vendido]],STOCK[],19,FALSE)*VENTAS[[#This Row],[Cantidad]],VENTAS[[#This Row],[Total]])</f>
        <v>11.8286764705882</v>
      </c>
      <c r="L398" s="35">
        <f>VENTAS[[#This Row],[Total]]-VENTAS[[#This Row],[Comisión 10%]]-VENTAS[[#This Row],[Costo SIN Comision]]</f>
        <v>0.171323529411758</v>
      </c>
      <c r="M398" s="35"/>
    </row>
    <row r="399" ht="20" customHeight="1" spans="1:13">
      <c r="A399" s="65" t="s">
        <v>3375</v>
      </c>
      <c r="B399" s="30"/>
      <c r="C399" s="30"/>
      <c r="D399" s="30"/>
      <c r="E399" s="30" t="s">
        <v>925</v>
      </c>
      <c r="F399" s="34" t="str">
        <f>IFERROR(VLOOKUP(VENTAS[[#This Row],[Código del producto Vendido]],STOCK[],5,FALSE),"-")</f>
        <v>Pantaloneta Roja</v>
      </c>
      <c r="G399" s="34">
        <v>1</v>
      </c>
      <c r="H399" s="35">
        <v>20</v>
      </c>
      <c r="I399" s="35">
        <f>VENTAS[[#This Row],[Cantidad]]*VENTAS[[#This Row],[Precio Venta]]</f>
        <v>20</v>
      </c>
      <c r="J399" s="35">
        <f>IF(VENTAS[[#This Row],[Nombre del Gestor]]&gt;1,VENTAS[[#This Row],[Total]]*10%,0)</f>
        <v>0</v>
      </c>
      <c r="K399" s="35">
        <f>IFERROR(VLOOKUP(VENTAS[[#This Row],[Código del producto Vendido]],STOCK[],16,FALSE)*VENTAS[[#This Row],[Cantidad]]+VLOOKUP(VENTAS[[#This Row],[Código del producto Vendido]],STOCK[],19,FALSE)*VENTAS[[#This Row],[Cantidad]],VENTAS[[#This Row],[Total]])</f>
        <v>11.6095454545454</v>
      </c>
      <c r="L399" s="35">
        <f>VENTAS[[#This Row],[Total]]-VENTAS[[#This Row],[Comisión 10%]]-VENTAS[[#This Row],[Costo SIN Comision]]</f>
        <v>8.39045454545455</v>
      </c>
      <c r="M399" s="35"/>
    </row>
    <row r="400" ht="20" customHeight="1" spans="1:13">
      <c r="A400" s="64" t="s">
        <v>3375</v>
      </c>
      <c r="B400" s="30"/>
      <c r="C400" s="30"/>
      <c r="D400" s="30"/>
      <c r="E400" s="30" t="s">
        <v>411</v>
      </c>
      <c r="F400" s="34" t="str">
        <f>IFERROR(VLOOKUP(VENTAS[[#This Row],[Código del producto Vendido]],STOCK[],5,FALSE),"-")</f>
        <v>Bikini Floral</v>
      </c>
      <c r="G400" s="34">
        <v>1</v>
      </c>
      <c r="H400" s="35">
        <v>22</v>
      </c>
      <c r="I400" s="35">
        <f>VENTAS[[#This Row],[Cantidad]]*VENTAS[[#This Row],[Precio Venta]]</f>
        <v>22</v>
      </c>
      <c r="J400" s="35">
        <f>IF(VENTAS[[#This Row],[Nombre del Gestor]]&gt;1,VENTAS[[#This Row],[Total]]*10%,0)</f>
        <v>0</v>
      </c>
      <c r="K400" s="35">
        <f>IFERROR(VLOOKUP(VENTAS[[#This Row],[Código del producto Vendido]],STOCK[],16,FALSE)*VENTAS[[#This Row],[Cantidad]]+VLOOKUP(VENTAS[[#This Row],[Código del producto Vendido]],STOCK[],19,FALSE)*VENTAS[[#This Row],[Cantidad]],VENTAS[[#This Row],[Total]])</f>
        <v>13.9444444444444</v>
      </c>
      <c r="L400" s="35">
        <f>VENTAS[[#This Row],[Total]]-VENTAS[[#This Row],[Comisión 10%]]-VENTAS[[#This Row],[Costo SIN Comision]]</f>
        <v>8.0555555555556</v>
      </c>
      <c r="M400" s="35"/>
    </row>
    <row r="401" ht="20" customHeight="1" spans="1:13">
      <c r="A401" s="65" t="s">
        <v>3375</v>
      </c>
      <c r="B401" s="30"/>
      <c r="C401" s="30"/>
      <c r="D401" s="30"/>
      <c r="E401" s="30" t="s">
        <v>1104</v>
      </c>
      <c r="F401" s="34" t="str">
        <f>IFERROR(VLOOKUP(VENTAS[[#This Row],[Código del producto Vendido]],STOCK[],5,FALSE),"-")</f>
        <v>Mono Oblicuo con bolsillo</v>
      </c>
      <c r="G401" s="34">
        <v>1</v>
      </c>
      <c r="H401" s="35">
        <v>22</v>
      </c>
      <c r="I401" s="35">
        <f>VENTAS[[#This Row],[Cantidad]]*VENTAS[[#This Row],[Precio Venta]]</f>
        <v>22</v>
      </c>
      <c r="J401" s="35">
        <f>IF(VENTAS[[#This Row],[Nombre del Gestor]]&gt;1,VENTAS[[#This Row],[Total]]*10%,0)</f>
        <v>0</v>
      </c>
      <c r="K401" s="35">
        <f>IFERROR(VLOOKUP(VENTAS[[#This Row],[Código del producto Vendido]],STOCK[],16,FALSE)*VENTAS[[#This Row],[Cantidad]]+VLOOKUP(VENTAS[[#This Row],[Código del producto Vendido]],STOCK[],19,FALSE)*VENTAS[[#This Row],[Cantidad]],VENTAS[[#This Row],[Total]])</f>
        <v>14.5485294117647</v>
      </c>
      <c r="L401" s="35">
        <f>VENTAS[[#This Row],[Total]]-VENTAS[[#This Row],[Comisión 10%]]-VENTAS[[#This Row],[Costo SIN Comision]]</f>
        <v>7.45147058823529</v>
      </c>
      <c r="M401" s="35"/>
    </row>
    <row r="402" ht="20" customHeight="1" spans="1:13">
      <c r="A402" s="64" t="s">
        <v>3375</v>
      </c>
      <c r="B402" s="30"/>
      <c r="C402" s="30"/>
      <c r="D402" s="30"/>
      <c r="E402" s="30" t="s">
        <v>300</v>
      </c>
      <c r="F402" s="34" t="str">
        <f>IFERROR(VLOOKUP(VENTAS[[#This Row],[Código del producto Vendido]],STOCK[],5,FALSE),"-")</f>
        <v>Jumpsuit palazzo de tie dye</v>
      </c>
      <c r="G402" s="34">
        <v>1</v>
      </c>
      <c r="H402" s="35">
        <v>30</v>
      </c>
      <c r="I402" s="35">
        <f>VENTAS[[#This Row],[Cantidad]]*VENTAS[[#This Row],[Precio Venta]]</f>
        <v>30</v>
      </c>
      <c r="J402" s="35">
        <f>IF(VENTAS[[#This Row],[Nombre del Gestor]]&gt;1,VENTAS[[#This Row],[Total]]*10%,0)</f>
        <v>0</v>
      </c>
      <c r="K402" s="35">
        <f>IFERROR(VLOOKUP(VENTAS[[#This Row],[Código del producto Vendido]],STOCK[],16,FALSE)*VENTAS[[#This Row],[Cantidad]]+VLOOKUP(VENTAS[[#This Row],[Código del producto Vendido]],STOCK[],19,FALSE)*VENTAS[[#This Row],[Cantidad]],VENTAS[[#This Row],[Total]])</f>
        <v>16.3333333333333</v>
      </c>
      <c r="L402" s="35">
        <f>VENTAS[[#This Row],[Total]]-VENTAS[[#This Row],[Comisión 10%]]-VENTAS[[#This Row],[Costo SIN Comision]]</f>
        <v>13.6666666666667</v>
      </c>
      <c r="M402" s="35"/>
    </row>
    <row r="403" ht="20" customHeight="1" spans="1:13">
      <c r="A403" s="65" t="s">
        <v>3375</v>
      </c>
      <c r="B403" s="30"/>
      <c r="C403" s="30" t="s">
        <v>3376</v>
      </c>
      <c r="D403" s="30"/>
      <c r="E403" s="30" t="s">
        <v>304</v>
      </c>
      <c r="F403" s="34" t="str">
        <f>IFERROR(VLOOKUP(VENTAS[[#This Row],[Código del producto Vendido]],STOCK[],5,FALSE),"-")</f>
        <v>Conjunto short, camisa y top</v>
      </c>
      <c r="G403" s="34">
        <v>1</v>
      </c>
      <c r="H403" s="35">
        <v>16.83</v>
      </c>
      <c r="I403" s="35">
        <f>VENTAS[[#This Row],[Cantidad]]*VENTAS[[#This Row],[Precio Venta]]</f>
        <v>16.83</v>
      </c>
      <c r="J403" s="35">
        <f>IF(VENTAS[[#This Row],[Nombre del Gestor]]&gt;1,VENTAS[[#This Row],[Total]]*10%,0)</f>
        <v>0</v>
      </c>
      <c r="K403" s="35">
        <f>IFERROR(VLOOKUP(VENTAS[[#This Row],[Código del producto Vendido]],STOCK[],16,FALSE)*VENTAS[[#This Row],[Cantidad]]+VLOOKUP(VENTAS[[#This Row],[Código del producto Vendido]],STOCK[],19,FALSE)*VENTAS[[#This Row],[Cantidad]],VENTAS[[#This Row],[Total]])</f>
        <v>16.8333333333333</v>
      </c>
      <c r="L403" s="35">
        <f>VENTAS[[#This Row],[Total]]-VENTAS[[#This Row],[Comisión 10%]]-VENTAS[[#This Row],[Costo SIN Comision]]</f>
        <v>-0.00333333333330188</v>
      </c>
      <c r="M403" s="35"/>
    </row>
    <row r="404" ht="20" customHeight="1" spans="1:13">
      <c r="A404" s="64" t="s">
        <v>3375</v>
      </c>
      <c r="B404" s="30"/>
      <c r="C404" s="30"/>
      <c r="D404" s="30"/>
      <c r="E404" s="30" t="s">
        <v>861</v>
      </c>
      <c r="F404" s="34" t="str">
        <f>IFERROR(VLOOKUP(VENTAS[[#This Row],[Código del producto Vendido]],STOCK[],5,FALSE),"-")</f>
        <v>Bikini Rosa canalé</v>
      </c>
      <c r="G404" s="34">
        <v>1</v>
      </c>
      <c r="H404" s="35">
        <v>20</v>
      </c>
      <c r="I404" s="35">
        <f>VENTAS[[#This Row],[Cantidad]]*VENTAS[[#This Row],[Precio Venta]]</f>
        <v>20</v>
      </c>
      <c r="J404" s="35">
        <f>IF(VENTAS[[#This Row],[Nombre del Gestor]]&gt;1,VENTAS[[#This Row],[Total]]*10%,0)</f>
        <v>0</v>
      </c>
      <c r="K404" s="35">
        <f>IFERROR(VLOOKUP(VENTAS[[#This Row],[Código del producto Vendido]],STOCK[],16,FALSE)*VENTAS[[#This Row],[Cantidad]]+VLOOKUP(VENTAS[[#This Row],[Código del producto Vendido]],STOCK[],19,FALSE)*VENTAS[[#This Row],[Cantidad]],VENTAS[[#This Row],[Total]])</f>
        <v>13.4444444444444</v>
      </c>
      <c r="L404" s="35">
        <f>VENTAS[[#This Row],[Total]]-VENTAS[[#This Row],[Comisión 10%]]-VENTAS[[#This Row],[Costo SIN Comision]]</f>
        <v>6.5555555555556</v>
      </c>
      <c r="M404" s="35"/>
    </row>
    <row r="405" ht="20" customHeight="1" spans="1:13">
      <c r="A405" s="65" t="s">
        <v>3375</v>
      </c>
      <c r="B405" s="30"/>
      <c r="C405" s="30"/>
      <c r="D405" s="30"/>
      <c r="E405" s="30" t="s">
        <v>1170</v>
      </c>
      <c r="F405" s="34" t="str">
        <f>IFERROR(VLOOKUP(VENTAS[[#This Row],[Código del producto Vendido]],STOCK[],5,FALSE),"-")</f>
        <v>Pullover Dazy cuello redondo Blanco</v>
      </c>
      <c r="G405" s="34">
        <v>1</v>
      </c>
      <c r="H405" s="35">
        <v>14</v>
      </c>
      <c r="I405" s="35">
        <f>VENTAS[[#This Row],[Cantidad]]*VENTAS[[#This Row],[Precio Venta]]</f>
        <v>14</v>
      </c>
      <c r="J405" s="35">
        <f>IF(VENTAS[[#This Row],[Nombre del Gestor]]&gt;1,VENTAS[[#This Row],[Total]]*10%,0)</f>
        <v>0</v>
      </c>
      <c r="K405" s="35">
        <f>IFERROR(VLOOKUP(VENTAS[[#This Row],[Código del producto Vendido]],STOCK[],16,FALSE)*VENTAS[[#This Row],[Cantidad]]+VLOOKUP(VENTAS[[#This Row],[Código del producto Vendido]],STOCK[],19,FALSE)*VENTAS[[#This Row],[Cantidad]],VENTAS[[#This Row],[Total]])</f>
        <v>8.61</v>
      </c>
      <c r="L405" s="35">
        <f>VENTAS[[#This Row],[Total]]-VENTAS[[#This Row],[Comisión 10%]]-VENTAS[[#This Row],[Costo SIN Comision]]</f>
        <v>5.39</v>
      </c>
      <c r="M405" s="35"/>
    </row>
    <row r="406" ht="20" customHeight="1" spans="1:13">
      <c r="A406" s="64" t="s">
        <v>3375</v>
      </c>
      <c r="B406" s="30"/>
      <c r="C406" s="30" t="s">
        <v>3377</v>
      </c>
      <c r="D406" s="30"/>
      <c r="E406" s="30" t="s">
        <v>1158</v>
      </c>
      <c r="F406" s="34" t="str">
        <f>IFERROR(VLOOKUP(VENTAS[[#This Row],[Código del producto Vendido]],STOCK[],5,FALSE),"-")</f>
        <v>Pullover negro cuello redondo</v>
      </c>
      <c r="G406" s="34">
        <v>1</v>
      </c>
      <c r="H406" s="35">
        <v>14</v>
      </c>
      <c r="I406" s="35">
        <f>VENTAS[[#This Row],[Cantidad]]*VENTAS[[#This Row],[Precio Venta]]</f>
        <v>14</v>
      </c>
      <c r="J406" s="35">
        <f>IF(VENTAS[[#This Row],[Nombre del Gestor]]&gt;1,VENTAS[[#This Row],[Total]]*10%,0)</f>
        <v>0</v>
      </c>
      <c r="K406" s="35">
        <f>IFERROR(VLOOKUP(VENTAS[[#This Row],[Código del producto Vendido]],STOCK[],16,FALSE)*VENTAS[[#This Row],[Cantidad]]+VLOOKUP(VENTAS[[#This Row],[Código del producto Vendido]],STOCK[],19,FALSE)*VENTAS[[#This Row],[Cantidad]],VENTAS[[#This Row],[Total]])</f>
        <v>8.53</v>
      </c>
      <c r="L406" s="35">
        <f>VENTAS[[#This Row],[Total]]-VENTAS[[#This Row],[Comisión 10%]]-VENTAS[[#This Row],[Costo SIN Comision]]</f>
        <v>5.47</v>
      </c>
      <c r="M406" s="35"/>
    </row>
    <row r="407" ht="20" customHeight="1" spans="1:13">
      <c r="A407" s="65" t="s">
        <v>3375</v>
      </c>
      <c r="B407" s="30"/>
      <c r="C407" s="30" t="s">
        <v>3377</v>
      </c>
      <c r="D407" s="30"/>
      <c r="E407" s="30" t="s">
        <v>1231</v>
      </c>
      <c r="F407" s="34" t="str">
        <f>IFERROR(VLOOKUP(VENTAS[[#This Row],[Código del producto Vendido]],STOCK[],5,FALSE),"-")</f>
        <v>Short elegante de pierna ancha con doblez </v>
      </c>
      <c r="G407" s="34">
        <v>1</v>
      </c>
      <c r="H407" s="35">
        <v>20</v>
      </c>
      <c r="I407" s="35">
        <f>VENTAS[[#This Row],[Cantidad]]*VENTAS[[#This Row],[Precio Venta]]</f>
        <v>20</v>
      </c>
      <c r="J407" s="35">
        <f>IF(VENTAS[[#This Row],[Nombre del Gestor]]&gt;1,VENTAS[[#This Row],[Total]]*10%,0)</f>
        <v>0</v>
      </c>
      <c r="K407" s="35">
        <f>IFERROR(VLOOKUP(VENTAS[[#This Row],[Código del producto Vendido]],STOCK[],16,FALSE)*VENTAS[[#This Row],[Cantidad]]+VLOOKUP(VENTAS[[#This Row],[Código del producto Vendido]],STOCK[],19,FALSE)*VENTAS[[#This Row],[Cantidad]],VENTAS[[#This Row],[Total]])</f>
        <v>14.37</v>
      </c>
      <c r="L407" s="35">
        <f>VENTAS[[#This Row],[Total]]-VENTAS[[#This Row],[Comisión 10%]]-VENTAS[[#This Row],[Costo SIN Comision]]</f>
        <v>5.63</v>
      </c>
      <c r="M407" s="35"/>
    </row>
    <row r="408" ht="20" customHeight="1" spans="1:13">
      <c r="A408" s="64" t="s">
        <v>3375</v>
      </c>
      <c r="B408" s="30"/>
      <c r="C408" s="30" t="s">
        <v>3377</v>
      </c>
      <c r="D408" s="30"/>
      <c r="E408" s="30" t="s">
        <v>1235</v>
      </c>
      <c r="F408" s="34" t="str">
        <f>IFERROR(VLOOKUP(VENTAS[[#This Row],[Código del producto Vendido]],STOCK[],5,FALSE),"-")</f>
        <v>Cinturón de hebilla dorada</v>
      </c>
      <c r="G408" s="34">
        <v>1</v>
      </c>
      <c r="H408" s="35">
        <v>12</v>
      </c>
      <c r="I408" s="35">
        <f>VENTAS[[#This Row],[Cantidad]]*VENTAS[[#This Row],[Precio Venta]]</f>
        <v>12</v>
      </c>
      <c r="J408" s="35">
        <f>IF(VENTAS[[#This Row],[Nombre del Gestor]]&gt;1,VENTAS[[#This Row],[Total]]*10%,0)</f>
        <v>0</v>
      </c>
      <c r="K408" s="35">
        <f>IFERROR(VLOOKUP(VENTAS[[#This Row],[Código del producto Vendido]],STOCK[],16,FALSE)*VENTAS[[#This Row],[Cantidad]]+VLOOKUP(VENTAS[[#This Row],[Código del producto Vendido]],STOCK[],19,FALSE)*VENTAS[[#This Row],[Cantidad]],VENTAS[[#This Row],[Total]])</f>
        <v>5.17</v>
      </c>
      <c r="L408" s="35">
        <f>VENTAS[[#This Row],[Total]]-VENTAS[[#This Row],[Comisión 10%]]-VENTAS[[#This Row],[Costo SIN Comision]]</f>
        <v>6.83</v>
      </c>
      <c r="M408" s="35"/>
    </row>
    <row r="409" ht="20" customHeight="1" spans="1:13">
      <c r="A409" s="65" t="s">
        <v>3375</v>
      </c>
      <c r="B409" s="30"/>
      <c r="C409" s="30" t="s">
        <v>3377</v>
      </c>
      <c r="D409" s="30"/>
      <c r="E409" s="30" t="s">
        <v>1239</v>
      </c>
      <c r="F409" s="34" t="str">
        <f>IFERROR(VLOOKUP(VENTAS[[#This Row],[Código del producto Vendido]],STOCK[],5,FALSE),"-")</f>
        <v>Cinturón negro con hebilla dorada</v>
      </c>
      <c r="G409" s="34">
        <v>1</v>
      </c>
      <c r="H409" s="35">
        <v>12</v>
      </c>
      <c r="I409" s="35">
        <f>VENTAS[[#This Row],[Cantidad]]*VENTAS[[#This Row],[Precio Venta]]</f>
        <v>12</v>
      </c>
      <c r="J409" s="35">
        <f>IF(VENTAS[[#This Row],[Nombre del Gestor]]&gt;1,VENTAS[[#This Row],[Total]]*10%,0)</f>
        <v>0</v>
      </c>
      <c r="K409" s="35">
        <f>IFERROR(VLOOKUP(VENTAS[[#This Row],[Código del producto Vendido]],STOCK[],16,FALSE)*VENTAS[[#This Row],[Cantidad]]+VLOOKUP(VENTAS[[#This Row],[Código del producto Vendido]],STOCK[],19,FALSE)*VENTAS[[#This Row],[Cantidad]],VENTAS[[#This Row],[Total]])</f>
        <v>4.61</v>
      </c>
      <c r="L409" s="35">
        <f>VENTAS[[#This Row],[Total]]-VENTAS[[#This Row],[Comisión 10%]]-VENTAS[[#This Row],[Costo SIN Comision]]</f>
        <v>7.39</v>
      </c>
      <c r="M409" s="35"/>
    </row>
    <row r="410" ht="20" customHeight="1" spans="1:13">
      <c r="A410" s="64" t="s">
        <v>3375</v>
      </c>
      <c r="B410" s="30"/>
      <c r="C410" s="30" t="s">
        <v>3378</v>
      </c>
      <c r="D410" s="30"/>
      <c r="E410" s="30" t="s">
        <v>1263</v>
      </c>
      <c r="F410" s="34" t="str">
        <f>IFERROR(VLOOKUP(VENTAS[[#This Row],[Código del producto Vendido]],STOCK[],5,FALSE),"-")</f>
        <v>Pantaloneta negra con abertura</v>
      </c>
      <c r="G410" s="34">
        <v>1</v>
      </c>
      <c r="H410" s="35">
        <v>23</v>
      </c>
      <c r="I410" s="35">
        <f>VENTAS[[#This Row],[Cantidad]]*VENTAS[[#This Row],[Precio Venta]]</f>
        <v>23</v>
      </c>
      <c r="J410" s="35">
        <f>IF(VENTAS[[#This Row],[Nombre del Gestor]]&gt;1,VENTAS[[#This Row],[Total]]*10%,0)</f>
        <v>0</v>
      </c>
      <c r="K410" s="35">
        <f>IFERROR(VLOOKUP(VENTAS[[#This Row],[Código del producto Vendido]],STOCK[],16,FALSE)*VENTAS[[#This Row],[Cantidad]]+VLOOKUP(VENTAS[[#This Row],[Código del producto Vendido]],STOCK[],19,FALSE)*VENTAS[[#This Row],[Cantidad]],VENTAS[[#This Row],[Total]])</f>
        <v>15.22</v>
      </c>
      <c r="L410" s="35">
        <f>VENTAS[[#This Row],[Total]]-VENTAS[[#This Row],[Comisión 10%]]-VENTAS[[#This Row],[Costo SIN Comision]]</f>
        <v>7.78</v>
      </c>
      <c r="M410" s="35"/>
    </row>
    <row r="411" ht="20" customHeight="1" spans="1:13">
      <c r="A411" s="65" t="s">
        <v>3375</v>
      </c>
      <c r="B411" s="30"/>
      <c r="C411" s="30" t="s">
        <v>3378</v>
      </c>
      <c r="D411" s="30"/>
      <c r="E411" s="30" t="s">
        <v>1265</v>
      </c>
      <c r="F411" s="34" t="str">
        <f>IFERROR(VLOOKUP(VENTAS[[#This Row],[Código del producto Vendido]],STOCK[],5,FALSE),"-")</f>
        <v>Top asimétrico blanco</v>
      </c>
      <c r="G411" s="34">
        <v>1</v>
      </c>
      <c r="H411" s="35">
        <v>12</v>
      </c>
      <c r="I411" s="35">
        <f>VENTAS[[#This Row],[Cantidad]]*VENTAS[[#This Row],[Precio Venta]]</f>
        <v>12</v>
      </c>
      <c r="J411" s="35">
        <f>IF(VENTAS[[#This Row],[Nombre del Gestor]]&gt;1,VENTAS[[#This Row],[Total]]*10%,0)</f>
        <v>0</v>
      </c>
      <c r="K411" s="35">
        <f>IFERROR(VLOOKUP(VENTAS[[#This Row],[Código del producto Vendido]],STOCK[],16,FALSE)*VENTAS[[#This Row],[Cantidad]]+VLOOKUP(VENTAS[[#This Row],[Código del producto Vendido]],STOCK[],19,FALSE)*VENTAS[[#This Row],[Cantidad]],VENTAS[[#This Row],[Total]])</f>
        <v>5.77</v>
      </c>
      <c r="L411" s="35">
        <f>VENTAS[[#This Row],[Total]]-VENTAS[[#This Row],[Comisión 10%]]-VENTAS[[#This Row],[Costo SIN Comision]]</f>
        <v>6.23</v>
      </c>
      <c r="M411" s="35"/>
    </row>
    <row r="412" ht="20" customHeight="1" spans="1:13">
      <c r="A412" s="64" t="s">
        <v>3375</v>
      </c>
      <c r="B412" s="30"/>
      <c r="C412" s="30" t="s">
        <v>3378</v>
      </c>
      <c r="D412" s="30"/>
      <c r="E412" s="30" t="s">
        <v>1286</v>
      </c>
      <c r="F412" s="34" t="str">
        <f>IFERROR(VLOOKUP(VENTAS[[#This Row],[Código del producto Vendido]],STOCK[],5,FALSE),"-")</f>
        <v>Pantalón rosado fuccia</v>
      </c>
      <c r="G412" s="34">
        <v>1</v>
      </c>
      <c r="H412" s="35">
        <v>30</v>
      </c>
      <c r="I412" s="35">
        <f>VENTAS[[#This Row],[Cantidad]]*VENTAS[[#This Row],[Precio Venta]]</f>
        <v>30</v>
      </c>
      <c r="J412" s="35">
        <f>IF(VENTAS[[#This Row],[Nombre del Gestor]]&gt;1,VENTAS[[#This Row],[Total]]*10%,0)</f>
        <v>0</v>
      </c>
      <c r="K412" s="35">
        <f>IFERROR(VLOOKUP(VENTAS[[#This Row],[Código del producto Vendido]],STOCK[],16,FALSE)*VENTAS[[#This Row],[Cantidad]]+VLOOKUP(VENTAS[[#This Row],[Código del producto Vendido]],STOCK[],19,FALSE)*VENTAS[[#This Row],[Cantidad]],VENTAS[[#This Row],[Total]])</f>
        <v>20.78</v>
      </c>
      <c r="L412" s="35">
        <f>VENTAS[[#This Row],[Total]]-VENTAS[[#This Row],[Comisión 10%]]-VENTAS[[#This Row],[Costo SIN Comision]]</f>
        <v>9.22</v>
      </c>
      <c r="M412" s="35"/>
    </row>
    <row r="413" ht="20" customHeight="1" spans="1:13">
      <c r="A413" s="65" t="s">
        <v>3375</v>
      </c>
      <c r="B413" s="30"/>
      <c r="C413" s="30" t="s">
        <v>3378</v>
      </c>
      <c r="D413" s="30"/>
      <c r="E413" s="30" t="s">
        <v>3379</v>
      </c>
      <c r="F413" s="34" t="str">
        <f>IFERROR(VLOOKUP(VENTAS[[#This Row],[Código del producto Vendido]],STOCK[],5,FALSE),"-")</f>
        <v>-</v>
      </c>
      <c r="G413" s="34">
        <v>1</v>
      </c>
      <c r="H413" s="35">
        <v>30</v>
      </c>
      <c r="I413" s="35">
        <f>VENTAS[[#This Row],[Cantidad]]*VENTAS[[#This Row],[Precio Venta]]</f>
        <v>30</v>
      </c>
      <c r="J413" s="35">
        <f>IF(VENTAS[[#This Row],[Nombre del Gestor]]&gt;1,VENTAS[[#This Row],[Total]]*10%,0)</f>
        <v>0</v>
      </c>
      <c r="K413" s="35">
        <f>IFERROR(VLOOKUP(VENTAS[[#This Row],[Código del producto Vendido]],STOCK[],16,FALSE)*VENTAS[[#This Row],[Cantidad]]+VLOOKUP(VENTAS[[#This Row],[Código del producto Vendido]],STOCK[],19,FALSE)*VENTAS[[#This Row],[Cantidad]],VENTAS[[#This Row],[Total]])</f>
        <v>30</v>
      </c>
      <c r="L413" s="35">
        <f>VENTAS[[#This Row],[Total]]-VENTAS[[#This Row],[Comisión 10%]]-VENTAS[[#This Row],[Costo SIN Comision]]</f>
        <v>0</v>
      </c>
      <c r="M413" s="35"/>
    </row>
    <row r="414" ht="20" customHeight="1" spans="1:13">
      <c r="A414" s="64" t="s">
        <v>3375</v>
      </c>
      <c r="B414" s="30"/>
      <c r="C414" s="30" t="s">
        <v>3378</v>
      </c>
      <c r="D414" s="30"/>
      <c r="E414" s="30" t="s">
        <v>961</v>
      </c>
      <c r="F414" s="34" t="str">
        <f>IFERROR(VLOOKUP(VENTAS[[#This Row],[Código del producto Vendido]],STOCK[],5,FALSE),"-")</f>
        <v>Pantalón Business Básico</v>
      </c>
      <c r="G414" s="34">
        <v>1</v>
      </c>
      <c r="H414" s="35">
        <v>30</v>
      </c>
      <c r="I414" s="35">
        <f>VENTAS[[#This Row],[Cantidad]]*VENTAS[[#This Row],[Precio Venta]]</f>
        <v>30</v>
      </c>
      <c r="J414" s="35">
        <f>IF(VENTAS[[#This Row],[Nombre del Gestor]]&gt;1,VENTAS[[#This Row],[Total]]*10%,0)</f>
        <v>0</v>
      </c>
      <c r="K414" s="35">
        <f>IFERROR(VLOOKUP(VENTAS[[#This Row],[Código del producto Vendido]],STOCK[],16,FALSE)*VENTAS[[#This Row],[Cantidad]]+VLOOKUP(VENTAS[[#This Row],[Código del producto Vendido]],STOCK[],19,FALSE)*VENTAS[[#This Row],[Cantidad]],VENTAS[[#This Row],[Total]])</f>
        <v>21.3722727272727</v>
      </c>
      <c r="L414" s="35">
        <f>VENTAS[[#This Row],[Total]]-VENTAS[[#This Row],[Comisión 10%]]-VENTAS[[#This Row],[Costo SIN Comision]]</f>
        <v>8.6277272727273</v>
      </c>
      <c r="M414" s="35"/>
    </row>
    <row r="415" ht="20" customHeight="1" spans="1:13">
      <c r="A415" s="65" t="s">
        <v>3375</v>
      </c>
      <c r="B415" s="30"/>
      <c r="C415" s="30" t="s">
        <v>3378</v>
      </c>
      <c r="D415" s="30"/>
      <c r="E415" s="30" t="s">
        <v>431</v>
      </c>
      <c r="F415" s="34" t="str">
        <f>IFERROR(VLOOKUP(VENTAS[[#This Row],[Código del producto Vendido]],STOCK[],5,FALSE),"-")</f>
        <v>Vestido con cordón de espalda cruzada</v>
      </c>
      <c r="G415" s="34">
        <v>1</v>
      </c>
      <c r="H415" s="35">
        <v>28</v>
      </c>
      <c r="I415" s="35">
        <f>VENTAS[[#This Row],[Cantidad]]*VENTAS[[#This Row],[Precio Venta]]</f>
        <v>28</v>
      </c>
      <c r="J415" s="35">
        <f>IF(VENTAS[[#This Row],[Nombre del Gestor]]&gt;1,VENTAS[[#This Row],[Total]]*10%,0)</f>
        <v>0</v>
      </c>
      <c r="K415" s="35">
        <f>IFERROR(VLOOKUP(VENTAS[[#This Row],[Código del producto Vendido]],STOCK[],16,FALSE)*VENTAS[[#This Row],[Cantidad]]+VLOOKUP(VENTAS[[#This Row],[Código del producto Vendido]],STOCK[],19,FALSE)*VENTAS[[#This Row],[Cantidad]],VENTAS[[#This Row],[Total]])</f>
        <v>15.9077777777778</v>
      </c>
      <c r="L415" s="35">
        <f>VENTAS[[#This Row],[Total]]-VENTAS[[#This Row],[Comisión 10%]]-VENTAS[[#This Row],[Costo SIN Comision]]</f>
        <v>12.0922222222222</v>
      </c>
      <c r="M415" s="35"/>
    </row>
    <row r="416" ht="20" customHeight="1" spans="1:13">
      <c r="A416" s="64" t="s">
        <v>3375</v>
      </c>
      <c r="B416" s="30"/>
      <c r="C416" s="30" t="s">
        <v>3380</v>
      </c>
      <c r="D416" s="30"/>
      <c r="E416" s="30" t="s">
        <v>228</v>
      </c>
      <c r="F416" s="34" t="str">
        <f>IFERROR(VLOOKUP(VENTAS[[#This Row],[Código del producto Vendido]],STOCK[],5,FALSE),"-")</f>
        <v>Pantalón pierna ancha con cinturón</v>
      </c>
      <c r="G416" s="34">
        <v>1</v>
      </c>
      <c r="H416" s="35">
        <v>25</v>
      </c>
      <c r="I416" s="35">
        <f>VENTAS[[#This Row],[Cantidad]]*VENTAS[[#This Row],[Precio Venta]]</f>
        <v>25</v>
      </c>
      <c r="J416" s="35">
        <f>IF(VENTAS[[#This Row],[Nombre del Gestor]]&gt;1,VENTAS[[#This Row],[Total]]*10%,0)</f>
        <v>0</v>
      </c>
      <c r="K416" s="35">
        <f>IFERROR(VLOOKUP(VENTAS[[#This Row],[Código del producto Vendido]],STOCK[],16,FALSE)*VENTAS[[#This Row],[Cantidad]]+VLOOKUP(VENTAS[[#This Row],[Código del producto Vendido]],STOCK[],19,FALSE)*VENTAS[[#This Row],[Cantidad]],VENTAS[[#This Row],[Total]])</f>
        <v>13.9444444444444</v>
      </c>
      <c r="L416" s="35">
        <f>VENTAS[[#This Row],[Total]]-VENTAS[[#This Row],[Comisión 10%]]-VENTAS[[#This Row],[Costo SIN Comision]]</f>
        <v>11.0555555555556</v>
      </c>
      <c r="M416" s="35"/>
    </row>
    <row r="417" ht="20" customHeight="1" spans="1:13">
      <c r="A417" s="65" t="s">
        <v>3381</v>
      </c>
      <c r="B417" s="30"/>
      <c r="C417" s="30" t="s">
        <v>3380</v>
      </c>
      <c r="D417" s="30"/>
      <c r="E417" s="30" t="s">
        <v>1050</v>
      </c>
      <c r="F417" s="34" t="str">
        <f>IFERROR(VLOOKUP(VENTAS[[#This Row],[Código del producto Vendido]],STOCK[],5,FALSE),"-")</f>
        <v>Pantaloneta Camel</v>
      </c>
      <c r="G417" s="34">
        <v>1</v>
      </c>
      <c r="H417" s="35">
        <v>30</v>
      </c>
      <c r="I417" s="35">
        <f>VENTAS[[#This Row],[Cantidad]]*VENTAS[[#This Row],[Precio Venta]]</f>
        <v>30</v>
      </c>
      <c r="J417" s="35">
        <f>IF(VENTAS[[#This Row],[Nombre del Gestor]]&gt;1,VENTAS[[#This Row],[Total]]*10%,0)</f>
        <v>0</v>
      </c>
      <c r="K417" s="35">
        <f>IFERROR(VLOOKUP(VENTAS[[#This Row],[Código del producto Vendido]],STOCK[],16,FALSE)*VENTAS[[#This Row],[Cantidad]]+VLOOKUP(VENTAS[[#This Row],[Código del producto Vendido]],STOCK[],19,FALSE)*VENTAS[[#This Row],[Cantidad]],VENTAS[[#This Row],[Total]])</f>
        <v>18.6477272727273</v>
      </c>
      <c r="L417" s="35">
        <f>VENTAS[[#This Row],[Total]]-VENTAS[[#This Row],[Comisión 10%]]-VENTAS[[#This Row],[Costo SIN Comision]]</f>
        <v>11.3522727272727</v>
      </c>
      <c r="M417" s="35"/>
    </row>
    <row r="418" ht="20" customHeight="1" spans="1:13">
      <c r="A418" s="64" t="s">
        <v>3381</v>
      </c>
      <c r="B418" s="30"/>
      <c r="C418" s="30" t="s">
        <v>3378</v>
      </c>
      <c r="D418" s="30"/>
      <c r="E418" s="30" t="s">
        <v>1200</v>
      </c>
      <c r="F418" s="34" t="str">
        <f>IFERROR(VLOOKUP(VENTAS[[#This Row],[Código del producto Vendido]],STOCK[],5,FALSE),"-")</f>
        <v>Camisa Blanca</v>
      </c>
      <c r="G418" s="34">
        <v>1</v>
      </c>
      <c r="H418" s="35">
        <v>20</v>
      </c>
      <c r="I418" s="35">
        <f>VENTAS[[#This Row],[Cantidad]]*VENTAS[[#This Row],[Precio Venta]]</f>
        <v>20</v>
      </c>
      <c r="J418" s="35">
        <f>IF(VENTAS[[#This Row],[Nombre del Gestor]]&gt;1,VENTAS[[#This Row],[Total]]*10%,0)</f>
        <v>0</v>
      </c>
      <c r="K418" s="35">
        <f>IFERROR(VLOOKUP(VENTAS[[#This Row],[Código del producto Vendido]],STOCK[],16,FALSE)*VENTAS[[#This Row],[Cantidad]]+VLOOKUP(VENTAS[[#This Row],[Código del producto Vendido]],STOCK[],19,FALSE)*VENTAS[[#This Row],[Cantidad]],VENTAS[[#This Row],[Total]])</f>
        <v>12.9</v>
      </c>
      <c r="L418" s="35">
        <f>VENTAS[[#This Row],[Total]]-VENTAS[[#This Row],[Comisión 10%]]-VENTAS[[#This Row],[Costo SIN Comision]]</f>
        <v>7.1</v>
      </c>
      <c r="M418" s="35"/>
    </row>
    <row r="419" ht="20" customHeight="1" spans="1:13">
      <c r="A419" s="65" t="s">
        <v>3381</v>
      </c>
      <c r="B419" s="30"/>
      <c r="C419" s="30" t="s">
        <v>3342</v>
      </c>
      <c r="D419" s="30"/>
      <c r="E419" s="30" t="s">
        <v>1202</v>
      </c>
      <c r="F419" s="34" t="str">
        <f>IFERROR(VLOOKUP(VENTAS[[#This Row],[Código del producto Vendido]],STOCK[],5,FALSE),"-")</f>
        <v>Camisa Blanca</v>
      </c>
      <c r="G419" s="34">
        <v>1</v>
      </c>
      <c r="H419" s="35">
        <v>20</v>
      </c>
      <c r="I419" s="35">
        <f>VENTAS[[#This Row],[Cantidad]]*VENTAS[[#This Row],[Precio Venta]]</f>
        <v>20</v>
      </c>
      <c r="J419" s="35">
        <f>IF(VENTAS[[#This Row],[Nombre del Gestor]]&gt;1,VENTAS[[#This Row],[Total]]*10%,0)</f>
        <v>0</v>
      </c>
      <c r="K419" s="35">
        <f>IFERROR(VLOOKUP(VENTAS[[#This Row],[Código del producto Vendido]],STOCK[],16,FALSE)*VENTAS[[#This Row],[Cantidad]]+VLOOKUP(VENTAS[[#This Row],[Código del producto Vendido]],STOCK[],19,FALSE)*VENTAS[[#This Row],[Cantidad]],VENTAS[[#This Row],[Total]])</f>
        <v>12.9</v>
      </c>
      <c r="L419" s="35">
        <f>VENTAS[[#This Row],[Total]]-VENTAS[[#This Row],[Comisión 10%]]-VENTAS[[#This Row],[Costo SIN Comision]]</f>
        <v>7.1</v>
      </c>
      <c r="M419" s="35"/>
    </row>
    <row r="420" ht="20" customHeight="1" spans="1:13">
      <c r="A420" s="64" t="s">
        <v>3381</v>
      </c>
      <c r="B420" s="30"/>
      <c r="C420" s="30" t="s">
        <v>3342</v>
      </c>
      <c r="D420" s="30"/>
      <c r="E420" s="30" t="s">
        <v>1182</v>
      </c>
      <c r="F420" s="34" t="str">
        <f>IFERROR(VLOOKUP(VENTAS[[#This Row],[Código del producto Vendido]],STOCK[],5,FALSE),"-")</f>
        <v>Short de mezclilla clara con doblez</v>
      </c>
      <c r="G420" s="34">
        <v>1</v>
      </c>
      <c r="H420" s="35">
        <v>25</v>
      </c>
      <c r="I420" s="35">
        <f>VENTAS[[#This Row],[Cantidad]]*VENTAS[[#This Row],[Precio Venta]]</f>
        <v>25</v>
      </c>
      <c r="J420" s="35">
        <f>IF(VENTAS[[#This Row],[Nombre del Gestor]]&gt;1,VENTAS[[#This Row],[Total]]*10%,0)</f>
        <v>0</v>
      </c>
      <c r="K420" s="35">
        <f>IFERROR(VLOOKUP(VENTAS[[#This Row],[Código del producto Vendido]],STOCK[],16,FALSE)*VENTAS[[#This Row],[Cantidad]]+VLOOKUP(VENTAS[[#This Row],[Código del producto Vendido]],STOCK[],19,FALSE)*VENTAS[[#This Row],[Cantidad]],VENTAS[[#This Row],[Total]])</f>
        <v>14.29</v>
      </c>
      <c r="L420" s="35">
        <f>VENTAS[[#This Row],[Total]]-VENTAS[[#This Row],[Comisión 10%]]-VENTAS[[#This Row],[Costo SIN Comision]]</f>
        <v>10.71</v>
      </c>
      <c r="M420" s="35"/>
    </row>
    <row r="421" ht="20" customHeight="1" spans="1:13">
      <c r="A421" s="65" t="s">
        <v>3381</v>
      </c>
      <c r="B421" s="30"/>
      <c r="C421" s="30" t="s">
        <v>3378</v>
      </c>
      <c r="D421" s="30"/>
      <c r="E421" s="30" t="s">
        <v>1121</v>
      </c>
      <c r="F421" s="34" t="str">
        <f>IFERROR(VLOOKUP(VENTAS[[#This Row],[Código del producto Vendido]],STOCK[],5,FALSE),"-")</f>
        <v>Set de lencería de encaje</v>
      </c>
      <c r="G421" s="34">
        <v>1</v>
      </c>
      <c r="H421" s="35">
        <v>15</v>
      </c>
      <c r="I421" s="35">
        <f>VENTAS[[#This Row],[Cantidad]]*VENTAS[[#This Row],[Precio Venta]]</f>
        <v>15</v>
      </c>
      <c r="J421" s="35">
        <f>IF(VENTAS[[#This Row],[Nombre del Gestor]]&gt;1,VENTAS[[#This Row],[Total]]*10%,0)</f>
        <v>0</v>
      </c>
      <c r="K421" s="35">
        <f>IFERROR(VLOOKUP(VENTAS[[#This Row],[Código del producto Vendido]],STOCK[],16,FALSE)*VENTAS[[#This Row],[Cantidad]]+VLOOKUP(VENTAS[[#This Row],[Código del producto Vendido]],STOCK[],19,FALSE)*VENTAS[[#This Row],[Cantidad]],VENTAS[[#This Row],[Total]])</f>
        <v>7.10882352941176</v>
      </c>
      <c r="L421" s="35">
        <f>VENTAS[[#This Row],[Total]]-VENTAS[[#This Row],[Comisión 10%]]-VENTAS[[#This Row],[Costo SIN Comision]]</f>
        <v>7.89117647058824</v>
      </c>
      <c r="M421" s="35"/>
    </row>
    <row r="422" ht="20" customHeight="1" spans="1:13">
      <c r="A422" s="64" t="s">
        <v>3381</v>
      </c>
      <c r="B422" s="30"/>
      <c r="C422" s="30" t="s">
        <v>3342</v>
      </c>
      <c r="D422" s="30"/>
      <c r="E422" s="30" t="s">
        <v>1005</v>
      </c>
      <c r="F422" s="34" t="str">
        <f>IFERROR(VLOOKUP(VENTAS[[#This Row],[Código del producto Vendido]],STOCK[],5,FALSE),"-")</f>
        <v>Bañador una pieza con estampado de planta cremallera</v>
      </c>
      <c r="G422" s="34">
        <v>1</v>
      </c>
      <c r="H422" s="35">
        <v>25</v>
      </c>
      <c r="I422" s="35">
        <f>VENTAS[[#This Row],[Cantidad]]*VENTAS[[#This Row],[Precio Venta]]</f>
        <v>25</v>
      </c>
      <c r="J422" s="35">
        <f>IF(VENTAS[[#This Row],[Nombre del Gestor]]&gt;1,VENTAS[[#This Row],[Total]]*10%,0)</f>
        <v>0</v>
      </c>
      <c r="K422" s="35">
        <f>IFERROR(VLOOKUP(VENTAS[[#This Row],[Código del producto Vendido]],STOCK[],16,FALSE)*VENTAS[[#This Row],[Cantidad]]+VLOOKUP(VENTAS[[#This Row],[Código del producto Vendido]],STOCK[],19,FALSE)*VENTAS[[#This Row],[Cantidad]],VENTAS[[#This Row],[Total]])</f>
        <v>14.6454545454545</v>
      </c>
      <c r="L422" s="35">
        <f>VENTAS[[#This Row],[Total]]-VENTAS[[#This Row],[Comisión 10%]]-VENTAS[[#This Row],[Costo SIN Comision]]</f>
        <v>10.3545454545455</v>
      </c>
      <c r="M422" s="35"/>
    </row>
    <row r="423" ht="20" customHeight="1" spans="1:13">
      <c r="A423" s="65" t="s">
        <v>3381</v>
      </c>
      <c r="B423" s="30"/>
      <c r="C423" s="30" t="s">
        <v>3343</v>
      </c>
      <c r="D423" s="30"/>
      <c r="E423" s="30" t="s">
        <v>1251</v>
      </c>
      <c r="F423" s="34" t="str">
        <f>IFERROR(VLOOKUP(VENTAS[[#This Row],[Código del producto Vendido]],STOCK[],5,FALSE),"-")</f>
        <v>Pantaloneta verde</v>
      </c>
      <c r="G423" s="34">
        <v>1</v>
      </c>
      <c r="H423" s="35">
        <v>18.52</v>
      </c>
      <c r="I423" s="35">
        <f>VENTAS[[#This Row],[Cantidad]]*VENTAS[[#This Row],[Precio Venta]]</f>
        <v>18.52</v>
      </c>
      <c r="J423" s="35">
        <f>IF(VENTAS[[#This Row],[Nombre del Gestor]]&gt;1,VENTAS[[#This Row],[Total]]*10%,0)</f>
        <v>0</v>
      </c>
      <c r="K423" s="35">
        <f>IFERROR(VLOOKUP(VENTAS[[#This Row],[Código del producto Vendido]],STOCK[],16,FALSE)*VENTAS[[#This Row],[Cantidad]]+VLOOKUP(VENTAS[[#This Row],[Código del producto Vendido]],STOCK[],19,FALSE)*VENTAS[[#This Row],[Cantidad]],VENTAS[[#This Row],[Total]])</f>
        <v>18.3</v>
      </c>
      <c r="L423" s="35">
        <f>VENTAS[[#This Row],[Total]]-VENTAS[[#This Row],[Comisión 10%]]-VENTAS[[#This Row],[Costo SIN Comision]]</f>
        <v>0.219999999999999</v>
      </c>
      <c r="M423" s="35"/>
    </row>
    <row r="424" ht="20" customHeight="1" spans="1:13">
      <c r="A424" s="64" t="s">
        <v>3381</v>
      </c>
      <c r="B424" s="30"/>
      <c r="C424" s="30" t="s">
        <v>3378</v>
      </c>
      <c r="D424" s="30"/>
      <c r="E424" s="30" t="s">
        <v>1269</v>
      </c>
      <c r="F424" s="34" t="str">
        <f>IFERROR(VLOOKUP(VENTAS[[#This Row],[Código del producto Vendido]],STOCK[],5,FALSE),"-")</f>
        <v>Top blanco cuello V con encaje</v>
      </c>
      <c r="G424" s="34">
        <v>1</v>
      </c>
      <c r="H424" s="35">
        <v>12</v>
      </c>
      <c r="I424" s="35">
        <f>VENTAS[[#This Row],[Cantidad]]*VENTAS[[#This Row],[Precio Venta]]</f>
        <v>12</v>
      </c>
      <c r="J424" s="35">
        <f>IF(VENTAS[[#This Row],[Nombre del Gestor]]&gt;1,VENTAS[[#This Row],[Total]]*10%,0)</f>
        <v>0</v>
      </c>
      <c r="K424" s="35">
        <f>IFERROR(VLOOKUP(VENTAS[[#This Row],[Código del producto Vendido]],STOCK[],16,FALSE)*VENTAS[[#This Row],[Cantidad]]+VLOOKUP(VENTAS[[#This Row],[Código del producto Vendido]],STOCK[],19,FALSE)*VENTAS[[#This Row],[Cantidad]],VENTAS[[#This Row],[Total]])</f>
        <v>7.97</v>
      </c>
      <c r="L424" s="35">
        <f>VENTAS[[#This Row],[Total]]-VENTAS[[#This Row],[Comisión 10%]]-VENTAS[[#This Row],[Costo SIN Comision]]</f>
        <v>4.03</v>
      </c>
      <c r="M424" s="35"/>
    </row>
    <row r="425" ht="20" customHeight="1" spans="1:13">
      <c r="A425" s="65" t="s">
        <v>3381</v>
      </c>
      <c r="B425" s="30"/>
      <c r="C425" s="30" t="s">
        <v>3378</v>
      </c>
      <c r="D425" s="30"/>
      <c r="E425" s="30" t="s">
        <v>1277</v>
      </c>
      <c r="F425" s="34" t="str">
        <f>IFERROR(VLOOKUP(VENTAS[[#This Row],[Código del producto Vendido]],STOCK[],5,FALSE),"-")</f>
        <v>Top negro  cuello V con encaje</v>
      </c>
      <c r="G425" s="34">
        <v>1</v>
      </c>
      <c r="H425" s="35">
        <v>12</v>
      </c>
      <c r="I425" s="35">
        <f>VENTAS[[#This Row],[Cantidad]]*VENTAS[[#This Row],[Precio Venta]]</f>
        <v>12</v>
      </c>
      <c r="J425" s="35">
        <f>IF(VENTAS[[#This Row],[Nombre del Gestor]]&gt;1,VENTAS[[#This Row],[Total]]*10%,0)</f>
        <v>0</v>
      </c>
      <c r="K425" s="35">
        <f>IFERROR(VLOOKUP(VENTAS[[#This Row],[Código del producto Vendido]],STOCK[],16,FALSE)*VENTAS[[#This Row],[Cantidad]]+VLOOKUP(VENTAS[[#This Row],[Código del producto Vendido]],STOCK[],19,FALSE)*VENTAS[[#This Row],[Cantidad]],VENTAS[[#This Row],[Total]])</f>
        <v>8.09</v>
      </c>
      <c r="L425" s="35">
        <f>VENTAS[[#This Row],[Total]]-VENTAS[[#This Row],[Comisión 10%]]-VENTAS[[#This Row],[Costo SIN Comision]]</f>
        <v>3.91</v>
      </c>
      <c r="M425" s="35"/>
    </row>
    <row r="426" ht="20" customHeight="1" spans="1:13">
      <c r="A426" s="64" t="s">
        <v>3381</v>
      </c>
      <c r="B426" s="30"/>
      <c r="C426" s="30" t="s">
        <v>3378</v>
      </c>
      <c r="D426" s="30"/>
      <c r="E426" s="30" t="s">
        <v>1253</v>
      </c>
      <c r="F426" s="34" t="str">
        <f>IFERROR(VLOOKUP(VENTAS[[#This Row],[Código del producto Vendido]],STOCK[],5,FALSE),"-")</f>
        <v>Pantaloneta verde</v>
      </c>
      <c r="G426" s="34">
        <v>1</v>
      </c>
      <c r="H426" s="35">
        <v>25</v>
      </c>
      <c r="I426" s="35">
        <f>VENTAS[[#This Row],[Cantidad]]*VENTAS[[#This Row],[Precio Venta]]</f>
        <v>25</v>
      </c>
      <c r="J426" s="35">
        <f>IF(VENTAS[[#This Row],[Nombre del Gestor]]&gt;1,VENTAS[[#This Row],[Total]]*10%,0)</f>
        <v>0</v>
      </c>
      <c r="K426" s="35">
        <f>IFERROR(VLOOKUP(VENTAS[[#This Row],[Código del producto Vendido]],STOCK[],16,FALSE)*VENTAS[[#This Row],[Cantidad]]+VLOOKUP(VENTAS[[#This Row],[Código del producto Vendido]],STOCK[],19,FALSE)*VENTAS[[#This Row],[Cantidad]],VENTAS[[#This Row],[Total]])</f>
        <v>18.3</v>
      </c>
      <c r="L426" s="35">
        <f>VENTAS[[#This Row],[Total]]-VENTAS[[#This Row],[Comisión 10%]]-VENTAS[[#This Row],[Costo SIN Comision]]</f>
        <v>6.7</v>
      </c>
      <c r="M426" s="35"/>
    </row>
    <row r="427" ht="20" customHeight="1" spans="1:13">
      <c r="A427" s="65" t="s">
        <v>3381</v>
      </c>
      <c r="B427" s="30"/>
      <c r="C427" s="30" t="s">
        <v>3378</v>
      </c>
      <c r="D427" s="30"/>
      <c r="E427" s="30" t="s">
        <v>1100</v>
      </c>
      <c r="F427" s="34" t="str">
        <f>IFERROR(VLOOKUP(VENTAS[[#This Row],[Código del producto Vendido]],STOCK[],5,FALSE),"-")</f>
        <v>Sandalias crema</v>
      </c>
      <c r="G427" s="34">
        <v>1</v>
      </c>
      <c r="H427" s="35">
        <v>35</v>
      </c>
      <c r="I427" s="35">
        <f>VENTAS[[#This Row],[Cantidad]]*VENTAS[[#This Row],[Precio Venta]]</f>
        <v>35</v>
      </c>
      <c r="J427" s="35">
        <f>IF(VENTAS[[#This Row],[Nombre del Gestor]]&gt;1,VENTAS[[#This Row],[Total]]*10%,0)</f>
        <v>0</v>
      </c>
      <c r="K427" s="35">
        <f>IFERROR(VLOOKUP(VENTAS[[#This Row],[Código del producto Vendido]],STOCK[],16,FALSE)*VENTAS[[#This Row],[Cantidad]]+VLOOKUP(VENTAS[[#This Row],[Código del producto Vendido]],STOCK[],19,FALSE)*VENTAS[[#This Row],[Cantidad]],VENTAS[[#This Row],[Total]])</f>
        <v>26.8529411764706</v>
      </c>
      <c r="L427" s="35">
        <f>VENTAS[[#This Row],[Total]]-VENTAS[[#This Row],[Comisión 10%]]-VENTAS[[#This Row],[Costo SIN Comision]]</f>
        <v>8.1470588235294</v>
      </c>
      <c r="M427" s="35"/>
    </row>
    <row r="428" ht="20" customHeight="1" spans="1:13">
      <c r="A428" s="64" t="s">
        <v>3382</v>
      </c>
      <c r="B428" s="30"/>
      <c r="C428" s="30" t="s">
        <v>3383</v>
      </c>
      <c r="D428" s="30"/>
      <c r="E428" s="30" t="s">
        <v>1111</v>
      </c>
      <c r="F428" s="34" t="str">
        <f>IFERROR(VLOOKUP(VENTAS[[#This Row],[Código del producto Vendido]],STOCK[],5,FALSE),"-")</f>
        <v>Bolso de mimbre</v>
      </c>
      <c r="G428" s="34">
        <v>1</v>
      </c>
      <c r="H428" s="35">
        <v>12</v>
      </c>
      <c r="I428" s="35">
        <f>VENTAS[[#This Row],[Cantidad]]*VENTAS[[#This Row],[Precio Venta]]</f>
        <v>12</v>
      </c>
      <c r="J428" s="35">
        <f>IF(VENTAS[[#This Row],[Nombre del Gestor]]&gt;1,VENTAS[[#This Row],[Total]]*10%,0)</f>
        <v>0</v>
      </c>
      <c r="K428" s="35">
        <f>IFERROR(VLOOKUP(VENTAS[[#This Row],[Código del producto Vendido]],STOCK[],16,FALSE)*VENTAS[[#This Row],[Cantidad]]+VLOOKUP(VENTAS[[#This Row],[Código del producto Vendido]],STOCK[],19,FALSE)*VENTAS[[#This Row],[Cantidad]],VENTAS[[#This Row],[Total]])</f>
        <v>11.8286764705882</v>
      </c>
      <c r="L428" s="35">
        <f>VENTAS[[#This Row],[Total]]-VENTAS[[#This Row],[Comisión 10%]]-VENTAS[[#This Row],[Costo SIN Comision]]</f>
        <v>0.171323529411758</v>
      </c>
      <c r="M428" s="35"/>
    </row>
    <row r="429" ht="20" customHeight="1" spans="1:13">
      <c r="A429" s="65" t="s">
        <v>3382</v>
      </c>
      <c r="B429" s="30"/>
      <c r="C429" s="30" t="s">
        <v>3383</v>
      </c>
      <c r="D429" s="30"/>
      <c r="E429" s="30" t="s">
        <v>616</v>
      </c>
      <c r="F429" s="34" t="str">
        <f>IFERROR(VLOOKUP(VENTAS[[#This Row],[Código del producto Vendido]],STOCK[],5,FALSE),"-")</f>
        <v>Cinturón trenzado </v>
      </c>
      <c r="G429" s="34">
        <v>1</v>
      </c>
      <c r="H429" s="35">
        <v>10</v>
      </c>
      <c r="I429" s="35">
        <f>VENTAS[[#This Row],[Cantidad]]*VENTAS[[#This Row],[Precio Venta]]</f>
        <v>10</v>
      </c>
      <c r="J429" s="35">
        <f>IF(VENTAS[[#This Row],[Nombre del Gestor]]&gt;1,VENTAS[[#This Row],[Total]]*10%,0)</f>
        <v>0</v>
      </c>
      <c r="K429" s="35">
        <f>IFERROR(VLOOKUP(VENTAS[[#This Row],[Código del producto Vendido]],STOCK[],16,FALSE)*VENTAS[[#This Row],[Cantidad]]+VLOOKUP(VENTAS[[#This Row],[Código del producto Vendido]],STOCK[],19,FALSE)*VENTAS[[#This Row],[Cantidad]],VENTAS[[#This Row],[Total]])</f>
        <v>4.15</v>
      </c>
      <c r="L429" s="35">
        <f>VENTAS[[#This Row],[Total]]-VENTAS[[#This Row],[Comisión 10%]]-VENTAS[[#This Row],[Costo SIN Comision]]</f>
        <v>5.85</v>
      </c>
      <c r="M429" s="35"/>
    </row>
    <row r="430" ht="20" customHeight="1" spans="1:13">
      <c r="A430" s="64" t="s">
        <v>3384</v>
      </c>
      <c r="B430" s="30"/>
      <c r="C430" s="30" t="s">
        <v>3342</v>
      </c>
      <c r="D430" s="30"/>
      <c r="E430" s="30" t="s">
        <v>867</v>
      </c>
      <c r="F430" s="34" t="str">
        <f>IFERROR(VLOOKUP(VENTAS[[#This Row],[Código del producto Vendido]],STOCK[],5,FALSE),"-")</f>
        <v>Bikini push up</v>
      </c>
      <c r="G430" s="34">
        <v>1</v>
      </c>
      <c r="H430" s="35"/>
      <c r="I430" s="35">
        <f>VENTAS[[#This Row],[Cantidad]]*VENTAS[[#This Row],[Precio Venta]]</f>
        <v>0</v>
      </c>
      <c r="J430" s="35">
        <f>IF(VENTAS[[#This Row],[Nombre del Gestor]]&gt;1,VENTAS[[#This Row],[Total]]*10%,0)</f>
        <v>0</v>
      </c>
      <c r="K430" s="35">
        <f>IFERROR(VLOOKUP(VENTAS[[#This Row],[Código del producto Vendido]],STOCK[],16,FALSE)*VENTAS[[#This Row],[Cantidad]]+VLOOKUP(VENTAS[[#This Row],[Código del producto Vendido]],STOCK[],19,FALSE)*VENTAS[[#This Row],[Cantidad]],VENTAS[[#This Row],[Total]])</f>
        <v>10.3333333333333</v>
      </c>
      <c r="L430" s="35">
        <f>VENTAS[[#This Row],[Total]]-VENTAS[[#This Row],[Comisión 10%]]-VENTAS[[#This Row],[Costo SIN Comision]]</f>
        <v>-10.3333333333333</v>
      </c>
      <c r="M430" s="35"/>
    </row>
    <row r="431" ht="20" customHeight="1" spans="1:13">
      <c r="A431" s="64" t="s">
        <v>3385</v>
      </c>
      <c r="B431" s="30"/>
      <c r="C431" s="30" t="s">
        <v>3386</v>
      </c>
      <c r="D431" s="30"/>
      <c r="E431" s="30" t="s">
        <v>690</v>
      </c>
      <c r="F431" s="34" t="str">
        <f>IFERROR(VLOOKUP(VENTAS[[#This Row],[Código del producto Vendido]],STOCK[],5,FALSE),"-")</f>
        <v>Vestido con estampado de cereza</v>
      </c>
      <c r="G431" s="34">
        <v>1</v>
      </c>
      <c r="H431" s="35">
        <v>5</v>
      </c>
      <c r="I431" s="35">
        <f>VENTAS[[#This Row],[Cantidad]]*VENTAS[[#This Row],[Precio Venta]]</f>
        <v>5</v>
      </c>
      <c r="J431" s="35">
        <f>IF(VENTAS[[#This Row],[Nombre del Gestor]]&gt;1,VENTAS[[#This Row],[Total]]*10%,0)</f>
        <v>0</v>
      </c>
      <c r="K431" s="35">
        <f>IFERROR(VLOOKUP(VENTAS[[#This Row],[Código del producto Vendido]],STOCK[],16,FALSE)*VENTAS[[#This Row],[Cantidad]]+VLOOKUP(VENTAS[[#This Row],[Código del producto Vendido]],STOCK[],19,FALSE)*VENTAS[[#This Row],[Cantidad]],VENTAS[[#This Row],[Total]])</f>
        <v>6.88333333333333</v>
      </c>
      <c r="L431" s="35">
        <f>VENTAS[[#This Row],[Total]]-VENTAS[[#This Row],[Comisión 10%]]-VENTAS[[#This Row],[Costo SIN Comision]]</f>
        <v>-1.88333333333333</v>
      </c>
      <c r="M431" s="35"/>
    </row>
    <row r="432" ht="20" customHeight="1" spans="1:13">
      <c r="A432" s="65" t="s">
        <v>3385</v>
      </c>
      <c r="B432" s="30"/>
      <c r="C432" s="30" t="s">
        <v>3387</v>
      </c>
      <c r="D432" s="30"/>
      <c r="E432" s="30" t="s">
        <v>690</v>
      </c>
      <c r="F432" s="34" t="str">
        <f>IFERROR(VLOOKUP(VENTAS[[#This Row],[Código del producto Vendido]],STOCK[],5,FALSE),"-")</f>
        <v>Vestido con estampado de cereza</v>
      </c>
      <c r="G432" s="34">
        <v>1</v>
      </c>
      <c r="H432" s="35">
        <v>5</v>
      </c>
      <c r="I432" s="35">
        <f>VENTAS[[#This Row],[Cantidad]]*VENTAS[[#This Row],[Precio Venta]]</f>
        <v>5</v>
      </c>
      <c r="J432" s="35">
        <f>IF(VENTAS[[#This Row],[Nombre del Gestor]]&gt;1,VENTAS[[#This Row],[Total]]*10%,0)</f>
        <v>0</v>
      </c>
      <c r="K432" s="35">
        <f>IFERROR(VLOOKUP(VENTAS[[#This Row],[Código del producto Vendido]],STOCK[],16,FALSE)*VENTAS[[#This Row],[Cantidad]]+VLOOKUP(VENTAS[[#This Row],[Código del producto Vendido]],STOCK[],19,FALSE)*VENTAS[[#This Row],[Cantidad]],VENTAS[[#This Row],[Total]])</f>
        <v>6.88333333333333</v>
      </c>
      <c r="L432" s="35">
        <f>VENTAS[[#This Row],[Total]]-VENTAS[[#This Row],[Comisión 10%]]-VENTAS[[#This Row],[Costo SIN Comision]]</f>
        <v>-1.88333333333333</v>
      </c>
      <c r="M432" s="35"/>
    </row>
    <row r="433" ht="20" customHeight="1" spans="1:13">
      <c r="A433" s="64" t="s">
        <v>3385</v>
      </c>
      <c r="B433" s="30"/>
      <c r="C433" s="30" t="s">
        <v>3388</v>
      </c>
      <c r="D433" s="30"/>
      <c r="E433" s="30" t="s">
        <v>1291</v>
      </c>
      <c r="F433" s="34" t="str">
        <f>IFERROR(VLOOKUP(VENTAS[[#This Row],[Código del producto Vendido]],STOCK[],5,FALSE),"-")</f>
        <v>Jean skinny oscuro </v>
      </c>
      <c r="G433" s="34">
        <v>1</v>
      </c>
      <c r="H433" s="35">
        <v>35</v>
      </c>
      <c r="I433" s="35">
        <f>VENTAS[[#This Row],[Cantidad]]*VENTAS[[#This Row],[Precio Venta]]</f>
        <v>35</v>
      </c>
      <c r="J433" s="35">
        <f>IF(VENTAS[[#This Row],[Nombre del Gestor]]&gt;1,VENTAS[[#This Row],[Total]]*10%,0)</f>
        <v>0</v>
      </c>
      <c r="K433" s="35">
        <f>IFERROR(VLOOKUP(VENTAS[[#This Row],[Código del producto Vendido]],STOCK[],16,FALSE)*VENTAS[[#This Row],[Cantidad]]+VLOOKUP(VENTAS[[#This Row],[Código del producto Vendido]],STOCK[],19,FALSE)*VENTAS[[#This Row],[Cantidad]],VENTAS[[#This Row],[Total]])</f>
        <v>20.79</v>
      </c>
      <c r="L433" s="35">
        <f>VENTAS[[#This Row],[Total]]-VENTAS[[#This Row],[Comisión 10%]]-VENTAS[[#This Row],[Costo SIN Comision]]</f>
        <v>14.21</v>
      </c>
      <c r="M433" s="35"/>
    </row>
    <row r="434" ht="20" customHeight="1" spans="1:13">
      <c r="A434" s="65" t="s">
        <v>3385</v>
      </c>
      <c r="B434" s="30"/>
      <c r="C434" s="30" t="s">
        <v>3388</v>
      </c>
      <c r="D434" s="30"/>
      <c r="E434" s="30" t="s">
        <v>542</v>
      </c>
      <c r="F434" s="34" t="str">
        <f>IFERROR(VLOOKUP(VENTAS[[#This Row],[Código del producto Vendido]],STOCK[],5,FALSE),"-")</f>
        <v>Body de un hombro manga farol </v>
      </c>
      <c r="G434" s="34">
        <v>1</v>
      </c>
      <c r="H434" s="35">
        <v>14</v>
      </c>
      <c r="I434" s="35">
        <f>VENTAS[[#This Row],[Cantidad]]*VENTAS[[#This Row],[Precio Venta]]</f>
        <v>14</v>
      </c>
      <c r="J434" s="35">
        <f>IF(VENTAS[[#This Row],[Nombre del Gestor]]&gt;1,VENTAS[[#This Row],[Total]]*10%,0)</f>
        <v>0</v>
      </c>
      <c r="K434" s="35">
        <f>IFERROR(VLOOKUP(VENTAS[[#This Row],[Código del producto Vendido]],STOCK[],16,FALSE)*VENTAS[[#This Row],[Cantidad]]+VLOOKUP(VENTAS[[#This Row],[Código del producto Vendido]],STOCK[],19,FALSE)*VENTAS[[#This Row],[Cantidad]],VENTAS[[#This Row],[Total]])</f>
        <v>10.4044444444444</v>
      </c>
      <c r="L434" s="35">
        <f>VENTAS[[#This Row],[Total]]-VENTAS[[#This Row],[Comisión 10%]]-VENTAS[[#This Row],[Costo SIN Comision]]</f>
        <v>3.59555555555556</v>
      </c>
      <c r="M434" s="35"/>
    </row>
    <row r="435" ht="20" customHeight="1" spans="1:13">
      <c r="A435" s="64" t="s">
        <v>3385</v>
      </c>
      <c r="B435" s="30"/>
      <c r="C435" s="30" t="s">
        <v>3388</v>
      </c>
      <c r="D435" s="30"/>
      <c r="E435" s="30" t="s">
        <v>930</v>
      </c>
      <c r="F435" s="34" t="str">
        <f>IFERROR(VLOOKUP(VENTAS[[#This Row],[Código del producto Vendido]],STOCK[],5,FALSE),"-")</f>
        <v>Falda de trabajo</v>
      </c>
      <c r="G435" s="34">
        <v>1</v>
      </c>
      <c r="H435" s="35">
        <v>15</v>
      </c>
      <c r="I435" s="35">
        <f>VENTAS[[#This Row],[Cantidad]]*VENTAS[[#This Row],[Precio Venta]]</f>
        <v>15</v>
      </c>
      <c r="J435" s="35">
        <f>IF(VENTAS[[#This Row],[Nombre del Gestor]]&gt;1,VENTAS[[#This Row],[Total]]*10%,0)</f>
        <v>0</v>
      </c>
      <c r="K435" s="35">
        <f>IFERROR(VLOOKUP(VENTAS[[#This Row],[Código del producto Vendido]],STOCK[],16,FALSE)*VENTAS[[#This Row],[Cantidad]]+VLOOKUP(VENTAS[[#This Row],[Código del producto Vendido]],STOCK[],19,FALSE)*VENTAS[[#This Row],[Cantidad]],VENTAS[[#This Row],[Total]])</f>
        <v>7.83363636363636</v>
      </c>
      <c r="L435" s="35">
        <f>VENTAS[[#This Row],[Total]]-VENTAS[[#This Row],[Comisión 10%]]-VENTAS[[#This Row],[Costo SIN Comision]]</f>
        <v>7.16636363636364</v>
      </c>
      <c r="M435" s="35"/>
    </row>
    <row r="436" ht="20" customHeight="1" spans="1:13">
      <c r="A436" s="65" t="s">
        <v>3385</v>
      </c>
      <c r="B436" s="30"/>
      <c r="C436" s="30" t="s">
        <v>3388</v>
      </c>
      <c r="D436" s="30"/>
      <c r="E436" s="30" t="s">
        <v>739</v>
      </c>
      <c r="F436" s="34" t="str">
        <f>IFERROR(VLOOKUP(VENTAS[[#This Row],[Código del producto Vendido]],STOCK[],5,FALSE),"-")</f>
        <v>Sostén Push-up</v>
      </c>
      <c r="G436" s="34">
        <v>1</v>
      </c>
      <c r="H436" s="35">
        <v>15</v>
      </c>
      <c r="I436" s="35">
        <f>VENTAS[[#This Row],[Cantidad]]*VENTAS[[#This Row],[Precio Venta]]</f>
        <v>15</v>
      </c>
      <c r="J436" s="35">
        <f>IF(VENTAS[[#This Row],[Nombre del Gestor]]&gt;1,VENTAS[[#This Row],[Total]]*10%,0)</f>
        <v>0</v>
      </c>
      <c r="K436" s="35">
        <f>IFERROR(VLOOKUP(VENTAS[[#This Row],[Código del producto Vendido]],STOCK[],16,FALSE)*VENTAS[[#This Row],[Cantidad]]+VLOOKUP(VENTAS[[#This Row],[Código del producto Vendido]],STOCK[],19,FALSE)*VENTAS[[#This Row],[Cantidad]],VENTAS[[#This Row],[Total]])</f>
        <v>11.1333333333333</v>
      </c>
      <c r="L436" s="35">
        <f>VENTAS[[#This Row],[Total]]-VENTAS[[#This Row],[Comisión 10%]]-VENTAS[[#This Row],[Costo SIN Comision]]</f>
        <v>3.8666666666667</v>
      </c>
      <c r="M436" s="35"/>
    </row>
    <row r="437" ht="20" customHeight="1" spans="1:13">
      <c r="A437" s="64" t="s">
        <v>3385</v>
      </c>
      <c r="B437" s="30"/>
      <c r="C437" s="30" t="s">
        <v>3342</v>
      </c>
      <c r="D437" s="30"/>
      <c r="E437" s="30" t="s">
        <v>802</v>
      </c>
      <c r="F437" s="34" t="str">
        <f>IFERROR(VLOOKUP(VENTAS[[#This Row],[Código del producto Vendido]],STOCK[],5,FALSE),"-")</f>
        <v>Vestido slip satinado</v>
      </c>
      <c r="G437" s="34">
        <v>1</v>
      </c>
      <c r="H437" s="35">
        <v>0</v>
      </c>
      <c r="I437" s="35">
        <f>VENTAS[[#This Row],[Cantidad]]*VENTAS[[#This Row],[Precio Venta]]</f>
        <v>0</v>
      </c>
      <c r="J437" s="35">
        <f>IF(VENTAS[[#This Row],[Nombre del Gestor]]&gt;1,VENTAS[[#This Row],[Total]]*10%,0)</f>
        <v>0</v>
      </c>
      <c r="K437" s="35">
        <f>IFERROR(VLOOKUP(VENTAS[[#This Row],[Código del producto Vendido]],STOCK[],16,FALSE)*VENTAS[[#This Row],[Cantidad]]+VLOOKUP(VENTAS[[#This Row],[Código del producto Vendido]],STOCK[],19,FALSE)*VENTAS[[#This Row],[Cantidad]],VENTAS[[#This Row],[Total]])</f>
        <v>8.5</v>
      </c>
      <c r="L437" s="35">
        <f>VENTAS[[#This Row],[Total]]-VENTAS[[#This Row],[Comisión 10%]]-VENTAS[[#This Row],[Costo SIN Comision]]</f>
        <v>-8.5</v>
      </c>
      <c r="M437" s="35"/>
    </row>
    <row r="438" ht="20" customHeight="1" spans="1:13">
      <c r="A438" s="65" t="s">
        <v>3385</v>
      </c>
      <c r="B438" s="30"/>
      <c r="C438" s="30" t="s">
        <v>3342</v>
      </c>
      <c r="D438" s="30"/>
      <c r="E438" s="30" t="s">
        <v>641</v>
      </c>
      <c r="F438" s="34" t="str">
        <f>IFERROR(VLOOKUP(VENTAS[[#This Row],[Código del producto Vendido]],STOCK[],5,FALSE),"-")</f>
        <v>Vestido con estampado floral</v>
      </c>
      <c r="G438" s="34">
        <v>1</v>
      </c>
      <c r="H438" s="35">
        <v>15</v>
      </c>
      <c r="I438" s="35">
        <f>VENTAS[[#This Row],[Cantidad]]*VENTAS[[#This Row],[Precio Venta]]</f>
        <v>15</v>
      </c>
      <c r="J438" s="35">
        <f>IF(VENTAS[[#This Row],[Nombre del Gestor]]&gt;1,VENTAS[[#This Row],[Total]]*10%,0)</f>
        <v>0</v>
      </c>
      <c r="K438" s="35">
        <f>IFERROR(VLOOKUP(VENTAS[[#This Row],[Código del producto Vendido]],STOCK[],16,FALSE)*VENTAS[[#This Row],[Cantidad]]+VLOOKUP(VENTAS[[#This Row],[Código del producto Vendido]],STOCK[],19,FALSE)*VENTAS[[#This Row],[Cantidad]],VENTAS[[#This Row],[Total]])</f>
        <v>10.7222222222222</v>
      </c>
      <c r="L438" s="35">
        <f>VENTAS[[#This Row],[Total]]-VENTAS[[#This Row],[Comisión 10%]]-VENTAS[[#This Row],[Costo SIN Comision]]</f>
        <v>4.27777777777778</v>
      </c>
      <c r="M438" s="35"/>
    </row>
    <row r="439" ht="20" customHeight="1" spans="1:13">
      <c r="A439" s="64" t="s">
        <v>3385</v>
      </c>
      <c r="B439" s="30"/>
      <c r="C439" s="30" t="s">
        <v>3342</v>
      </c>
      <c r="D439" s="30"/>
      <c r="E439" s="30" t="s">
        <v>639</v>
      </c>
      <c r="F439" s="34" t="str">
        <f>IFERROR(VLOOKUP(VENTAS[[#This Row],[Código del producto Vendido]],STOCK[],5,FALSE),"-")</f>
        <v>Vestido con estampado floral</v>
      </c>
      <c r="G439" s="34">
        <v>3</v>
      </c>
      <c r="H439" s="35">
        <v>15</v>
      </c>
      <c r="I439" s="35">
        <f>VENTAS[[#This Row],[Cantidad]]*VENTAS[[#This Row],[Precio Venta]]</f>
        <v>45</v>
      </c>
      <c r="J439" s="35">
        <f>IF(VENTAS[[#This Row],[Nombre del Gestor]]&gt;1,VENTAS[[#This Row],[Total]]*10%,0)</f>
        <v>0</v>
      </c>
      <c r="K439" s="35">
        <f>IFERROR(VLOOKUP(VENTAS[[#This Row],[Código del producto Vendido]],STOCK[],16,FALSE)*VENTAS[[#This Row],[Cantidad]]+VLOOKUP(VENTAS[[#This Row],[Código del producto Vendido]],STOCK[],19,FALSE)*VENTAS[[#This Row],[Cantidad]],VENTAS[[#This Row],[Total]])</f>
        <v>32.1666666666667</v>
      </c>
      <c r="L439" s="35">
        <f>VENTAS[[#This Row],[Total]]-VENTAS[[#This Row],[Comisión 10%]]-VENTAS[[#This Row],[Costo SIN Comision]]</f>
        <v>12.8333333333333</v>
      </c>
      <c r="M439" s="35"/>
    </row>
    <row r="440" ht="20" customHeight="1" spans="1:13">
      <c r="A440" s="65" t="s">
        <v>3385</v>
      </c>
      <c r="B440" s="30"/>
      <c r="C440" s="30" t="s">
        <v>3342</v>
      </c>
      <c r="D440" s="30"/>
      <c r="E440" s="30" t="s">
        <v>633</v>
      </c>
      <c r="F440" s="34" t="str">
        <f>IFERROR(VLOOKUP(VENTAS[[#This Row],[Código del producto Vendido]],STOCK[],5,FALSE),"-")</f>
        <v>Vestido floral con abertura trasera</v>
      </c>
      <c r="G440" s="34">
        <v>3</v>
      </c>
      <c r="H440" s="35">
        <v>15</v>
      </c>
      <c r="I440" s="35">
        <f>VENTAS[[#This Row],[Cantidad]]*VENTAS[[#This Row],[Precio Venta]]</f>
        <v>45</v>
      </c>
      <c r="J440" s="35">
        <f>IF(VENTAS[[#This Row],[Nombre del Gestor]]&gt;1,VENTAS[[#This Row],[Total]]*10%,0)</f>
        <v>0</v>
      </c>
      <c r="K440" s="35">
        <f>IFERROR(VLOOKUP(VENTAS[[#This Row],[Código del producto Vendido]],STOCK[],16,FALSE)*VENTAS[[#This Row],[Cantidad]]+VLOOKUP(VENTAS[[#This Row],[Código del producto Vendido]],STOCK[],19,FALSE)*VENTAS[[#This Row],[Cantidad]],VENTAS[[#This Row],[Total]])</f>
        <v>32.1666666666667</v>
      </c>
      <c r="L440" s="35">
        <f>VENTAS[[#This Row],[Total]]-VENTAS[[#This Row],[Comisión 10%]]-VENTAS[[#This Row],[Costo SIN Comision]]</f>
        <v>12.8333333333333</v>
      </c>
      <c r="M440" s="35"/>
    </row>
    <row r="441" ht="20" customHeight="1" spans="1:13">
      <c r="A441" s="64" t="s">
        <v>3385</v>
      </c>
      <c r="B441" s="30"/>
      <c r="C441" s="30" t="s">
        <v>3342</v>
      </c>
      <c r="D441" s="30"/>
      <c r="E441" s="30" t="s">
        <v>630</v>
      </c>
      <c r="F441" s="34" t="str">
        <f>IFERROR(VLOOKUP(VENTAS[[#This Row],[Código del producto Vendido]],STOCK[],5,FALSE),"-")</f>
        <v>Vestido floral con abertura trasera</v>
      </c>
      <c r="G441" s="34">
        <v>2</v>
      </c>
      <c r="H441" s="35">
        <v>15</v>
      </c>
      <c r="I441" s="35">
        <f>VENTAS[[#This Row],[Cantidad]]*VENTAS[[#This Row],[Precio Venta]]</f>
        <v>30</v>
      </c>
      <c r="J441" s="35">
        <f>IF(VENTAS[[#This Row],[Nombre del Gestor]]&gt;1,VENTAS[[#This Row],[Total]]*10%,0)</f>
        <v>0</v>
      </c>
      <c r="K441" s="35">
        <f>IFERROR(VLOOKUP(VENTAS[[#This Row],[Código del producto Vendido]],STOCK[],16,FALSE)*VENTAS[[#This Row],[Cantidad]]+VLOOKUP(VENTAS[[#This Row],[Código del producto Vendido]],STOCK[],19,FALSE)*VENTAS[[#This Row],[Cantidad]],VENTAS[[#This Row],[Total]])</f>
        <v>21.4444444444444</v>
      </c>
      <c r="L441" s="35">
        <f>VENTAS[[#This Row],[Total]]-VENTAS[[#This Row],[Comisión 10%]]-VENTAS[[#This Row],[Costo SIN Comision]]</f>
        <v>8.55555555555556</v>
      </c>
      <c r="M441" s="35"/>
    </row>
    <row r="442" ht="20" customHeight="1" spans="1:13">
      <c r="A442" s="65" t="s">
        <v>3385</v>
      </c>
      <c r="B442" s="30"/>
      <c r="C442" s="30" t="s">
        <v>3342</v>
      </c>
      <c r="D442" s="30"/>
      <c r="E442" s="30" t="s">
        <v>634</v>
      </c>
      <c r="F442" s="34" t="str">
        <f>IFERROR(VLOOKUP(VENTAS[[#This Row],[Código del producto Vendido]],STOCK[],5,FALSE),"-")</f>
        <v>Vestido floral escote corazón</v>
      </c>
      <c r="G442" s="34">
        <v>2</v>
      </c>
      <c r="H442" s="35">
        <v>15</v>
      </c>
      <c r="I442" s="35">
        <f>VENTAS[[#This Row],[Cantidad]]*VENTAS[[#This Row],[Precio Venta]]</f>
        <v>30</v>
      </c>
      <c r="J442" s="35">
        <f>IF(VENTAS[[#This Row],[Nombre del Gestor]]&gt;1,VENTAS[[#This Row],[Total]]*10%,0)</f>
        <v>0</v>
      </c>
      <c r="K442" s="35">
        <f>IFERROR(VLOOKUP(VENTAS[[#This Row],[Código del producto Vendido]],STOCK[],16,FALSE)*VENTAS[[#This Row],[Cantidad]]+VLOOKUP(VENTAS[[#This Row],[Código del producto Vendido]],STOCK[],19,FALSE)*VENTAS[[#This Row],[Cantidad]],VENTAS[[#This Row],[Total]])</f>
        <v>21.4444444444444</v>
      </c>
      <c r="L442" s="35">
        <f>VENTAS[[#This Row],[Total]]-VENTAS[[#This Row],[Comisión 10%]]-VENTAS[[#This Row],[Costo SIN Comision]]</f>
        <v>8.55555555555556</v>
      </c>
      <c r="M442" s="35"/>
    </row>
    <row r="443" ht="20" customHeight="1" spans="1:13">
      <c r="A443" s="64" t="s">
        <v>3385</v>
      </c>
      <c r="B443" s="30"/>
      <c r="C443" s="30" t="s">
        <v>3342</v>
      </c>
      <c r="D443" s="30"/>
      <c r="E443" s="30" t="s">
        <v>636</v>
      </c>
      <c r="F443" s="34" t="str">
        <f>IFERROR(VLOOKUP(VENTAS[[#This Row],[Código del producto Vendido]],STOCK[],5,FALSE),"-")</f>
        <v>Vestido floral escote corazón</v>
      </c>
      <c r="G443" s="34">
        <v>1</v>
      </c>
      <c r="H443" s="35">
        <v>15</v>
      </c>
      <c r="I443" s="35">
        <f>VENTAS[[#This Row],[Cantidad]]*VENTAS[[#This Row],[Precio Venta]]</f>
        <v>15</v>
      </c>
      <c r="J443" s="35">
        <f>IF(VENTAS[[#This Row],[Nombre del Gestor]]&gt;1,VENTAS[[#This Row],[Total]]*10%,0)</f>
        <v>0</v>
      </c>
      <c r="K443" s="35">
        <f>IFERROR(VLOOKUP(VENTAS[[#This Row],[Código del producto Vendido]],STOCK[],16,FALSE)*VENTAS[[#This Row],[Cantidad]]+VLOOKUP(VENTAS[[#This Row],[Código del producto Vendido]],STOCK[],19,FALSE)*VENTAS[[#This Row],[Cantidad]],VENTAS[[#This Row],[Total]])</f>
        <v>10.7222222222222</v>
      </c>
      <c r="L443" s="35">
        <f>VENTAS[[#This Row],[Total]]-VENTAS[[#This Row],[Comisión 10%]]-VENTAS[[#This Row],[Costo SIN Comision]]</f>
        <v>4.27777777777778</v>
      </c>
      <c r="M443" s="35"/>
    </row>
    <row r="444" ht="20" customHeight="1" spans="1:13">
      <c r="A444" s="65" t="s">
        <v>3385</v>
      </c>
      <c r="B444" s="30"/>
      <c r="C444" s="30" t="s">
        <v>3342</v>
      </c>
      <c r="D444" s="30"/>
      <c r="E444" s="30" t="s">
        <v>604</v>
      </c>
      <c r="F444" s="34" t="str">
        <f>IFERROR(VLOOKUP(VENTAS[[#This Row],[Código del producto Vendido]],STOCK[],5,FALSE),"-")</f>
        <v>Vestido floral de mangas farol</v>
      </c>
      <c r="G444" s="34">
        <v>1</v>
      </c>
      <c r="H444" s="35">
        <v>20</v>
      </c>
      <c r="I444" s="35">
        <f>VENTAS[[#This Row],[Cantidad]]*VENTAS[[#This Row],[Precio Venta]]</f>
        <v>20</v>
      </c>
      <c r="J444" s="35">
        <f>IF(VENTAS[[#This Row],[Nombre del Gestor]]&gt;1,VENTAS[[#This Row],[Total]]*10%,0)</f>
        <v>0</v>
      </c>
      <c r="K444" s="35">
        <f>IFERROR(VLOOKUP(VENTAS[[#This Row],[Código del producto Vendido]],STOCK[],16,FALSE)*VENTAS[[#This Row],[Cantidad]]+VLOOKUP(VENTAS[[#This Row],[Código del producto Vendido]],STOCK[],19,FALSE)*VENTAS[[#This Row],[Cantidad]],VENTAS[[#This Row],[Total]])</f>
        <v>10.7222222222222</v>
      </c>
      <c r="L444" s="35">
        <f>VENTAS[[#This Row],[Total]]-VENTAS[[#This Row],[Comisión 10%]]-VENTAS[[#This Row],[Costo SIN Comision]]</f>
        <v>9.27777777777778</v>
      </c>
      <c r="M444" s="35"/>
    </row>
    <row r="445" ht="20" customHeight="1" spans="1:13">
      <c r="A445" s="64" t="s">
        <v>3385</v>
      </c>
      <c r="B445" s="30"/>
      <c r="C445" s="30" t="s">
        <v>3342</v>
      </c>
      <c r="D445" s="30"/>
      <c r="E445" s="66" t="s">
        <v>804</v>
      </c>
      <c r="F445" s="34" t="str">
        <f>IFERROR(VLOOKUP(VENTAS[[#This Row],[Código del producto Vendido]],STOCK[],5,FALSE),"-")</f>
        <v> Bañador espalda descubierta</v>
      </c>
      <c r="G445" s="34">
        <v>1</v>
      </c>
      <c r="H445" s="35">
        <v>20</v>
      </c>
      <c r="I445" s="35">
        <f>VENTAS[[#This Row],[Cantidad]]*VENTAS[[#This Row],[Precio Venta]]</f>
        <v>20</v>
      </c>
      <c r="J445" s="35">
        <f>IF(VENTAS[[#This Row],[Nombre del Gestor]]&gt;1,VENTAS[[#This Row],[Total]]*10%,0)</f>
        <v>0</v>
      </c>
      <c r="K445" s="35">
        <f>IFERROR(VLOOKUP(VENTAS[[#This Row],[Código del producto Vendido]],STOCK[],16,FALSE)*VENTAS[[#This Row],[Cantidad]]+VLOOKUP(VENTAS[[#This Row],[Código del producto Vendido]],STOCK[],19,FALSE)*VENTAS[[#This Row],[Cantidad]],VENTAS[[#This Row],[Total]])</f>
        <v>15.5555555555556</v>
      </c>
      <c r="L445" s="35">
        <f>VENTAS[[#This Row],[Total]]-VENTAS[[#This Row],[Comisión 10%]]-VENTAS[[#This Row],[Costo SIN Comision]]</f>
        <v>4.4444444444444</v>
      </c>
      <c r="M445" s="35"/>
    </row>
    <row r="446" ht="20" customHeight="1" spans="1:13">
      <c r="A446" s="65" t="s">
        <v>3385</v>
      </c>
      <c r="B446" s="30"/>
      <c r="C446" s="30" t="s">
        <v>3389</v>
      </c>
      <c r="D446" s="30"/>
      <c r="E446" s="30" t="s">
        <v>664</v>
      </c>
      <c r="F446" s="34" t="str">
        <f>IFERROR(VLOOKUP(VENTAS[[#This Row],[Código del producto Vendido]],STOCK[],5,FALSE),"-")</f>
        <v>Top Cruzado negro</v>
      </c>
      <c r="G446" s="34">
        <v>1</v>
      </c>
      <c r="H446" s="35">
        <v>9</v>
      </c>
      <c r="I446" s="35">
        <f>VENTAS[[#This Row],[Cantidad]]*VENTAS[[#This Row],[Precio Venta]]</f>
        <v>9</v>
      </c>
      <c r="J446" s="35">
        <f>IF(VENTAS[[#This Row],[Nombre del Gestor]]&gt;1,VENTAS[[#This Row],[Total]]*10%,0)</f>
        <v>0</v>
      </c>
      <c r="K446" s="35">
        <f>IFERROR(VLOOKUP(VENTAS[[#This Row],[Código del producto Vendido]],STOCK[],16,FALSE)*VENTAS[[#This Row],[Cantidad]]+VLOOKUP(VENTAS[[#This Row],[Código del producto Vendido]],STOCK[],19,FALSE)*VENTAS[[#This Row],[Cantidad]],VENTAS[[#This Row],[Total]])</f>
        <v>4.90166666666667</v>
      </c>
      <c r="L446" s="35">
        <f>VENTAS[[#This Row],[Total]]-VENTAS[[#This Row],[Comisión 10%]]-VENTAS[[#This Row],[Costo SIN Comision]]</f>
        <v>4.09833333333333</v>
      </c>
      <c r="M446" s="35"/>
    </row>
    <row r="447" ht="20" customHeight="1" spans="1:13">
      <c r="A447" s="65" t="s">
        <v>3385</v>
      </c>
      <c r="B447" s="30"/>
      <c r="C447" s="30" t="s">
        <v>3390</v>
      </c>
      <c r="D447" s="30"/>
      <c r="E447" s="30" t="s">
        <v>696</v>
      </c>
      <c r="F447" s="34" t="str">
        <f>IFERROR(VLOOKUP(VENTAS[[#This Row],[Código del producto Vendido]],STOCK[],5,FALSE),"-")</f>
        <v> Vestido ajustado con estampado de dragón</v>
      </c>
      <c r="G447" s="34">
        <v>1</v>
      </c>
      <c r="H447" s="35">
        <v>5</v>
      </c>
      <c r="I447" s="35">
        <f>VENTAS[[#This Row],[Cantidad]]*VENTAS[[#This Row],[Precio Venta]]</f>
        <v>5</v>
      </c>
      <c r="J447" s="35">
        <f>IF(VENTAS[[#This Row],[Nombre del Gestor]]&gt;1,VENTAS[[#This Row],[Total]]*10%,0)</f>
        <v>0</v>
      </c>
      <c r="K447" s="35">
        <f>IFERROR(VLOOKUP(VENTAS[[#This Row],[Código del producto Vendido]],STOCK[],16,FALSE)*VENTAS[[#This Row],[Cantidad]]+VLOOKUP(VENTAS[[#This Row],[Código del producto Vendido]],STOCK[],19,FALSE)*VENTAS[[#This Row],[Cantidad]],VENTAS[[#This Row],[Total]])</f>
        <v>7.10555555555556</v>
      </c>
      <c r="L447" s="35">
        <f>VENTAS[[#This Row],[Total]]-VENTAS[[#This Row],[Comisión 10%]]-VENTAS[[#This Row],[Costo SIN Comision]]</f>
        <v>-2.10555555555556</v>
      </c>
      <c r="M447" s="35"/>
    </row>
    <row r="448" ht="20" customHeight="1" spans="1:13">
      <c r="A448" s="64" t="s">
        <v>3385</v>
      </c>
      <c r="B448" s="30"/>
      <c r="C448" s="30" t="s">
        <v>3390</v>
      </c>
      <c r="D448" s="30"/>
      <c r="E448" s="30" t="s">
        <v>694</v>
      </c>
      <c r="F448" s="34" t="str">
        <f>IFERROR(VLOOKUP(VENTAS[[#This Row],[Código del producto Vendido]],STOCK[],5,FALSE),"-")</f>
        <v>Vestido slip cebra</v>
      </c>
      <c r="G448" s="34">
        <v>1</v>
      </c>
      <c r="H448" s="35">
        <v>5</v>
      </c>
      <c r="I448" s="35">
        <f>VENTAS[[#This Row],[Cantidad]]*VENTAS[[#This Row],[Precio Venta]]</f>
        <v>5</v>
      </c>
      <c r="J448" s="35">
        <f>IF(VENTAS[[#This Row],[Nombre del Gestor]]&gt;1,VENTAS[[#This Row],[Total]]*10%,0)</f>
        <v>0</v>
      </c>
      <c r="K448" s="35">
        <f>IFERROR(VLOOKUP(VENTAS[[#This Row],[Código del producto Vendido]],STOCK[],16,FALSE)*VENTAS[[#This Row],[Cantidad]]+VLOOKUP(VENTAS[[#This Row],[Código del producto Vendido]],STOCK[],19,FALSE)*VENTAS[[#This Row],[Cantidad]],VENTAS[[#This Row],[Total]])</f>
        <v>7.10555555555556</v>
      </c>
      <c r="L448" s="35">
        <f>VENTAS[[#This Row],[Total]]-VENTAS[[#This Row],[Comisión 10%]]-VENTAS[[#This Row],[Costo SIN Comision]]</f>
        <v>-2.10555555555556</v>
      </c>
      <c r="M448" s="35"/>
    </row>
    <row r="449" ht="20" customHeight="1" spans="1:13">
      <c r="A449" s="65" t="s">
        <v>3385</v>
      </c>
      <c r="B449" s="30"/>
      <c r="C449" s="30" t="s">
        <v>3387</v>
      </c>
      <c r="D449" s="30"/>
      <c r="E449" s="30" t="s">
        <v>692</v>
      </c>
      <c r="F449" s="34" t="str">
        <f>IFERROR(VLOOKUP(VENTAS[[#This Row],[Código del producto Vendido]],STOCK[],5,FALSE),"-")</f>
        <v>Vestido slip de rayas de cebra</v>
      </c>
      <c r="G449" s="34">
        <v>1</v>
      </c>
      <c r="H449" s="35">
        <v>5</v>
      </c>
      <c r="I449" s="35">
        <f>VENTAS[[#This Row],[Cantidad]]*VENTAS[[#This Row],[Precio Venta]]</f>
        <v>5</v>
      </c>
      <c r="J449" s="35">
        <f>IF(VENTAS[[#This Row],[Nombre del Gestor]]&gt;1,VENTAS[[#This Row],[Total]]*10%,0)</f>
        <v>0</v>
      </c>
      <c r="K449" s="35">
        <f>IFERROR(VLOOKUP(VENTAS[[#This Row],[Código del producto Vendido]],STOCK[],16,FALSE)*VENTAS[[#This Row],[Cantidad]]+VLOOKUP(VENTAS[[#This Row],[Código del producto Vendido]],STOCK[],19,FALSE)*VENTAS[[#This Row],[Cantidad]],VENTAS[[#This Row],[Total]])</f>
        <v>7.10555555555556</v>
      </c>
      <c r="L449" s="35">
        <f>VENTAS[[#This Row],[Total]]-VENTAS[[#This Row],[Comisión 10%]]-VENTAS[[#This Row],[Costo SIN Comision]]</f>
        <v>-2.10555555555556</v>
      </c>
      <c r="M449" s="35"/>
    </row>
    <row r="450" ht="20" customHeight="1" spans="1:13">
      <c r="A450" s="65" t="s">
        <v>3385</v>
      </c>
      <c r="B450" s="30"/>
      <c r="C450" s="30" t="s">
        <v>3391</v>
      </c>
      <c r="D450" s="30"/>
      <c r="E450" s="30" t="s">
        <v>3392</v>
      </c>
      <c r="F450" s="34" t="str">
        <f>IFERROR(VLOOKUP(VENTAS[[#This Row],[Código del producto Vendido]],STOCK[],5,FALSE),"-")</f>
        <v>-</v>
      </c>
      <c r="G450" s="34">
        <v>1</v>
      </c>
      <c r="H450" s="35">
        <v>20</v>
      </c>
      <c r="I450" s="35">
        <f>VENTAS[[#This Row],[Cantidad]]*VENTAS[[#This Row],[Precio Venta]]</f>
        <v>20</v>
      </c>
      <c r="J450" s="35">
        <f>IF(VENTAS[[#This Row],[Nombre del Gestor]]&gt;1,VENTAS[[#This Row],[Total]]*10%,0)</f>
        <v>0</v>
      </c>
      <c r="K450" s="35">
        <f>IFERROR(VLOOKUP(VENTAS[[#This Row],[Código del producto Vendido]],STOCK[],16,FALSE)*VENTAS[[#This Row],[Cantidad]]+VLOOKUP(VENTAS[[#This Row],[Código del producto Vendido]],STOCK[],19,FALSE)*VENTAS[[#This Row],[Cantidad]],VENTAS[[#This Row],[Total]])</f>
        <v>20</v>
      </c>
      <c r="L450" s="35">
        <f>VENTAS[[#This Row],[Total]]-VENTAS[[#This Row],[Comisión 10%]]-VENTAS[[#This Row],[Costo SIN Comision]]</f>
        <v>0</v>
      </c>
      <c r="M450" s="35"/>
    </row>
    <row r="451" ht="20" customHeight="1" spans="1:13">
      <c r="A451" s="64" t="s">
        <v>3385</v>
      </c>
      <c r="B451" s="30"/>
      <c r="C451" s="30" t="s">
        <v>3393</v>
      </c>
      <c r="D451" s="30"/>
      <c r="E451" s="30" t="s">
        <v>239</v>
      </c>
      <c r="F451" s="34" t="str">
        <f>IFERROR(VLOOKUP(VENTAS[[#This Row],[Código del producto Vendido]],STOCK[],5,FALSE),"-")</f>
        <v>Vestido tank tejido de canalé con cinturón</v>
      </c>
      <c r="G451" s="34">
        <v>1</v>
      </c>
      <c r="H451" s="35">
        <v>28</v>
      </c>
      <c r="I451" s="35">
        <f>VENTAS[[#This Row],[Cantidad]]*VENTAS[[#This Row],[Precio Venta]]</f>
        <v>28</v>
      </c>
      <c r="J451" s="35">
        <f>IF(VENTAS[[#This Row],[Nombre del Gestor]]&gt;1,VENTAS[[#This Row],[Total]]*10%,0)</f>
        <v>0</v>
      </c>
      <c r="K451" s="35">
        <f>IFERROR(VLOOKUP(VENTAS[[#This Row],[Código del producto Vendido]],STOCK[],16,FALSE)*VENTAS[[#This Row],[Cantidad]]+VLOOKUP(VENTAS[[#This Row],[Código del producto Vendido]],STOCK[],19,FALSE)*VENTAS[[#This Row],[Cantidad]],VENTAS[[#This Row],[Total]])</f>
        <v>17.6377777777778</v>
      </c>
      <c r="L451" s="35">
        <f>VENTAS[[#This Row],[Total]]-VENTAS[[#This Row],[Comisión 10%]]-VENTAS[[#This Row],[Costo SIN Comision]]</f>
        <v>10.3622222222222</v>
      </c>
      <c r="M451" s="35"/>
    </row>
    <row r="452" ht="20" customHeight="1" spans="1:13">
      <c r="A452" s="65" t="s">
        <v>3385</v>
      </c>
      <c r="B452" s="30"/>
      <c r="C452" s="30" t="s">
        <v>3386</v>
      </c>
      <c r="D452" s="30"/>
      <c r="E452" s="30" t="s">
        <v>716</v>
      </c>
      <c r="F452" s="34" t="str">
        <f>IFERROR(VLOOKUP(VENTAS[[#This Row],[Código del producto Vendido]],STOCK[],5,FALSE),"-")</f>
        <v>Vestido bodycon</v>
      </c>
      <c r="G452" s="34">
        <v>1</v>
      </c>
      <c r="H452" s="35">
        <v>5</v>
      </c>
      <c r="I452" s="35">
        <f>VENTAS[[#This Row],[Cantidad]]*VENTAS[[#This Row],[Precio Venta]]</f>
        <v>5</v>
      </c>
      <c r="J452" s="35">
        <f>IF(VENTAS[[#This Row],[Nombre del Gestor]]&gt;1,VENTAS[[#This Row],[Total]]*10%,0)</f>
        <v>0</v>
      </c>
      <c r="K452" s="35">
        <f>IFERROR(VLOOKUP(VENTAS[[#This Row],[Código del producto Vendido]],STOCK[],16,FALSE)*VENTAS[[#This Row],[Cantidad]]+VLOOKUP(VENTAS[[#This Row],[Código del producto Vendido]],STOCK[],19,FALSE)*VENTAS[[#This Row],[Cantidad]],VENTAS[[#This Row],[Total]])</f>
        <v>5.72222222222222</v>
      </c>
      <c r="L452" s="35">
        <f>VENTAS[[#This Row],[Total]]-VENTAS[[#This Row],[Comisión 10%]]-VENTAS[[#This Row],[Costo SIN Comision]]</f>
        <v>-0.72222222222222</v>
      </c>
      <c r="M452" s="35"/>
    </row>
    <row r="453" ht="20" customHeight="1" spans="1:13">
      <c r="A453" s="64" t="s">
        <v>3385</v>
      </c>
      <c r="B453" s="30"/>
      <c r="C453" s="30" t="s">
        <v>3394</v>
      </c>
      <c r="D453" s="30"/>
      <c r="E453" s="30" t="s">
        <v>692</v>
      </c>
      <c r="F453" s="34" t="str">
        <f>IFERROR(VLOOKUP(VENTAS[[#This Row],[Código del producto Vendido]],STOCK[],5,FALSE),"-")</f>
        <v>Vestido slip de rayas de cebra</v>
      </c>
      <c r="G453" s="34">
        <v>1</v>
      </c>
      <c r="H453" s="35">
        <v>5</v>
      </c>
      <c r="I453" s="35">
        <f>VENTAS[[#This Row],[Cantidad]]*VENTAS[[#This Row],[Precio Venta]]</f>
        <v>5</v>
      </c>
      <c r="J453" s="35">
        <f>IF(VENTAS[[#This Row],[Nombre del Gestor]]&gt;1,VENTAS[[#This Row],[Total]]*10%,0)</f>
        <v>0</v>
      </c>
      <c r="K453" s="35">
        <f>IFERROR(VLOOKUP(VENTAS[[#This Row],[Código del producto Vendido]],STOCK[],16,FALSE)*VENTAS[[#This Row],[Cantidad]]+VLOOKUP(VENTAS[[#This Row],[Código del producto Vendido]],STOCK[],19,FALSE)*VENTAS[[#This Row],[Cantidad]],VENTAS[[#This Row],[Total]])</f>
        <v>7.10555555555556</v>
      </c>
      <c r="L453" s="35">
        <f>VENTAS[[#This Row],[Total]]-VENTAS[[#This Row],[Comisión 10%]]-VENTAS[[#This Row],[Costo SIN Comision]]</f>
        <v>-2.10555555555556</v>
      </c>
      <c r="M453" s="35"/>
    </row>
    <row r="454" ht="20" customHeight="1" spans="1:13">
      <c r="A454" s="65" t="s">
        <v>3385</v>
      </c>
      <c r="B454" s="30"/>
      <c r="C454" s="30" t="s">
        <v>3394</v>
      </c>
      <c r="D454" s="30"/>
      <c r="E454" s="30" t="s">
        <v>696</v>
      </c>
      <c r="F454" s="34" t="str">
        <f>IFERROR(VLOOKUP(VENTAS[[#This Row],[Código del producto Vendido]],STOCK[],5,FALSE),"-")</f>
        <v> Vestido ajustado con estampado de dragón</v>
      </c>
      <c r="G454" s="34">
        <v>1</v>
      </c>
      <c r="H454" s="35">
        <v>5</v>
      </c>
      <c r="I454" s="35">
        <f>VENTAS[[#This Row],[Cantidad]]*VENTAS[[#This Row],[Precio Venta]]</f>
        <v>5</v>
      </c>
      <c r="J454" s="35">
        <f>IF(VENTAS[[#This Row],[Nombre del Gestor]]&gt;1,VENTAS[[#This Row],[Total]]*10%,0)</f>
        <v>0</v>
      </c>
      <c r="K454" s="35">
        <f>IFERROR(VLOOKUP(VENTAS[[#This Row],[Código del producto Vendido]],STOCK[],16,FALSE)*VENTAS[[#This Row],[Cantidad]]+VLOOKUP(VENTAS[[#This Row],[Código del producto Vendido]],STOCK[],19,FALSE)*VENTAS[[#This Row],[Cantidad]],VENTAS[[#This Row],[Total]])</f>
        <v>7.10555555555556</v>
      </c>
      <c r="L454" s="35">
        <f>VENTAS[[#This Row],[Total]]-VENTAS[[#This Row],[Comisión 10%]]-VENTAS[[#This Row],[Costo SIN Comision]]</f>
        <v>-2.10555555555556</v>
      </c>
      <c r="M454" s="35"/>
    </row>
    <row r="455" ht="20" customHeight="1" spans="1:13">
      <c r="A455" s="64">
        <v>45138</v>
      </c>
      <c r="B455" s="30"/>
      <c r="C455" s="30" t="s">
        <v>3387</v>
      </c>
      <c r="D455" s="30"/>
      <c r="E455" s="30" t="s">
        <v>719</v>
      </c>
      <c r="F455" s="34" t="str">
        <f>IFERROR(VLOOKUP(VENTAS[[#This Row],[Código del producto Vendido]],STOCK[],5,FALSE),"-")</f>
        <v>Top acanalado sin mangas</v>
      </c>
      <c r="G455" s="34">
        <v>1</v>
      </c>
      <c r="H455" s="35">
        <v>10</v>
      </c>
      <c r="I455" s="35">
        <f>VENTAS[[#This Row],[Cantidad]]*VENTAS[[#This Row],[Precio Venta]]</f>
        <v>10</v>
      </c>
      <c r="J455" s="35">
        <f>IF(VENTAS[[#This Row],[Nombre del Gestor]]&gt;1,VENTAS[[#This Row],[Total]]*10%,0)</f>
        <v>0</v>
      </c>
      <c r="K455" s="35">
        <f>IFERROR(VLOOKUP(VENTAS[[#This Row],[Código del producto Vendido]],STOCK[],16,FALSE)*VENTAS[[#This Row],[Cantidad]]+VLOOKUP(VENTAS[[#This Row],[Código del producto Vendido]],STOCK[],19,FALSE)*VENTAS[[#This Row],[Cantidad]],VENTAS[[#This Row],[Total]])</f>
        <v>5.02222222222222</v>
      </c>
      <c r="L455" s="35">
        <f>VENTAS[[#This Row],[Total]]-VENTAS[[#This Row],[Comisión 10%]]-VENTAS[[#This Row],[Costo SIN Comision]]</f>
        <v>4.97777777777778</v>
      </c>
      <c r="M455" s="35"/>
    </row>
    <row r="456" ht="20" customHeight="1" spans="1:13">
      <c r="A456" s="65"/>
      <c r="B456" s="30"/>
      <c r="C456" s="30"/>
      <c r="D456" s="30"/>
      <c r="E456" s="30" t="s">
        <v>409</v>
      </c>
      <c r="F456" s="34" t="str">
        <f>IFERROR(VLOOKUP(VENTAS[[#This Row],[Código del producto Vendido]],STOCK[],5,FALSE),"-")</f>
        <v>Bañador una pieza de color combinado </v>
      </c>
      <c r="G456" s="34">
        <v>1</v>
      </c>
      <c r="H456" s="35">
        <v>20</v>
      </c>
      <c r="I456" s="35">
        <f>VENTAS[[#This Row],[Cantidad]]*VENTAS[[#This Row],[Precio Venta]]</f>
        <v>20</v>
      </c>
      <c r="J456" s="35">
        <f>IF(VENTAS[[#This Row],[Nombre del Gestor]]&gt;1,VENTAS[[#This Row],[Total]]*10%,0)</f>
        <v>0</v>
      </c>
      <c r="K456" s="35">
        <f>IFERROR(VLOOKUP(VENTAS[[#This Row],[Código del producto Vendido]],STOCK[],16,FALSE)*VENTAS[[#This Row],[Cantidad]]+VLOOKUP(VENTAS[[#This Row],[Código del producto Vendido]],STOCK[],19,FALSE)*VENTAS[[#This Row],[Cantidad]],VENTAS[[#This Row],[Total]])</f>
        <v>9.66666666666667</v>
      </c>
      <c r="L456" s="35">
        <f>VENTAS[[#This Row],[Total]]-VENTAS[[#This Row],[Comisión 10%]]-VENTAS[[#This Row],[Costo SIN Comision]]</f>
        <v>10.3333333333333</v>
      </c>
      <c r="M456" s="35"/>
    </row>
    <row r="457" ht="20" customHeight="1" spans="1:13">
      <c r="A457" s="64" t="s">
        <v>3395</v>
      </c>
      <c r="B457" s="30"/>
      <c r="C457" s="30"/>
      <c r="D457" s="30"/>
      <c r="E457" s="30" t="s">
        <v>456</v>
      </c>
      <c r="F457" s="34" t="str">
        <f>IFERROR(VLOOKUP(VENTAS[[#This Row],[Código del producto Vendido]],STOCK[],5,FALSE),"-")</f>
        <v>Bolso pequeño guateado con perla artificial</v>
      </c>
      <c r="G457" s="34">
        <v>1</v>
      </c>
      <c r="H457" s="35">
        <v>15</v>
      </c>
      <c r="I457" s="35">
        <f>VENTAS[[#This Row],[Cantidad]]*VENTAS[[#This Row],[Precio Venta]]</f>
        <v>15</v>
      </c>
      <c r="J457" s="35">
        <f>IF(VENTAS[[#This Row],[Nombre del Gestor]]&gt;1,VENTAS[[#This Row],[Total]]*10%,0)</f>
        <v>0</v>
      </c>
      <c r="K457" s="35">
        <f>IFERROR(VLOOKUP(VENTAS[[#This Row],[Código del producto Vendido]],STOCK[],16,FALSE)*VENTAS[[#This Row],[Cantidad]]+VLOOKUP(VENTAS[[#This Row],[Código del producto Vendido]],STOCK[],19,FALSE)*VENTAS[[#This Row],[Cantidad]],VENTAS[[#This Row],[Total]])</f>
        <v>9.55</v>
      </c>
      <c r="L457" s="35">
        <f>VENTAS[[#This Row],[Total]]-VENTAS[[#This Row],[Comisión 10%]]-VENTAS[[#This Row],[Costo SIN Comision]]</f>
        <v>5.45</v>
      </c>
      <c r="M457" s="35"/>
    </row>
    <row r="458" ht="20" customHeight="1" spans="1:13">
      <c r="A458" s="65" t="s">
        <v>3396</v>
      </c>
      <c r="B458" s="30"/>
      <c r="C458" s="30" t="s">
        <v>3397</v>
      </c>
      <c r="D458" s="30"/>
      <c r="E458" s="30" t="s">
        <v>64</v>
      </c>
      <c r="F458" s="34" t="str">
        <f>IFERROR(VLOOKUP(VENTAS[[#This Row],[Código del producto Vendido]],STOCK[],5,FALSE),"-")</f>
        <v>Bañador Elegante con Lazo</v>
      </c>
      <c r="G458" s="34">
        <v>1</v>
      </c>
      <c r="H458" s="35">
        <v>20</v>
      </c>
      <c r="I458" s="35">
        <f>VENTAS[[#This Row],[Cantidad]]*VENTAS[[#This Row],[Precio Venta]]</f>
        <v>20</v>
      </c>
      <c r="J458" s="35">
        <f>IF(VENTAS[[#This Row],[Nombre del Gestor]]&gt;1,VENTAS[[#This Row],[Total]]*10%,0)</f>
        <v>0</v>
      </c>
      <c r="K458" s="35">
        <f>IFERROR(VLOOKUP(VENTAS[[#This Row],[Código del producto Vendido]],STOCK[],16,FALSE)*VENTAS[[#This Row],[Cantidad]]+VLOOKUP(VENTAS[[#This Row],[Código del producto Vendido]],STOCK[],19,FALSE)*VENTAS[[#This Row],[Cantidad]],VENTAS[[#This Row],[Total]])</f>
        <v>11.9716666666667</v>
      </c>
      <c r="L458" s="35">
        <f>VENTAS[[#This Row],[Total]]-VENTAS[[#This Row],[Comisión 10%]]-VENTAS[[#This Row],[Costo SIN Comision]]</f>
        <v>8.02833333333333</v>
      </c>
      <c r="M458" s="35"/>
    </row>
    <row r="459" ht="20" customHeight="1" spans="1:13">
      <c r="A459" s="64" t="s">
        <v>3396</v>
      </c>
      <c r="B459" s="30"/>
      <c r="C459" s="30" t="s">
        <v>3398</v>
      </c>
      <c r="D459" s="30"/>
      <c r="E459" s="30" t="s">
        <v>939</v>
      </c>
      <c r="F459" s="34" t="str">
        <f>IFERROR(VLOOKUP(VENTAS[[#This Row],[Código del producto Vendido]],STOCK[],5,FALSE),"-")</f>
        <v>Vestido Tropical</v>
      </c>
      <c r="G459" s="34">
        <v>1</v>
      </c>
      <c r="H459" s="35">
        <v>30</v>
      </c>
      <c r="I459" s="35">
        <f>VENTAS[[#This Row],[Cantidad]]*VENTAS[[#This Row],[Precio Venta]]</f>
        <v>30</v>
      </c>
      <c r="J459" s="35">
        <f>IF(VENTAS[[#This Row],[Nombre del Gestor]]&gt;1,VENTAS[[#This Row],[Total]]*10%,0)</f>
        <v>0</v>
      </c>
      <c r="K459" s="35">
        <f>IFERROR(VLOOKUP(VENTAS[[#This Row],[Código del producto Vendido]],STOCK[],16,FALSE)*VENTAS[[#This Row],[Cantidad]]+VLOOKUP(VENTAS[[#This Row],[Código del producto Vendido]],STOCK[],19,FALSE)*VENTAS[[#This Row],[Cantidad]],VENTAS[[#This Row],[Total]])</f>
        <v>19.0186363636364</v>
      </c>
      <c r="L459" s="35">
        <f>VENTAS[[#This Row],[Total]]-VENTAS[[#This Row],[Comisión 10%]]-VENTAS[[#This Row],[Costo SIN Comision]]</f>
        <v>10.9813636363636</v>
      </c>
      <c r="M459" s="35"/>
    </row>
    <row r="460" ht="20" customHeight="1" spans="1:13">
      <c r="A460" s="65" t="s">
        <v>3396</v>
      </c>
      <c r="B460" s="30"/>
      <c r="C460" s="30" t="s">
        <v>3398</v>
      </c>
      <c r="D460" s="30"/>
      <c r="E460" s="30" t="s">
        <v>529</v>
      </c>
      <c r="F460" s="34" t="str">
        <f>IFERROR(VLOOKUP(VENTAS[[#This Row],[Código del producto Vendido]],STOCK[],5,FALSE),"-")</f>
        <v>Esponja de maquillaje </v>
      </c>
      <c r="G460" s="34">
        <v>1</v>
      </c>
      <c r="H460" s="35">
        <v>1</v>
      </c>
      <c r="I460" s="35">
        <f>VENTAS[[#This Row],[Cantidad]]*VENTAS[[#This Row],[Precio Venta]]</f>
        <v>1</v>
      </c>
      <c r="J460" s="35">
        <f>IF(VENTAS[[#This Row],[Nombre del Gestor]]&gt;1,VENTAS[[#This Row],[Total]]*10%,0)</f>
        <v>0</v>
      </c>
      <c r="K460" s="35">
        <f>IFERROR(VLOOKUP(VENTAS[[#This Row],[Código del producto Vendido]],STOCK[],16,FALSE)*VENTAS[[#This Row],[Cantidad]]+VLOOKUP(VENTAS[[#This Row],[Código del producto Vendido]],STOCK[],19,FALSE)*VENTAS[[#This Row],[Cantidad]],VENTAS[[#This Row],[Total]])</f>
        <v>0.436111111111111</v>
      </c>
      <c r="L460" s="35">
        <f>VENTAS[[#This Row],[Total]]-VENTAS[[#This Row],[Comisión 10%]]-VENTAS[[#This Row],[Costo SIN Comision]]</f>
        <v>0.563888888888889</v>
      </c>
      <c r="M460" s="35"/>
    </row>
    <row r="461" ht="20" customHeight="1" spans="1:13">
      <c r="A461" s="64" t="s">
        <v>3399</v>
      </c>
      <c r="B461" s="30"/>
      <c r="C461" s="30" t="s">
        <v>3400</v>
      </c>
      <c r="D461" s="30"/>
      <c r="E461" s="30" t="s">
        <v>1185</v>
      </c>
      <c r="F461" s="34" t="str">
        <f>IFERROR(VLOOKUP(VENTAS[[#This Row],[Código del producto Vendido]],STOCK[],5,FALSE),"-")</f>
        <v>Top healter en capas color beige</v>
      </c>
      <c r="G461" s="34">
        <v>1</v>
      </c>
      <c r="H461" s="35">
        <v>17</v>
      </c>
      <c r="I461" s="35">
        <f>VENTAS[[#This Row],[Cantidad]]*VENTAS[[#This Row],[Precio Venta]]</f>
        <v>17</v>
      </c>
      <c r="J461" s="35">
        <f>IF(VENTAS[[#This Row],[Nombre del Gestor]]&gt;1,VENTAS[[#This Row],[Total]]*10%,0)</f>
        <v>0</v>
      </c>
      <c r="K461" s="35">
        <f>IFERROR(VLOOKUP(VENTAS[[#This Row],[Código del producto Vendido]],STOCK[],16,FALSE)*VENTAS[[#This Row],[Cantidad]]+VLOOKUP(VENTAS[[#This Row],[Código del producto Vendido]],STOCK[],19,FALSE)*VENTAS[[#This Row],[Cantidad]],VENTAS[[#This Row],[Total]])</f>
        <v>12.75</v>
      </c>
      <c r="L461" s="35">
        <f>VENTAS[[#This Row],[Total]]-VENTAS[[#This Row],[Comisión 10%]]-VENTAS[[#This Row],[Costo SIN Comision]]</f>
        <v>4.25</v>
      </c>
      <c r="M461" s="35"/>
    </row>
    <row r="462" ht="20" customHeight="1" spans="1:13">
      <c r="A462" s="65" t="s">
        <v>3399</v>
      </c>
      <c r="B462" s="30"/>
      <c r="C462" s="30" t="s">
        <v>3401</v>
      </c>
      <c r="D462" s="30"/>
      <c r="E462" s="30" t="s">
        <v>850</v>
      </c>
      <c r="F462" s="34" t="str">
        <f>IFERROR(VLOOKUP(VENTAS[[#This Row],[Código del producto Vendido]],STOCK[],5,FALSE),"-")</f>
        <v>Vestido esmeralda</v>
      </c>
      <c r="G462" s="34">
        <v>1</v>
      </c>
      <c r="H462" s="35">
        <v>20</v>
      </c>
      <c r="I462" s="35">
        <f>VENTAS[[#This Row],[Cantidad]]*VENTAS[[#This Row],[Precio Venta]]</f>
        <v>20</v>
      </c>
      <c r="J462" s="35">
        <f>IF(VENTAS[[#This Row],[Nombre del Gestor]]&gt;1,VENTAS[[#This Row],[Total]]*10%,0)</f>
        <v>0</v>
      </c>
      <c r="K462" s="35">
        <f>IFERROR(VLOOKUP(VENTAS[[#This Row],[Código del producto Vendido]],STOCK[],16,FALSE)*VENTAS[[#This Row],[Cantidad]]+VLOOKUP(VENTAS[[#This Row],[Código del producto Vendido]],STOCK[],19,FALSE)*VENTAS[[#This Row],[Cantidad]],VENTAS[[#This Row],[Total]])</f>
        <v>16.7777777777778</v>
      </c>
      <c r="L462" s="35">
        <f>VENTAS[[#This Row],[Total]]-VENTAS[[#This Row],[Comisión 10%]]-VENTAS[[#This Row],[Costo SIN Comision]]</f>
        <v>3.2222222222222</v>
      </c>
      <c r="M462" s="35"/>
    </row>
    <row r="463" ht="20" customHeight="1" spans="1:13">
      <c r="A463" s="64" t="s">
        <v>3402</v>
      </c>
      <c r="B463" s="30"/>
      <c r="C463" s="30" t="s">
        <v>3403</v>
      </c>
      <c r="D463" s="30"/>
      <c r="E463" s="30" t="s">
        <v>456</v>
      </c>
      <c r="F463" s="34" t="str">
        <f>IFERROR(VLOOKUP(VENTAS[[#This Row],[Código del producto Vendido]],STOCK[],5,FALSE),"-")</f>
        <v>Bolso pequeño guateado con perla artificial</v>
      </c>
      <c r="G463" s="34">
        <v>1</v>
      </c>
      <c r="H463" s="35">
        <v>15</v>
      </c>
      <c r="I463" s="35">
        <f>VENTAS[[#This Row],[Cantidad]]*VENTAS[[#This Row],[Precio Venta]]</f>
        <v>15</v>
      </c>
      <c r="J463" s="35">
        <f>IF(VENTAS[[#This Row],[Nombre del Gestor]]&gt;1,VENTAS[[#This Row],[Total]]*10%,0)</f>
        <v>0</v>
      </c>
      <c r="K463" s="35">
        <f>IFERROR(VLOOKUP(VENTAS[[#This Row],[Código del producto Vendido]],STOCK[],16,FALSE)*VENTAS[[#This Row],[Cantidad]]+VLOOKUP(VENTAS[[#This Row],[Código del producto Vendido]],STOCK[],19,FALSE)*VENTAS[[#This Row],[Cantidad]],VENTAS[[#This Row],[Total]])</f>
        <v>9.55</v>
      </c>
      <c r="L463" s="35">
        <f>VENTAS[[#This Row],[Total]]-VENTAS[[#This Row],[Comisión 10%]]-VENTAS[[#This Row],[Costo SIN Comision]]</f>
        <v>5.45</v>
      </c>
      <c r="M463" s="35"/>
    </row>
    <row r="464" ht="20" customHeight="1" spans="1:13">
      <c r="A464" s="65" t="s">
        <v>3402</v>
      </c>
      <c r="B464" s="30" t="s">
        <v>3404</v>
      </c>
      <c r="C464" s="30" t="s">
        <v>3325</v>
      </c>
      <c r="D464" s="30"/>
      <c r="E464" s="30" t="s">
        <v>903</v>
      </c>
      <c r="F464" s="34" t="str">
        <f>IFERROR(VLOOKUP(VENTAS[[#This Row],[Código del producto Vendido]],STOCK[],5,FALSE),"-")</f>
        <v>Maxi Vestido Fruncido</v>
      </c>
      <c r="G464" s="34">
        <v>1</v>
      </c>
      <c r="H464" s="35">
        <v>33</v>
      </c>
      <c r="I464" s="35">
        <f>VENTAS[[#This Row],[Cantidad]]*VENTAS[[#This Row],[Precio Venta]]</f>
        <v>33</v>
      </c>
      <c r="J464" s="35">
        <f>IF(VENTAS[[#This Row],[Nombre del Gestor]]&gt;1,VENTAS[[#This Row],[Total]]*10%,0)</f>
        <v>0</v>
      </c>
      <c r="K464" s="35">
        <f>IFERROR(VLOOKUP(VENTAS[[#This Row],[Código del producto Vendido]],STOCK[],16,FALSE)*VENTAS[[#This Row],[Cantidad]]+VLOOKUP(VENTAS[[#This Row],[Código del producto Vendido]],STOCK[],19,FALSE)*VENTAS[[#This Row],[Cantidad]],VENTAS[[#This Row],[Total]])</f>
        <v>21.4563636363636</v>
      </c>
      <c r="L464" s="35">
        <f>VENTAS[[#This Row],[Total]]-VENTAS[[#This Row],[Comisión 10%]]-VENTAS[[#This Row],[Costo SIN Comision]]</f>
        <v>11.5436363636364</v>
      </c>
      <c r="M464" s="35"/>
    </row>
    <row r="465" ht="20" customHeight="1" spans="1:13">
      <c r="A465" s="64" t="s">
        <v>3402</v>
      </c>
      <c r="B465" s="30" t="s">
        <v>3404</v>
      </c>
      <c r="C465" s="30" t="s">
        <v>3325</v>
      </c>
      <c r="D465" s="30"/>
      <c r="E465" s="30" t="s">
        <v>1011</v>
      </c>
      <c r="F465" s="34" t="str">
        <f>IFERROR(VLOOKUP(VENTAS[[#This Row],[Código del producto Vendido]],STOCK[],5,FALSE),"-")</f>
        <v>Maxi Vestido con Bolsillo</v>
      </c>
      <c r="G465" s="34">
        <v>1</v>
      </c>
      <c r="H465" s="35">
        <v>33</v>
      </c>
      <c r="I465" s="35">
        <f>VENTAS[[#This Row],[Cantidad]]*VENTAS[[#This Row],[Precio Venta]]</f>
        <v>33</v>
      </c>
      <c r="J465" s="35">
        <f>IF(VENTAS[[#This Row],[Nombre del Gestor]]&gt;1,VENTAS[[#This Row],[Total]]*10%,0)</f>
        <v>0</v>
      </c>
      <c r="K465" s="35">
        <f>IFERROR(VLOOKUP(VENTAS[[#This Row],[Código del producto Vendido]],STOCK[],16,FALSE)*VENTAS[[#This Row],[Cantidad]]+VLOOKUP(VENTAS[[#This Row],[Código del producto Vendido]],STOCK[],19,FALSE)*VENTAS[[#This Row],[Cantidad]],VENTAS[[#This Row],[Total]])</f>
        <v>22.1920454545455</v>
      </c>
      <c r="L465" s="35">
        <f>VENTAS[[#This Row],[Total]]-VENTAS[[#This Row],[Comisión 10%]]-VENTAS[[#This Row],[Costo SIN Comision]]</f>
        <v>10.8079545454545</v>
      </c>
      <c r="M465" s="35"/>
    </row>
    <row r="466" ht="20" customHeight="1" spans="1:13">
      <c r="A466" s="65" t="s">
        <v>3402</v>
      </c>
      <c r="B466" s="30"/>
      <c r="C466" s="30" t="s">
        <v>3405</v>
      </c>
      <c r="D466" s="30"/>
      <c r="E466" s="30" t="s">
        <v>716</v>
      </c>
      <c r="F466" s="34" t="str">
        <f>IFERROR(VLOOKUP(VENTAS[[#This Row],[Código del producto Vendido]],STOCK[],5,FALSE),"-")</f>
        <v>Vestido bodycon</v>
      </c>
      <c r="G466" s="34">
        <v>1</v>
      </c>
      <c r="H466" s="35">
        <v>12</v>
      </c>
      <c r="I466" s="35">
        <f>VENTAS[[#This Row],[Cantidad]]*VENTAS[[#This Row],[Precio Venta]]</f>
        <v>12</v>
      </c>
      <c r="J466" s="35">
        <f>IF(VENTAS[[#This Row],[Nombre del Gestor]]&gt;1,VENTAS[[#This Row],[Total]]*10%,0)</f>
        <v>0</v>
      </c>
      <c r="K466" s="35">
        <f>IFERROR(VLOOKUP(VENTAS[[#This Row],[Código del producto Vendido]],STOCK[],16,FALSE)*VENTAS[[#This Row],[Cantidad]]+VLOOKUP(VENTAS[[#This Row],[Código del producto Vendido]],STOCK[],19,FALSE)*VENTAS[[#This Row],[Cantidad]],VENTAS[[#This Row],[Total]])</f>
        <v>5.72222222222222</v>
      </c>
      <c r="L466" s="35">
        <f>VENTAS[[#This Row],[Total]]-VENTAS[[#This Row],[Comisión 10%]]-VENTAS[[#This Row],[Costo SIN Comision]]</f>
        <v>6.27777777777778</v>
      </c>
      <c r="M466" s="35"/>
    </row>
    <row r="467" ht="20" customHeight="1" spans="1:13">
      <c r="A467" s="64" t="s">
        <v>3402</v>
      </c>
      <c r="B467" s="30" t="s">
        <v>3406</v>
      </c>
      <c r="C467" s="30" t="s">
        <v>3407</v>
      </c>
      <c r="D467" s="30"/>
      <c r="E467" s="30" t="s">
        <v>29</v>
      </c>
      <c r="F467" s="34" t="str">
        <f>IFERROR(VLOOKUP(VENTAS[[#This Row],[Código del producto Vendido]],STOCK[],5,FALSE),"-")</f>
        <v>Pareo falda </v>
      </c>
      <c r="G467" s="34">
        <v>1</v>
      </c>
      <c r="H467" s="35">
        <v>6</v>
      </c>
      <c r="I467" s="35">
        <f>VENTAS[[#This Row],[Cantidad]]*VENTAS[[#This Row],[Precio Venta]]</f>
        <v>6</v>
      </c>
      <c r="J467" s="35">
        <f>IF(VENTAS[[#This Row],[Nombre del Gestor]]&gt;1,VENTAS[[#This Row],[Total]]*10%,0)</f>
        <v>0</v>
      </c>
      <c r="K467" s="35">
        <f>IFERROR(VLOOKUP(VENTAS[[#This Row],[Código del producto Vendido]],STOCK[],16,FALSE)*VENTAS[[#This Row],[Cantidad]]+VLOOKUP(VENTAS[[#This Row],[Código del producto Vendido]],STOCK[],19,FALSE)*VENTAS[[#This Row],[Cantidad]],VENTAS[[#This Row],[Total]])</f>
        <v>4.33722222222222</v>
      </c>
      <c r="L467" s="35">
        <f>VENTAS[[#This Row],[Total]]-VENTAS[[#This Row],[Comisión 10%]]-VENTAS[[#This Row],[Costo SIN Comision]]</f>
        <v>1.66277777777778</v>
      </c>
      <c r="M467" s="35"/>
    </row>
    <row r="468" ht="20" customHeight="1" spans="1:13">
      <c r="A468" s="65" t="s">
        <v>3402</v>
      </c>
      <c r="B468" s="30"/>
      <c r="C468" s="30" t="s">
        <v>3407</v>
      </c>
      <c r="D468" s="30"/>
      <c r="E468" s="30" t="s">
        <v>73</v>
      </c>
      <c r="F468" s="34" t="str">
        <f>IFERROR(VLOOKUP(VENTAS[[#This Row],[Código del producto Vendido]],STOCK[],5,FALSE),"-")</f>
        <v>Bañador floral </v>
      </c>
      <c r="G468" s="34">
        <v>1</v>
      </c>
      <c r="H468" s="35">
        <v>28</v>
      </c>
      <c r="I468" s="35">
        <f>VENTAS[[#This Row],[Cantidad]]*VENTAS[[#This Row],[Precio Venta]]</f>
        <v>28</v>
      </c>
      <c r="J468" s="35">
        <f>IF(VENTAS[[#This Row],[Nombre del Gestor]]&gt;1,VENTAS[[#This Row],[Total]]*10%,0)</f>
        <v>0</v>
      </c>
      <c r="K468" s="35">
        <f>IFERROR(VLOOKUP(VENTAS[[#This Row],[Código del producto Vendido]],STOCK[],16,FALSE)*VENTAS[[#This Row],[Cantidad]]+VLOOKUP(VENTAS[[#This Row],[Código del producto Vendido]],STOCK[],19,FALSE)*VENTAS[[#This Row],[Cantidad]],VENTAS[[#This Row],[Total]])</f>
        <v>18.0538888888889</v>
      </c>
      <c r="L468" s="35">
        <f>VENTAS[[#This Row],[Total]]-VENTAS[[#This Row],[Comisión 10%]]-VENTAS[[#This Row],[Costo SIN Comision]]</f>
        <v>9.9461111111111</v>
      </c>
      <c r="M468" s="35"/>
    </row>
    <row r="469" ht="20" customHeight="1" spans="1:13">
      <c r="A469" s="64" t="s">
        <v>3402</v>
      </c>
      <c r="B469" s="30"/>
      <c r="C469" s="30" t="s">
        <v>3407</v>
      </c>
      <c r="D469" s="30"/>
      <c r="E469" s="30" t="s">
        <v>804</v>
      </c>
      <c r="F469" s="34" t="str">
        <f>IFERROR(VLOOKUP(VENTAS[[#This Row],[Código del producto Vendido]],STOCK[],5,FALSE),"-")</f>
        <v> Bañador espalda descubierta</v>
      </c>
      <c r="G469" s="34">
        <v>1</v>
      </c>
      <c r="H469" s="35">
        <v>20</v>
      </c>
      <c r="I469" s="35">
        <f>VENTAS[[#This Row],[Cantidad]]*VENTAS[[#This Row],[Precio Venta]]</f>
        <v>20</v>
      </c>
      <c r="J469" s="35">
        <f>IF(VENTAS[[#This Row],[Nombre del Gestor]]&gt;1,VENTAS[[#This Row],[Total]]*10%,0)</f>
        <v>0</v>
      </c>
      <c r="K469" s="35">
        <f>IFERROR(VLOOKUP(VENTAS[[#This Row],[Código del producto Vendido]],STOCK[],16,FALSE)*VENTAS[[#This Row],[Cantidad]]+VLOOKUP(VENTAS[[#This Row],[Código del producto Vendido]],STOCK[],19,FALSE)*VENTAS[[#This Row],[Cantidad]],VENTAS[[#This Row],[Total]])</f>
        <v>15.5555555555556</v>
      </c>
      <c r="L469" s="35">
        <f>VENTAS[[#This Row],[Total]]-VENTAS[[#This Row],[Comisión 10%]]-VENTAS[[#This Row],[Costo SIN Comision]]</f>
        <v>4.4444444444444</v>
      </c>
      <c r="M469" s="35"/>
    </row>
    <row r="470" ht="20" customHeight="1" spans="1:13">
      <c r="A470" s="65" t="s">
        <v>3402</v>
      </c>
      <c r="B470" s="30"/>
      <c r="C470" s="30" t="s">
        <v>3408</v>
      </c>
      <c r="D470" s="30"/>
      <c r="E470" s="30" t="s">
        <v>100</v>
      </c>
      <c r="F470" s="34" t="str">
        <f>IFERROR(VLOOKUP(VENTAS[[#This Row],[Código del producto Vendido]],STOCK[],5,FALSE),"-")</f>
        <v>Pareo pantalón de malla</v>
      </c>
      <c r="G470" s="34">
        <v>1</v>
      </c>
      <c r="H470" s="35">
        <v>15</v>
      </c>
      <c r="I470" s="35">
        <f>VENTAS[[#This Row],[Cantidad]]*VENTAS[[#This Row],[Precio Venta]]</f>
        <v>15</v>
      </c>
      <c r="J470" s="35">
        <f>IF(VENTAS[[#This Row],[Nombre del Gestor]]&gt;1,VENTAS[[#This Row],[Total]]*10%,0)</f>
        <v>0</v>
      </c>
      <c r="K470" s="35">
        <f>IFERROR(VLOOKUP(VENTAS[[#This Row],[Código del producto Vendido]],STOCK[],16,FALSE)*VENTAS[[#This Row],[Cantidad]]+VLOOKUP(VENTAS[[#This Row],[Código del producto Vendido]],STOCK[],19,FALSE)*VENTAS[[#This Row],[Cantidad]],VENTAS[[#This Row],[Total]])</f>
        <v>9.78555555555556</v>
      </c>
      <c r="L470" s="35">
        <f>VENTAS[[#This Row],[Total]]-VENTAS[[#This Row],[Comisión 10%]]-VENTAS[[#This Row],[Costo SIN Comision]]</f>
        <v>5.21444444444444</v>
      </c>
      <c r="M470" s="35"/>
    </row>
    <row r="471" ht="20" customHeight="1" spans="1:13">
      <c r="A471" s="64" t="s">
        <v>3402</v>
      </c>
      <c r="B471" s="30"/>
      <c r="C471" s="30" t="s">
        <v>3409</v>
      </c>
      <c r="D471" s="30"/>
      <c r="E471" s="30" t="s">
        <v>634</v>
      </c>
      <c r="F471" s="34" t="str">
        <f>IFERROR(VLOOKUP(VENTAS[[#This Row],[Código del producto Vendido]],STOCK[],5,FALSE),"-")</f>
        <v>Vestido floral escote corazón</v>
      </c>
      <c r="G471" s="34">
        <v>1</v>
      </c>
      <c r="H471" s="35">
        <v>18</v>
      </c>
      <c r="I471" s="35">
        <f>VENTAS[[#This Row],[Cantidad]]*VENTAS[[#This Row],[Precio Venta]]</f>
        <v>18</v>
      </c>
      <c r="J471" s="35">
        <f>IF(VENTAS[[#This Row],[Nombre del Gestor]]&gt;1,VENTAS[[#This Row],[Total]]*10%,0)</f>
        <v>0</v>
      </c>
      <c r="K471" s="35">
        <f>IFERROR(VLOOKUP(VENTAS[[#This Row],[Código del producto Vendido]],STOCK[],16,FALSE)*VENTAS[[#This Row],[Cantidad]]+VLOOKUP(VENTAS[[#This Row],[Código del producto Vendido]],STOCK[],19,FALSE)*VENTAS[[#This Row],[Cantidad]],VENTAS[[#This Row],[Total]])</f>
        <v>10.7222222222222</v>
      </c>
      <c r="L471" s="35">
        <f>VENTAS[[#This Row],[Total]]-VENTAS[[#This Row],[Comisión 10%]]-VENTAS[[#This Row],[Costo SIN Comision]]</f>
        <v>7.27777777777778</v>
      </c>
      <c r="M471" s="35"/>
    </row>
    <row r="472" ht="20" customHeight="1" spans="1:13">
      <c r="A472" s="65" t="s">
        <v>3410</v>
      </c>
      <c r="B472" s="30"/>
      <c r="C472" s="30" t="s">
        <v>3411</v>
      </c>
      <c r="D472" s="30"/>
      <c r="E472" s="30" t="s">
        <v>1283</v>
      </c>
      <c r="F472" s="34" t="str">
        <f>IFERROR(VLOOKUP(VENTAS[[#This Row],[Código del producto Vendido]],STOCK[],5,FALSE),"-")</f>
        <v>Pantalón de corte recto</v>
      </c>
      <c r="G472" s="34">
        <v>1</v>
      </c>
      <c r="H472" s="35">
        <v>30</v>
      </c>
      <c r="I472" s="35">
        <f>VENTAS[[#This Row],[Cantidad]]*VENTAS[[#This Row],[Precio Venta]]</f>
        <v>30</v>
      </c>
      <c r="J472" s="35">
        <f>IF(VENTAS[[#This Row],[Nombre del Gestor]]&gt;1,VENTAS[[#This Row],[Total]]*10%,0)</f>
        <v>0</v>
      </c>
      <c r="K472" s="35">
        <f>IFERROR(VLOOKUP(VENTAS[[#This Row],[Código del producto Vendido]],STOCK[],16,FALSE)*VENTAS[[#This Row],[Cantidad]]+VLOOKUP(VENTAS[[#This Row],[Código del producto Vendido]],STOCK[],19,FALSE)*VENTAS[[#This Row],[Cantidad]],VENTAS[[#This Row],[Total]])</f>
        <v>20.78</v>
      </c>
      <c r="L472" s="35">
        <f>VENTAS[[#This Row],[Total]]-VENTAS[[#This Row],[Comisión 10%]]-VENTAS[[#This Row],[Costo SIN Comision]]</f>
        <v>9.22</v>
      </c>
      <c r="M472" s="35"/>
    </row>
    <row r="473" ht="20" customHeight="1" spans="1:13">
      <c r="A473" s="64" t="s">
        <v>3410</v>
      </c>
      <c r="B473" s="30"/>
      <c r="C473" s="30" t="s">
        <v>3412</v>
      </c>
      <c r="D473" s="30"/>
      <c r="E473" s="30" t="s">
        <v>1295</v>
      </c>
      <c r="F473" s="34" t="str">
        <f>IFERROR(VLOOKUP(VENTAS[[#This Row],[Código del producto Vendido]],STOCK[],5,FALSE),"-")</f>
        <v>Pantaloneta con cinturón</v>
      </c>
      <c r="G473" s="34">
        <v>1</v>
      </c>
      <c r="H473" s="35">
        <v>26</v>
      </c>
      <c r="I473" s="35">
        <f>VENTAS[[#This Row],[Cantidad]]*VENTAS[[#This Row],[Precio Venta]]</f>
        <v>26</v>
      </c>
      <c r="J473" s="35">
        <f>IF(VENTAS[[#This Row],[Nombre del Gestor]]&gt;1,VENTAS[[#This Row],[Total]]*10%,0)</f>
        <v>0</v>
      </c>
      <c r="K473" s="35">
        <f>IFERROR(VLOOKUP(VENTAS[[#This Row],[Código del producto Vendido]],STOCK[],16,FALSE)*VENTAS[[#This Row],[Cantidad]]+VLOOKUP(VENTAS[[#This Row],[Código del producto Vendido]],STOCK[],19,FALSE)*VENTAS[[#This Row],[Cantidad]],VENTAS[[#This Row],[Total]])</f>
        <v>18</v>
      </c>
      <c r="L473" s="35">
        <f>VENTAS[[#This Row],[Total]]-VENTAS[[#This Row],[Comisión 10%]]-VENTAS[[#This Row],[Costo SIN Comision]]</f>
        <v>8</v>
      </c>
      <c r="M473" s="35"/>
    </row>
    <row r="474" ht="20" customHeight="1" spans="1:13">
      <c r="A474" s="65" t="s">
        <v>3410</v>
      </c>
      <c r="B474" s="30"/>
      <c r="C474" s="30" t="s">
        <v>3412</v>
      </c>
      <c r="D474" s="30"/>
      <c r="E474" s="30" t="s">
        <v>1216</v>
      </c>
      <c r="F474" s="34" t="str">
        <f>IFERROR(VLOOKUP(VENTAS[[#This Row],[Código del producto Vendido]],STOCK[],5,FALSE),"-")</f>
        <v>Pullover negro cuello redondo</v>
      </c>
      <c r="G474" s="34">
        <v>1</v>
      </c>
      <c r="H474" s="35">
        <v>13</v>
      </c>
      <c r="I474" s="35">
        <f>VENTAS[[#This Row],[Cantidad]]*VENTAS[[#This Row],[Precio Venta]]</f>
        <v>13</v>
      </c>
      <c r="J474" s="35">
        <f>IF(VENTAS[[#This Row],[Nombre del Gestor]]&gt;1,VENTAS[[#This Row],[Total]]*10%,0)</f>
        <v>0</v>
      </c>
      <c r="K474" s="35">
        <f>IFERROR(VLOOKUP(VENTAS[[#This Row],[Código del producto Vendido]],STOCK[],16,FALSE)*VENTAS[[#This Row],[Cantidad]]+VLOOKUP(VENTAS[[#This Row],[Código del producto Vendido]],STOCK[],19,FALSE)*VENTAS[[#This Row],[Cantidad]],VENTAS[[#This Row],[Total]])</f>
        <v>8.53</v>
      </c>
      <c r="L474" s="35">
        <f>VENTAS[[#This Row],[Total]]-VENTAS[[#This Row],[Comisión 10%]]-VENTAS[[#This Row],[Costo SIN Comision]]</f>
        <v>4.47</v>
      </c>
      <c r="M474" s="35"/>
    </row>
    <row r="475" ht="20" customHeight="1" spans="1:13">
      <c r="A475" s="64" t="s">
        <v>3413</v>
      </c>
      <c r="B475" s="30"/>
      <c r="C475" s="30" t="s">
        <v>3414</v>
      </c>
      <c r="D475" s="30"/>
      <c r="E475" s="30" t="s">
        <v>1110</v>
      </c>
      <c r="F475" s="34" t="str">
        <f>IFERROR(VLOOKUP(VENTAS[[#This Row],[Código del producto Vendido]],STOCK[],5,FALSE),"-")</f>
        <v>Jumpsuit culotte</v>
      </c>
      <c r="G475" s="34">
        <v>1</v>
      </c>
      <c r="H475" s="35">
        <v>22</v>
      </c>
      <c r="I475" s="35">
        <f>VENTAS[[#This Row],[Cantidad]]*VENTAS[[#This Row],[Precio Venta]]</f>
        <v>22</v>
      </c>
      <c r="J475" s="35">
        <f>IF(VENTAS[[#This Row],[Nombre del Gestor]]&gt;1,VENTAS[[#This Row],[Total]]*10%,0)</f>
        <v>0</v>
      </c>
      <c r="K475" s="35">
        <f>IFERROR(VLOOKUP(VENTAS[[#This Row],[Código del producto Vendido]],STOCK[],16,FALSE)*VENTAS[[#This Row],[Cantidad]]+VLOOKUP(VENTAS[[#This Row],[Código del producto Vendido]],STOCK[],19,FALSE)*VENTAS[[#This Row],[Cantidad]],VENTAS[[#This Row],[Total]])</f>
        <v>18.4279411764706</v>
      </c>
      <c r="L475" s="35">
        <f>VENTAS[[#This Row],[Total]]-VENTAS[[#This Row],[Comisión 10%]]-VENTAS[[#This Row],[Costo SIN Comision]]</f>
        <v>3.5720588235294</v>
      </c>
      <c r="M475" s="35"/>
    </row>
    <row r="476" ht="20" customHeight="1" spans="1:13">
      <c r="A476" s="65" t="s">
        <v>3413</v>
      </c>
      <c r="B476" s="30"/>
      <c r="C476" s="30" t="s">
        <v>3414</v>
      </c>
      <c r="D476" s="30"/>
      <c r="E476" s="30" t="s">
        <v>1104</v>
      </c>
      <c r="F476" s="34" t="str">
        <f>IFERROR(VLOOKUP(VENTAS[[#This Row],[Código del producto Vendido]],STOCK[],5,FALSE),"-")</f>
        <v>Mono Oblicuo con bolsillo</v>
      </c>
      <c r="G476" s="34">
        <v>1</v>
      </c>
      <c r="H476" s="35">
        <v>19</v>
      </c>
      <c r="I476" s="35">
        <f>VENTAS[[#This Row],[Cantidad]]*VENTAS[[#This Row],[Precio Venta]]</f>
        <v>19</v>
      </c>
      <c r="J476" s="35">
        <f>IF(VENTAS[[#This Row],[Nombre del Gestor]]&gt;1,VENTAS[[#This Row],[Total]]*10%,0)</f>
        <v>0</v>
      </c>
      <c r="K476" s="35">
        <f>IFERROR(VLOOKUP(VENTAS[[#This Row],[Código del producto Vendido]],STOCK[],16,FALSE)*VENTAS[[#This Row],[Cantidad]]+VLOOKUP(VENTAS[[#This Row],[Código del producto Vendido]],STOCK[],19,FALSE)*VENTAS[[#This Row],[Cantidad]],VENTAS[[#This Row],[Total]])</f>
        <v>14.5485294117647</v>
      </c>
      <c r="L476" s="35">
        <f>VENTAS[[#This Row],[Total]]-VENTAS[[#This Row],[Comisión 10%]]-VENTAS[[#This Row],[Costo SIN Comision]]</f>
        <v>4.45147058823529</v>
      </c>
      <c r="M476" s="35"/>
    </row>
    <row r="477" ht="20" customHeight="1" spans="1:13">
      <c r="A477" s="64" t="s">
        <v>3413</v>
      </c>
      <c r="B477" s="30"/>
      <c r="C477" s="30" t="s">
        <v>3339</v>
      </c>
      <c r="D477" s="30"/>
      <c r="E477" s="30" t="s">
        <v>1255</v>
      </c>
      <c r="F477" s="34" t="str">
        <f>IFERROR(VLOOKUP(VENTAS[[#This Row],[Código del producto Vendido]],STOCK[],5,FALSE),"-")</f>
        <v>Maxi vestido playero rojo</v>
      </c>
      <c r="G477" s="34">
        <v>1</v>
      </c>
      <c r="H477" s="35">
        <v>35</v>
      </c>
      <c r="I477" s="35">
        <f>VENTAS[[#This Row],[Cantidad]]*VENTAS[[#This Row],[Precio Venta]]</f>
        <v>35</v>
      </c>
      <c r="J477" s="35">
        <f>IF(VENTAS[[#This Row],[Nombre del Gestor]]&gt;1,VENTAS[[#This Row],[Total]]*10%,0)</f>
        <v>0</v>
      </c>
      <c r="K477" s="35">
        <f>IFERROR(VLOOKUP(VENTAS[[#This Row],[Código del producto Vendido]],STOCK[],16,FALSE)*VENTAS[[#This Row],[Cantidad]]+VLOOKUP(VENTAS[[#This Row],[Código del producto Vendido]],STOCK[],19,FALSE)*VENTAS[[#This Row],[Cantidad]],VENTAS[[#This Row],[Total]])</f>
        <v>23.42</v>
      </c>
      <c r="L477" s="35">
        <f>VENTAS[[#This Row],[Total]]-VENTAS[[#This Row],[Comisión 10%]]-VENTAS[[#This Row],[Costo SIN Comision]]</f>
        <v>11.58</v>
      </c>
      <c r="M477" s="35"/>
    </row>
    <row r="478" ht="20" customHeight="1" spans="1:13">
      <c r="A478" s="65" t="s">
        <v>3413</v>
      </c>
      <c r="B478" s="30"/>
      <c r="C478" s="30" t="s">
        <v>3412</v>
      </c>
      <c r="D478" s="30"/>
      <c r="E478" s="30" t="s">
        <v>218</v>
      </c>
      <c r="F478" s="34" t="str">
        <f>IFERROR(VLOOKUP(VENTAS[[#This Row],[Código del producto Vendido]],STOCK[],5,FALSE),"-")</f>
        <v>Camisetaen contraste tejido canalé</v>
      </c>
      <c r="G478" s="34">
        <v>1</v>
      </c>
      <c r="H478" s="35">
        <v>14</v>
      </c>
      <c r="I478" s="35">
        <f>VENTAS[[#This Row],[Cantidad]]*VENTAS[[#This Row],[Precio Venta]]</f>
        <v>14</v>
      </c>
      <c r="J478" s="35">
        <f>IF(VENTAS[[#This Row],[Nombre del Gestor]]&gt;1,VENTAS[[#This Row],[Total]]*10%,0)</f>
        <v>0</v>
      </c>
      <c r="K478" s="35">
        <f>IFERROR(VLOOKUP(VENTAS[[#This Row],[Código del producto Vendido]],STOCK[],16,FALSE)*VENTAS[[#This Row],[Cantidad]]+VLOOKUP(VENTAS[[#This Row],[Código del producto Vendido]],STOCK[],19,FALSE)*VENTAS[[#This Row],[Cantidad]],VENTAS[[#This Row],[Total]])</f>
        <v>8.85777777777778</v>
      </c>
      <c r="L478" s="35">
        <f>VENTAS[[#This Row],[Total]]-VENTAS[[#This Row],[Comisión 10%]]-VENTAS[[#This Row],[Costo SIN Comision]]</f>
        <v>5.14222222222222</v>
      </c>
      <c r="M478" s="35"/>
    </row>
    <row r="479" ht="20" customHeight="1" spans="1:13">
      <c r="A479" s="64" t="s">
        <v>3413</v>
      </c>
      <c r="B479" s="30"/>
      <c r="C479" s="30" t="s">
        <v>3415</v>
      </c>
      <c r="D479" s="30"/>
      <c r="E479" s="30" t="s">
        <v>29</v>
      </c>
      <c r="F479" s="34" t="str">
        <f>IFERROR(VLOOKUP(VENTAS[[#This Row],[Código del producto Vendido]],STOCK[],5,FALSE),"-")</f>
        <v>Pareo falda </v>
      </c>
      <c r="G479" s="34">
        <v>1</v>
      </c>
      <c r="H479" s="35">
        <v>8</v>
      </c>
      <c r="I479" s="35">
        <f>VENTAS[[#This Row],[Cantidad]]*VENTAS[[#This Row],[Precio Venta]]</f>
        <v>8</v>
      </c>
      <c r="J479" s="35">
        <f>IF(VENTAS[[#This Row],[Nombre del Gestor]]&gt;1,VENTAS[[#This Row],[Total]]*10%,0)</f>
        <v>0</v>
      </c>
      <c r="K479" s="35">
        <f>IFERROR(VLOOKUP(VENTAS[[#This Row],[Código del producto Vendido]],STOCK[],16,FALSE)*VENTAS[[#This Row],[Cantidad]]+VLOOKUP(VENTAS[[#This Row],[Código del producto Vendido]],STOCK[],19,FALSE)*VENTAS[[#This Row],[Cantidad]],VENTAS[[#This Row],[Total]])</f>
        <v>4.33722222222222</v>
      </c>
      <c r="L479" s="35">
        <f>VENTAS[[#This Row],[Total]]-VENTAS[[#This Row],[Comisión 10%]]-VENTAS[[#This Row],[Costo SIN Comision]]</f>
        <v>3.66277777777778</v>
      </c>
      <c r="M479" s="35"/>
    </row>
    <row r="480" ht="20" customHeight="1" spans="1:13">
      <c r="A480" s="65" t="s">
        <v>3416</v>
      </c>
      <c r="B480" s="30"/>
      <c r="C480" s="30" t="s">
        <v>3417</v>
      </c>
      <c r="D480" s="30"/>
      <c r="E480" s="30" t="s">
        <v>1203</v>
      </c>
      <c r="F480" s="34" t="str">
        <f>IFERROR(VLOOKUP(VENTAS[[#This Row],[Código del producto Vendido]],STOCK[],5,FALSE),"-")</f>
        <v>Camisa Blanca</v>
      </c>
      <c r="G480" s="34">
        <v>1</v>
      </c>
      <c r="H480" s="35">
        <v>20</v>
      </c>
      <c r="I480" s="35">
        <f>VENTAS[[#This Row],[Cantidad]]*VENTAS[[#This Row],[Precio Venta]]</f>
        <v>20</v>
      </c>
      <c r="J480" s="35">
        <f>IF(VENTAS[[#This Row],[Nombre del Gestor]]&gt;1,VENTAS[[#This Row],[Total]]*10%,0)</f>
        <v>0</v>
      </c>
      <c r="K480" s="35">
        <f>IFERROR(VLOOKUP(VENTAS[[#This Row],[Código del producto Vendido]],STOCK[],16,FALSE)*VENTAS[[#This Row],[Cantidad]]+VLOOKUP(VENTAS[[#This Row],[Código del producto Vendido]],STOCK[],19,FALSE)*VENTAS[[#This Row],[Cantidad]],VENTAS[[#This Row],[Total]])</f>
        <v>12.9</v>
      </c>
      <c r="L480" s="35">
        <f>VENTAS[[#This Row],[Total]]-VENTAS[[#This Row],[Comisión 10%]]-VENTAS[[#This Row],[Costo SIN Comision]]</f>
        <v>7.1</v>
      </c>
      <c r="M480" s="35"/>
    </row>
    <row r="481" ht="20" customHeight="1" spans="1:13">
      <c r="A481" s="64" t="s">
        <v>3416</v>
      </c>
      <c r="B481" s="30"/>
      <c r="C481" s="30" t="s">
        <v>3418</v>
      </c>
      <c r="D481" s="30"/>
      <c r="E481" s="30" t="s">
        <v>245</v>
      </c>
      <c r="F481" s="34" t="str">
        <f>IFERROR(VLOOKUP(VENTAS[[#This Row],[Código del producto Vendido]],STOCK[],5,FALSE),"-")</f>
        <v>Top de mangas anchas y lentejuelas amarillo</v>
      </c>
      <c r="G481" s="34">
        <v>0</v>
      </c>
      <c r="H481" s="35">
        <v>0</v>
      </c>
      <c r="I481" s="35">
        <f>VENTAS[[#This Row],[Cantidad]]*VENTAS[[#This Row],[Precio Venta]]</f>
        <v>0</v>
      </c>
      <c r="J481" s="35">
        <f>IF(VENTAS[[#This Row],[Nombre del Gestor]]&gt;1,VENTAS[[#This Row],[Total]]*10%,0)</f>
        <v>0</v>
      </c>
      <c r="K481" s="35">
        <f>IFERROR(VLOOKUP(VENTAS[[#This Row],[Código del producto Vendido]],STOCK[],16,FALSE)*VENTAS[[#This Row],[Cantidad]]+VLOOKUP(VENTAS[[#This Row],[Código del producto Vendido]],STOCK[],19,FALSE)*VENTAS[[#This Row],[Cantidad]],VENTAS[[#This Row],[Total]])</f>
        <v>0</v>
      </c>
      <c r="L481" s="35">
        <f>VENTAS[[#This Row],[Total]]-VENTAS[[#This Row],[Comisión 10%]]-VENTAS[[#This Row],[Costo SIN Comision]]</f>
        <v>0</v>
      </c>
      <c r="M481" s="35"/>
    </row>
    <row r="482" ht="20" customHeight="1" spans="1:13">
      <c r="A482" s="65" t="s">
        <v>3416</v>
      </c>
      <c r="B482" s="30"/>
      <c r="C482" s="30" t="s">
        <v>3323</v>
      </c>
      <c r="D482" s="30"/>
      <c r="E482" s="30" t="s">
        <v>449</v>
      </c>
      <c r="F482" s="34" t="str">
        <f>IFERROR(VLOOKUP(VENTAS[[#This Row],[Código del producto Vendido]],STOCK[],5,FALSE),"-")</f>
        <v>Bañador estampado de planta</v>
      </c>
      <c r="G482" s="34">
        <v>1</v>
      </c>
      <c r="H482" s="35">
        <v>25</v>
      </c>
      <c r="I482" s="35">
        <f>VENTAS[[#This Row],[Cantidad]]*VENTAS[[#This Row],[Precio Venta]]</f>
        <v>25</v>
      </c>
      <c r="J482" s="35">
        <f>IF(VENTAS[[#This Row],[Nombre del Gestor]]&gt;1,VENTAS[[#This Row],[Total]]*10%,0)</f>
        <v>0</v>
      </c>
      <c r="K482" s="35">
        <f>IFERROR(VLOOKUP(VENTAS[[#This Row],[Código del producto Vendido]],STOCK[],16,FALSE)*VENTAS[[#This Row],[Cantidad]]+VLOOKUP(VENTAS[[#This Row],[Código del producto Vendido]],STOCK[],19,FALSE)*VENTAS[[#This Row],[Cantidad]],VENTAS[[#This Row],[Total]])</f>
        <v>13.4166666666667</v>
      </c>
      <c r="L482" s="35">
        <f>VENTAS[[#This Row],[Total]]-VENTAS[[#This Row],[Comisión 10%]]-VENTAS[[#This Row],[Costo SIN Comision]]</f>
        <v>11.5833333333333</v>
      </c>
      <c r="M482" s="35"/>
    </row>
    <row r="483" ht="20" customHeight="1" spans="1:13">
      <c r="A483" s="64" t="s">
        <v>3416</v>
      </c>
      <c r="B483" s="30"/>
      <c r="C483" s="30" t="s">
        <v>3419</v>
      </c>
      <c r="D483" s="30"/>
      <c r="E483" s="30" t="s">
        <v>755</v>
      </c>
      <c r="F483" s="34" t="str">
        <f>IFERROR(VLOOKUP(VENTAS[[#This Row],[Código del producto Vendido]],STOCK[],5,FALSE),"-")</f>
        <v>Sandalias Trenzadas</v>
      </c>
      <c r="G483" s="34">
        <v>1</v>
      </c>
      <c r="H483" s="35">
        <v>35</v>
      </c>
      <c r="I483" s="35">
        <f>VENTAS[[#This Row],[Cantidad]]*VENTAS[[#This Row],[Precio Venta]]</f>
        <v>35</v>
      </c>
      <c r="J483" s="35">
        <f>IF(VENTAS[[#This Row],[Nombre del Gestor]]&gt;1,VENTAS[[#This Row],[Total]]*10%,0)</f>
        <v>0</v>
      </c>
      <c r="K483" s="35">
        <f>IFERROR(VLOOKUP(VENTAS[[#This Row],[Código del producto Vendido]],STOCK[],16,FALSE)*VENTAS[[#This Row],[Cantidad]]+VLOOKUP(VENTAS[[#This Row],[Código del producto Vendido]],STOCK[],19,FALSE)*VENTAS[[#This Row],[Cantidad]],VENTAS[[#This Row],[Total]])</f>
        <v>27</v>
      </c>
      <c r="L483" s="35">
        <f>VENTAS[[#This Row],[Total]]-VENTAS[[#This Row],[Comisión 10%]]-VENTAS[[#This Row],[Costo SIN Comision]]</f>
        <v>8</v>
      </c>
      <c r="M483" s="35"/>
    </row>
    <row r="484" ht="20" customHeight="1" spans="1:13">
      <c r="A484" s="65" t="s">
        <v>3416</v>
      </c>
      <c r="B484" s="30"/>
      <c r="C484" s="30" t="s">
        <v>3412</v>
      </c>
      <c r="D484" s="30"/>
      <c r="E484" s="30" t="s">
        <v>1242</v>
      </c>
      <c r="F484" s="34" t="str">
        <f>IFERROR(VLOOKUP(VENTAS[[#This Row],[Código del producto Vendido]],STOCK[],5,FALSE),"-")</f>
        <v>Pantalón Corte Recto</v>
      </c>
      <c r="G484" s="34">
        <v>1</v>
      </c>
      <c r="H484" s="35">
        <v>30</v>
      </c>
      <c r="I484" s="35">
        <f>VENTAS[[#This Row],[Cantidad]]*VENTAS[[#This Row],[Precio Venta]]</f>
        <v>30</v>
      </c>
      <c r="J484" s="35">
        <f>IF(VENTAS[[#This Row],[Nombre del Gestor]]&gt;1,VENTAS[[#This Row],[Total]]*10%,0)</f>
        <v>0</v>
      </c>
      <c r="K484" s="35">
        <f>IFERROR(VLOOKUP(VENTAS[[#This Row],[Código del producto Vendido]],STOCK[],16,FALSE)*VENTAS[[#This Row],[Cantidad]]+VLOOKUP(VENTAS[[#This Row],[Código del producto Vendido]],STOCK[],19,FALSE)*VENTAS[[#This Row],[Cantidad]],VENTAS[[#This Row],[Total]])</f>
        <v>20.78</v>
      </c>
      <c r="L484" s="35">
        <f>VENTAS[[#This Row],[Total]]-VENTAS[[#This Row],[Comisión 10%]]-VENTAS[[#This Row],[Costo SIN Comision]]</f>
        <v>9.22</v>
      </c>
      <c r="M484" s="35"/>
    </row>
    <row r="485" ht="20" customHeight="1" spans="1:13">
      <c r="A485" s="64" t="s">
        <v>3416</v>
      </c>
      <c r="B485" s="30"/>
      <c r="C485" s="30" t="s">
        <v>3420</v>
      </c>
      <c r="D485" s="30"/>
      <c r="E485" s="30" t="s">
        <v>1023</v>
      </c>
      <c r="F485" s="34" t="str">
        <f>IFERROR(VLOOKUP(VENTAS[[#This Row],[Código del producto Vendido]],STOCK[],5,FALSE),"-")</f>
        <v>Falda Margarita</v>
      </c>
      <c r="G485" s="34">
        <v>1</v>
      </c>
      <c r="H485" s="35">
        <v>20</v>
      </c>
      <c r="I485" s="35">
        <f>VENTAS[[#This Row],[Cantidad]]*VENTAS[[#This Row],[Precio Venta]]</f>
        <v>20</v>
      </c>
      <c r="J485" s="35">
        <f>IF(VENTAS[[#This Row],[Nombre del Gestor]]&gt;1,VENTAS[[#This Row],[Total]]*10%,0)</f>
        <v>0</v>
      </c>
      <c r="K485" s="35">
        <f>IFERROR(VLOOKUP(VENTAS[[#This Row],[Código del producto Vendido]],STOCK[],16,FALSE)*VENTAS[[#This Row],[Cantidad]]+VLOOKUP(VENTAS[[#This Row],[Código del producto Vendido]],STOCK[],19,FALSE)*VENTAS[[#This Row],[Cantidad]],VENTAS[[#This Row],[Total]])</f>
        <v>8.105</v>
      </c>
      <c r="L485" s="35">
        <f>VENTAS[[#This Row],[Total]]-VENTAS[[#This Row],[Comisión 10%]]-VENTAS[[#This Row],[Costo SIN Comision]]</f>
        <v>11.895</v>
      </c>
      <c r="M485" s="35"/>
    </row>
    <row r="486" ht="20" customHeight="1" spans="1:13">
      <c r="A486" s="65" t="s">
        <v>3416</v>
      </c>
      <c r="B486" s="30"/>
      <c r="C486" s="30" t="s">
        <v>3421</v>
      </c>
      <c r="D486" s="30"/>
      <c r="E486" s="30" t="s">
        <v>1019</v>
      </c>
      <c r="F486" s="34" t="str">
        <f>IFERROR(VLOOKUP(VENTAS[[#This Row],[Código del producto Vendido]],STOCK[],5,FALSE),"-")</f>
        <v>Falda margarita de corte A</v>
      </c>
      <c r="G486" s="34">
        <v>1</v>
      </c>
      <c r="H486" s="35">
        <v>20</v>
      </c>
      <c r="I486" s="35">
        <f>VENTAS[[#This Row],[Cantidad]]*VENTAS[[#This Row],[Precio Venta]]</f>
        <v>20</v>
      </c>
      <c r="J486" s="35">
        <f>IF(VENTAS[[#This Row],[Nombre del Gestor]]&gt;1,VENTAS[[#This Row],[Total]]*10%,0)</f>
        <v>0</v>
      </c>
      <c r="K486" s="35">
        <f>IFERROR(VLOOKUP(VENTAS[[#This Row],[Código del producto Vendido]],STOCK[],16,FALSE)*VENTAS[[#This Row],[Cantidad]]+VLOOKUP(VENTAS[[#This Row],[Código del producto Vendido]],STOCK[],19,FALSE)*VENTAS[[#This Row],[Cantidad]],VENTAS[[#This Row],[Total]])</f>
        <v>8.105</v>
      </c>
      <c r="L486" s="35">
        <f>VENTAS[[#This Row],[Total]]-VENTAS[[#This Row],[Comisión 10%]]-VENTAS[[#This Row],[Costo SIN Comision]]</f>
        <v>11.895</v>
      </c>
      <c r="M486" s="35"/>
    </row>
    <row r="487" ht="20" customHeight="1" spans="1:13">
      <c r="A487" s="64" t="s">
        <v>3416</v>
      </c>
      <c r="B487" s="30"/>
      <c r="C487" s="30" t="s">
        <v>3421</v>
      </c>
      <c r="D487" s="30"/>
      <c r="E487" s="30" t="s">
        <v>1281</v>
      </c>
      <c r="F487" s="34" t="str">
        <f>IFERROR(VLOOKUP(VENTAS[[#This Row],[Código del producto Vendido]],STOCK[],5,FALSE),"-")</f>
        <v>Pantalón beige de pierna ancha</v>
      </c>
      <c r="G487" s="34">
        <v>1</v>
      </c>
      <c r="H487" s="35">
        <v>30</v>
      </c>
      <c r="I487" s="35">
        <f>VENTAS[[#This Row],[Cantidad]]*VENTAS[[#This Row],[Precio Venta]]</f>
        <v>30</v>
      </c>
      <c r="J487" s="35">
        <f>IF(VENTAS[[#This Row],[Nombre del Gestor]]&gt;1,VENTAS[[#This Row],[Total]]*10%,0)</f>
        <v>0</v>
      </c>
      <c r="K487" s="35">
        <f>IFERROR(VLOOKUP(VENTAS[[#This Row],[Código del producto Vendido]],STOCK[],16,FALSE)*VENTAS[[#This Row],[Cantidad]]+VLOOKUP(VENTAS[[#This Row],[Código del producto Vendido]],STOCK[],19,FALSE)*VENTAS[[#This Row],[Cantidad]],VENTAS[[#This Row],[Total]])</f>
        <v>20.78</v>
      </c>
      <c r="L487" s="35">
        <f>VENTAS[[#This Row],[Total]]-VENTAS[[#This Row],[Comisión 10%]]-VENTAS[[#This Row],[Costo SIN Comision]]</f>
        <v>9.22</v>
      </c>
      <c r="M487" s="35"/>
    </row>
    <row r="488" ht="20" customHeight="1" spans="1:13">
      <c r="A488" s="65" t="s">
        <v>3416</v>
      </c>
      <c r="B488" s="30"/>
      <c r="C488" s="30" t="s">
        <v>3421</v>
      </c>
      <c r="D488" s="30"/>
      <c r="E488" s="30" t="s">
        <v>1271</v>
      </c>
      <c r="F488" s="34" t="str">
        <f>IFERROR(VLOOKUP(VENTAS[[#This Row],[Código del producto Vendido]],STOCK[],5,FALSE),"-")</f>
        <v>Top blanco cuello V con encaje</v>
      </c>
      <c r="G488" s="34">
        <v>1</v>
      </c>
      <c r="H488" s="35">
        <v>12</v>
      </c>
      <c r="I488" s="35">
        <f>VENTAS[[#This Row],[Cantidad]]*VENTAS[[#This Row],[Precio Venta]]</f>
        <v>12</v>
      </c>
      <c r="J488" s="35">
        <f>IF(VENTAS[[#This Row],[Nombre del Gestor]]&gt;1,VENTAS[[#This Row],[Total]]*10%,0)</f>
        <v>0</v>
      </c>
      <c r="K488" s="35">
        <f>IFERROR(VLOOKUP(VENTAS[[#This Row],[Código del producto Vendido]],STOCK[],16,FALSE)*VENTAS[[#This Row],[Cantidad]]+VLOOKUP(VENTAS[[#This Row],[Código del producto Vendido]],STOCK[],19,FALSE)*VENTAS[[#This Row],[Cantidad]],VENTAS[[#This Row],[Total]])</f>
        <v>7.97</v>
      </c>
      <c r="L488" s="35">
        <f>VENTAS[[#This Row],[Total]]-VENTAS[[#This Row],[Comisión 10%]]-VENTAS[[#This Row],[Costo SIN Comision]]</f>
        <v>4.03</v>
      </c>
      <c r="M488" s="35"/>
    </row>
    <row r="489" ht="20" customHeight="1" spans="1:13">
      <c r="A489" s="64" t="s">
        <v>3422</v>
      </c>
      <c r="B489" s="30"/>
      <c r="C489" s="30" t="s">
        <v>3321</v>
      </c>
      <c r="D489" s="30"/>
      <c r="E489" s="30" t="s">
        <v>1196</v>
      </c>
      <c r="F489" s="34" t="str">
        <f>IFERROR(VLOOKUP(VENTAS[[#This Row],[Código del producto Vendido]],STOCK[],5,FALSE),"-")</f>
        <v>Conjunto blanco top healter y falda cruzada</v>
      </c>
      <c r="G489" s="34">
        <v>1</v>
      </c>
      <c r="H489" s="35">
        <v>40</v>
      </c>
      <c r="I489" s="35">
        <f>VENTAS[[#This Row],[Cantidad]]*VENTAS[[#This Row],[Precio Venta]]</f>
        <v>40</v>
      </c>
      <c r="J489" s="35">
        <f>IF(VENTAS[[#This Row],[Nombre del Gestor]]&gt;1,VENTAS[[#This Row],[Total]]*10%,0)</f>
        <v>0</v>
      </c>
      <c r="K489" s="35">
        <f>IFERROR(VLOOKUP(VENTAS[[#This Row],[Código del producto Vendido]],STOCK[],16,FALSE)*VENTAS[[#This Row],[Cantidad]]+VLOOKUP(VENTAS[[#This Row],[Código del producto Vendido]],STOCK[],19,FALSE)*VENTAS[[#This Row],[Cantidad]],VENTAS[[#This Row],[Total]])</f>
        <v>27.82</v>
      </c>
      <c r="L489" s="35">
        <f>VENTAS[[#This Row],[Total]]-VENTAS[[#This Row],[Comisión 10%]]-VENTAS[[#This Row],[Costo SIN Comision]]</f>
        <v>12.18</v>
      </c>
      <c r="M489" s="35"/>
    </row>
    <row r="490" ht="20" customHeight="1" spans="1:13">
      <c r="A490" s="65" t="s">
        <v>3422</v>
      </c>
      <c r="B490" s="30"/>
      <c r="C490" s="30" t="s">
        <v>3423</v>
      </c>
      <c r="D490" s="30"/>
      <c r="E490" s="30" t="s">
        <v>1297</v>
      </c>
      <c r="F490" s="34" t="str">
        <f>IFERROR(VLOOKUP(VENTAS[[#This Row],[Código del producto Vendido]],STOCK[],5,FALSE),"-")</f>
        <v>Sandalias rosadas Forever21</v>
      </c>
      <c r="G490" s="34">
        <v>1</v>
      </c>
      <c r="H490" s="35">
        <v>15</v>
      </c>
      <c r="I490" s="35">
        <f>VENTAS[[#This Row],[Cantidad]]*VENTAS[[#This Row],[Precio Venta]]</f>
        <v>15</v>
      </c>
      <c r="J490" s="35">
        <f>IF(VENTAS[[#This Row],[Nombre del Gestor]]&gt;1,VENTAS[[#This Row],[Total]]*10%,0)</f>
        <v>0</v>
      </c>
      <c r="K490" s="35">
        <f>IFERROR(VLOOKUP(VENTAS[[#This Row],[Código del producto Vendido]],STOCK[],16,FALSE)*VENTAS[[#This Row],[Cantidad]]+VLOOKUP(VENTAS[[#This Row],[Código del producto Vendido]],STOCK[],19,FALSE)*VENTAS[[#This Row],[Cantidad]],VENTAS[[#This Row],[Total]])</f>
        <v>19.49</v>
      </c>
      <c r="L490" s="35">
        <f>VENTAS[[#This Row],[Total]]-VENTAS[[#This Row],[Comisión 10%]]-VENTAS[[#This Row],[Costo SIN Comision]]</f>
        <v>-4.49</v>
      </c>
      <c r="M490" s="35"/>
    </row>
    <row r="491" ht="20" customHeight="1" spans="1:13">
      <c r="A491" s="64" t="s">
        <v>3422</v>
      </c>
      <c r="B491" s="30"/>
      <c r="C491" s="30" t="s">
        <v>3424</v>
      </c>
      <c r="D491" s="30"/>
      <c r="E491" s="30" t="s">
        <v>777</v>
      </c>
      <c r="F491" s="34" t="str">
        <f>IFERROR(VLOOKUP(VENTAS[[#This Row],[Código del producto Vendido]],STOCK[],5,FALSE),"-")</f>
        <v>Top berry en tela de algodón</v>
      </c>
      <c r="G491" s="34">
        <v>1</v>
      </c>
      <c r="H491" s="35">
        <v>10</v>
      </c>
      <c r="I491" s="35">
        <f>VENTAS[[#This Row],[Cantidad]]*VENTAS[[#This Row],[Precio Venta]]</f>
        <v>10</v>
      </c>
      <c r="J491" s="35">
        <f>IF(VENTAS[[#This Row],[Nombre del Gestor]]&gt;1,VENTAS[[#This Row],[Total]]*10%,0)</f>
        <v>0</v>
      </c>
      <c r="K491" s="35">
        <f>IFERROR(VLOOKUP(VENTAS[[#This Row],[Código del producto Vendido]],STOCK[],16,FALSE)*VENTAS[[#This Row],[Cantidad]]+VLOOKUP(VENTAS[[#This Row],[Código del producto Vendido]],STOCK[],19,FALSE)*VENTAS[[#This Row],[Cantidad]],VENTAS[[#This Row],[Total]])</f>
        <v>6.05555555555556</v>
      </c>
      <c r="L491" s="35">
        <f>VENTAS[[#This Row],[Total]]-VENTAS[[#This Row],[Comisión 10%]]-VENTAS[[#This Row],[Costo SIN Comision]]</f>
        <v>3.94444444444444</v>
      </c>
      <c r="M491" s="35"/>
    </row>
    <row r="492" ht="20" customHeight="1" spans="1:13">
      <c r="A492" s="65" t="s">
        <v>3425</v>
      </c>
      <c r="B492" s="30"/>
      <c r="C492" s="30" t="s">
        <v>3426</v>
      </c>
      <c r="D492" s="30"/>
      <c r="E492" s="30" t="s">
        <v>187</v>
      </c>
      <c r="F492" s="34" t="str">
        <f>IFERROR(VLOOKUP(VENTAS[[#This Row],[Código del producto Vendido]],STOCK[],5,FALSE),"-")</f>
        <v> Top de espalda cruzada</v>
      </c>
      <c r="G492" s="34">
        <v>1</v>
      </c>
      <c r="H492" s="35">
        <v>14</v>
      </c>
      <c r="I492" s="35">
        <f>VENTAS[[#This Row],[Cantidad]]*VENTAS[[#This Row],[Precio Venta]]</f>
        <v>14</v>
      </c>
      <c r="J492" s="35">
        <f>IF(VENTAS[[#This Row],[Nombre del Gestor]]&gt;1,VENTAS[[#This Row],[Total]]*10%,0)</f>
        <v>0</v>
      </c>
      <c r="K492" s="35">
        <f>IFERROR(VLOOKUP(VENTAS[[#This Row],[Código del producto Vendido]],STOCK[],16,FALSE)*VENTAS[[#This Row],[Cantidad]]+VLOOKUP(VENTAS[[#This Row],[Código del producto Vendido]],STOCK[],19,FALSE)*VENTAS[[#This Row],[Cantidad]],VENTAS[[#This Row],[Total]])</f>
        <v>8.89777777777778</v>
      </c>
      <c r="L492" s="35">
        <f>VENTAS[[#This Row],[Total]]-VENTAS[[#This Row],[Comisión 10%]]-VENTAS[[#This Row],[Costo SIN Comision]]</f>
        <v>5.10222222222222</v>
      </c>
      <c r="M492" s="35"/>
    </row>
    <row r="493" ht="20" customHeight="1" spans="1:13">
      <c r="A493" s="64" t="s">
        <v>3425</v>
      </c>
      <c r="B493" s="30"/>
      <c r="C493" s="30" t="s">
        <v>3426</v>
      </c>
      <c r="D493" s="30"/>
      <c r="E493" s="30" t="s">
        <v>255</v>
      </c>
      <c r="F493" s="34" t="str">
        <f>IFERROR(VLOOKUP(VENTAS[[#This Row],[Código del producto Vendido]],STOCK[],5,FALSE),"-")</f>
        <v>Top de espalda cruzada</v>
      </c>
      <c r="G493" s="34">
        <v>1</v>
      </c>
      <c r="H493" s="35">
        <v>14</v>
      </c>
      <c r="I493" s="35">
        <f>VENTAS[[#This Row],[Cantidad]]*VENTAS[[#This Row],[Precio Venta]]</f>
        <v>14</v>
      </c>
      <c r="J493" s="35">
        <f>IF(VENTAS[[#This Row],[Nombre del Gestor]]&gt;1,VENTAS[[#This Row],[Total]]*10%,0)</f>
        <v>0</v>
      </c>
      <c r="K493" s="35">
        <f>IFERROR(VLOOKUP(VENTAS[[#This Row],[Código del producto Vendido]],STOCK[],16,FALSE)*VENTAS[[#This Row],[Cantidad]]+VLOOKUP(VENTAS[[#This Row],[Código del producto Vendido]],STOCK[],19,FALSE)*VENTAS[[#This Row],[Cantidad]],VENTAS[[#This Row],[Total]])</f>
        <v>8.34222222222222</v>
      </c>
      <c r="L493" s="35">
        <f>VENTAS[[#This Row],[Total]]-VENTAS[[#This Row],[Comisión 10%]]-VENTAS[[#This Row],[Costo SIN Comision]]</f>
        <v>5.65777777777778</v>
      </c>
      <c r="M493" s="35"/>
    </row>
    <row r="494" ht="20" customHeight="1" spans="1:13">
      <c r="A494" s="65" t="s">
        <v>3425</v>
      </c>
      <c r="B494" s="30"/>
      <c r="C494" s="30" t="s">
        <v>3426</v>
      </c>
      <c r="D494" s="30"/>
      <c r="E494" s="30" t="s">
        <v>988</v>
      </c>
      <c r="F494" s="34" t="str">
        <f>IFERROR(VLOOKUP(VENTAS[[#This Row],[Código del producto Vendido]],STOCK[],5,FALSE),"-")</f>
        <v> Top Básico Business Negro</v>
      </c>
      <c r="G494" s="34">
        <v>1</v>
      </c>
      <c r="H494" s="35">
        <v>12</v>
      </c>
      <c r="I494" s="35">
        <f>VENTAS[[#This Row],[Cantidad]]*VENTAS[[#This Row],[Precio Venta]]</f>
        <v>12</v>
      </c>
      <c r="J494" s="35">
        <f>IF(VENTAS[[#This Row],[Nombre del Gestor]]&gt;1,VENTAS[[#This Row],[Total]]*10%,0)</f>
        <v>0</v>
      </c>
      <c r="K494" s="35">
        <f>IFERROR(VLOOKUP(VENTAS[[#This Row],[Código del producto Vendido]],STOCK[],16,FALSE)*VENTAS[[#This Row],[Cantidad]]+VLOOKUP(VENTAS[[#This Row],[Código del producto Vendido]],STOCK[],19,FALSE)*VENTAS[[#This Row],[Cantidad]],VENTAS[[#This Row],[Total]])</f>
        <v>7.63454545454545</v>
      </c>
      <c r="L494" s="35">
        <f>VENTAS[[#This Row],[Total]]-VENTAS[[#This Row],[Comisión 10%]]-VENTAS[[#This Row],[Costo SIN Comision]]</f>
        <v>4.36545454545455</v>
      </c>
      <c r="M494" s="35"/>
    </row>
    <row r="495" ht="20" customHeight="1" spans="1:13">
      <c r="A495" s="64" t="s">
        <v>3425</v>
      </c>
      <c r="B495" s="30"/>
      <c r="C495" s="30" t="s">
        <v>3426</v>
      </c>
      <c r="D495" s="30"/>
      <c r="E495" s="30" t="s">
        <v>1263</v>
      </c>
      <c r="F495" s="34" t="str">
        <f>IFERROR(VLOOKUP(VENTAS[[#This Row],[Código del producto Vendido]],STOCK[],5,FALSE),"-")</f>
        <v>Pantaloneta negra con abertura</v>
      </c>
      <c r="G495" s="34">
        <v>1</v>
      </c>
      <c r="H495" s="35">
        <v>23</v>
      </c>
      <c r="I495" s="35">
        <f>VENTAS[[#This Row],[Cantidad]]*VENTAS[[#This Row],[Precio Venta]]</f>
        <v>23</v>
      </c>
      <c r="J495" s="35">
        <f>IF(VENTAS[[#This Row],[Nombre del Gestor]]&gt;1,VENTAS[[#This Row],[Total]]*10%,0)</f>
        <v>0</v>
      </c>
      <c r="K495" s="35">
        <f>IFERROR(VLOOKUP(VENTAS[[#This Row],[Código del producto Vendido]],STOCK[],16,FALSE)*VENTAS[[#This Row],[Cantidad]]+VLOOKUP(VENTAS[[#This Row],[Código del producto Vendido]],STOCK[],19,FALSE)*VENTAS[[#This Row],[Cantidad]],VENTAS[[#This Row],[Total]])</f>
        <v>15.22</v>
      </c>
      <c r="L495" s="35">
        <f>VENTAS[[#This Row],[Total]]-VENTAS[[#This Row],[Comisión 10%]]-VENTAS[[#This Row],[Costo SIN Comision]]</f>
        <v>7.78</v>
      </c>
      <c r="M495" s="35"/>
    </row>
    <row r="496" ht="20" customHeight="1" spans="1:13">
      <c r="A496" s="65" t="s">
        <v>3427</v>
      </c>
      <c r="B496" s="30"/>
      <c r="C496" s="30" t="s">
        <v>3394</v>
      </c>
      <c r="D496" s="30"/>
      <c r="E496" s="30" t="s">
        <v>1043</v>
      </c>
      <c r="F496" s="34" t="str">
        <f>IFERROR(VLOOKUP(VENTAS[[#This Row],[Código del producto Vendido]],STOCK[],5,FALSE),"-")</f>
        <v>Jeans Ajustados Claro</v>
      </c>
      <c r="G496" s="34">
        <v>1</v>
      </c>
      <c r="H496" s="35">
        <v>32</v>
      </c>
      <c r="I496" s="35">
        <f>VENTAS[[#This Row],[Cantidad]]*VENTAS[[#This Row],[Precio Venta]]</f>
        <v>32</v>
      </c>
      <c r="J496" s="35">
        <f>IF(VENTAS[[#This Row],[Nombre del Gestor]]&gt;1,VENTAS[[#This Row],[Total]]*10%,0)</f>
        <v>0</v>
      </c>
      <c r="K496" s="35">
        <f>IFERROR(VLOOKUP(VENTAS[[#This Row],[Código del producto Vendido]],STOCK[],16,FALSE)*VENTAS[[#This Row],[Cantidad]]+VLOOKUP(VENTAS[[#This Row],[Código del producto Vendido]],STOCK[],19,FALSE)*VENTAS[[#This Row],[Cantidad]],VENTAS[[#This Row],[Total]])</f>
        <v>25.8181818181818</v>
      </c>
      <c r="L496" s="35">
        <f>VENTAS[[#This Row],[Total]]-VENTAS[[#This Row],[Comisión 10%]]-VENTAS[[#This Row],[Costo SIN Comision]]</f>
        <v>6.1818181818182</v>
      </c>
      <c r="M496" s="35"/>
    </row>
    <row r="497" ht="20" customHeight="1" spans="1:13">
      <c r="A497" s="64" t="s">
        <v>3427</v>
      </c>
      <c r="B497" s="30"/>
      <c r="C497" s="30" t="s">
        <v>3394</v>
      </c>
      <c r="D497" s="30"/>
      <c r="E497" s="30" t="s">
        <v>1304</v>
      </c>
      <c r="F497" s="34" t="str">
        <f>IFERROR(VLOOKUP(VENTAS[[#This Row],[Código del producto Vendido]],STOCK[],5,FALSE),"-")</f>
        <v>Jean ajustado claro</v>
      </c>
      <c r="G497" s="34">
        <v>1</v>
      </c>
      <c r="H497" s="35">
        <v>32</v>
      </c>
      <c r="I497" s="35">
        <f>VENTAS[[#This Row],[Cantidad]]*VENTAS[[#This Row],[Precio Venta]]</f>
        <v>32</v>
      </c>
      <c r="J497" s="35">
        <f>IF(VENTAS[[#This Row],[Nombre del Gestor]]&gt;1,VENTAS[[#This Row],[Total]]*10%,0)</f>
        <v>0</v>
      </c>
      <c r="K497" s="35">
        <f>IFERROR(VLOOKUP(VENTAS[[#This Row],[Código del producto Vendido]],STOCK[],16,FALSE)*VENTAS[[#This Row],[Cantidad]]+VLOOKUP(VENTAS[[#This Row],[Código del producto Vendido]],STOCK[],19,FALSE)*VENTAS[[#This Row],[Cantidad]],VENTAS[[#This Row],[Total]])</f>
        <v>23.79</v>
      </c>
      <c r="L497" s="35">
        <f>VENTAS[[#This Row],[Total]]-VENTAS[[#This Row],[Comisión 10%]]-VENTAS[[#This Row],[Costo SIN Comision]]</f>
        <v>8.21</v>
      </c>
      <c r="M497" s="35"/>
    </row>
    <row r="498" ht="20" customHeight="1" spans="1:13">
      <c r="A498" s="65" t="s">
        <v>3427</v>
      </c>
      <c r="B498" s="30"/>
      <c r="C498" s="30" t="s">
        <v>3428</v>
      </c>
      <c r="D498" s="30"/>
      <c r="E498" s="30" t="s">
        <v>1299</v>
      </c>
      <c r="F498" s="34" t="str">
        <f>IFERROR(VLOOKUP(VENTAS[[#This Row],[Código del producto Vendido]],STOCK[],5,FALSE),"-")</f>
        <v>Sandalias negras de hebilla </v>
      </c>
      <c r="G498" s="34">
        <v>1</v>
      </c>
      <c r="H498" s="35">
        <v>18</v>
      </c>
      <c r="I498" s="35">
        <f>VENTAS[[#This Row],[Cantidad]]*VENTAS[[#This Row],[Precio Venta]]</f>
        <v>18</v>
      </c>
      <c r="J498" s="35">
        <f>IF(VENTAS[[#This Row],[Nombre del Gestor]]&gt;1,VENTAS[[#This Row],[Total]]*10%,0)</f>
        <v>0</v>
      </c>
      <c r="K498" s="35">
        <f>IFERROR(VLOOKUP(VENTAS[[#This Row],[Código del producto Vendido]],STOCK[],16,FALSE)*VENTAS[[#This Row],[Cantidad]]+VLOOKUP(VENTAS[[#This Row],[Código del producto Vendido]],STOCK[],19,FALSE)*VENTAS[[#This Row],[Cantidad]],VENTAS[[#This Row],[Total]])</f>
        <v>12</v>
      </c>
      <c r="L498" s="35">
        <f>VENTAS[[#This Row],[Total]]-VENTAS[[#This Row],[Comisión 10%]]-VENTAS[[#This Row],[Costo SIN Comision]]</f>
        <v>6</v>
      </c>
      <c r="M498" s="35"/>
    </row>
    <row r="499" ht="20" customHeight="1" spans="1:13">
      <c r="A499" s="64" t="s">
        <v>3427</v>
      </c>
      <c r="B499" s="30"/>
      <c r="C499" s="30" t="s">
        <v>3428</v>
      </c>
      <c r="D499" s="30"/>
      <c r="E499" s="30" t="s">
        <v>406</v>
      </c>
      <c r="F499" s="34" t="str">
        <f>IFERROR(VLOOKUP(VENTAS[[#This Row],[Código del producto Vendido]],STOCK[],5,FALSE),"-")</f>
        <v>Bañador una pieza de color combinado </v>
      </c>
      <c r="G499" s="34">
        <v>1</v>
      </c>
      <c r="H499" s="35">
        <v>20</v>
      </c>
      <c r="I499" s="35">
        <f>VENTAS[[#This Row],[Cantidad]]*VENTAS[[#This Row],[Precio Venta]]</f>
        <v>20</v>
      </c>
      <c r="J499" s="35">
        <f>IF(VENTAS[[#This Row],[Nombre del Gestor]]&gt;1,VENTAS[[#This Row],[Total]]*10%,0)</f>
        <v>0</v>
      </c>
      <c r="K499" s="35">
        <f>IFERROR(VLOOKUP(VENTAS[[#This Row],[Código del producto Vendido]],STOCK[],16,FALSE)*VENTAS[[#This Row],[Cantidad]]+VLOOKUP(VENTAS[[#This Row],[Código del producto Vendido]],STOCK[],19,FALSE)*VENTAS[[#This Row],[Cantidad]],VENTAS[[#This Row],[Total]])</f>
        <v>9.66666666666667</v>
      </c>
      <c r="L499" s="35">
        <f>VENTAS[[#This Row],[Total]]-VENTAS[[#This Row],[Comisión 10%]]-VENTAS[[#This Row],[Costo SIN Comision]]</f>
        <v>10.3333333333333</v>
      </c>
      <c r="M499" s="35"/>
    </row>
    <row r="500" ht="20" customHeight="1" spans="1:13">
      <c r="A500" s="65" t="s">
        <v>3429</v>
      </c>
      <c r="B500" s="30"/>
      <c r="C500" s="30" t="s">
        <v>3430</v>
      </c>
      <c r="D500" s="30"/>
      <c r="E500" s="30" t="s">
        <v>1062</v>
      </c>
      <c r="F500" s="34" t="str">
        <f>IFERROR(VLOOKUP(VENTAS[[#This Row],[Código del producto Vendido]],STOCK[],5,FALSE),"-")</f>
        <v>Top cami carrera</v>
      </c>
      <c r="G500" s="34">
        <v>1</v>
      </c>
      <c r="H500" s="35">
        <v>10</v>
      </c>
      <c r="I500" s="35">
        <f>VENTAS[[#This Row],[Cantidad]]*VENTAS[[#This Row],[Precio Venta]]</f>
        <v>10</v>
      </c>
      <c r="J500" s="35">
        <f>IF(VENTAS[[#This Row],[Nombre del Gestor]]&gt;1,VENTAS[[#This Row],[Total]]*10%,0)</f>
        <v>0</v>
      </c>
      <c r="K500" s="35">
        <f>IFERROR(VLOOKUP(VENTAS[[#This Row],[Código del producto Vendido]],STOCK[],16,FALSE)*VENTAS[[#This Row],[Cantidad]]+VLOOKUP(VENTAS[[#This Row],[Código del producto Vendido]],STOCK[],19,FALSE)*VENTAS[[#This Row],[Cantidad]],VENTAS[[#This Row],[Total]])</f>
        <v>4.99264705882353</v>
      </c>
      <c r="L500" s="35">
        <f>VENTAS[[#This Row],[Total]]-VENTAS[[#This Row],[Comisión 10%]]-VENTAS[[#This Row],[Costo SIN Comision]]</f>
        <v>5.00735294117647</v>
      </c>
      <c r="M500" s="35"/>
    </row>
    <row r="501" ht="20" customHeight="1" spans="1:13">
      <c r="A501" s="64" t="s">
        <v>3431</v>
      </c>
      <c r="B501" s="30"/>
      <c r="C501" s="30" t="s">
        <v>3432</v>
      </c>
      <c r="D501" s="30"/>
      <c r="E501" s="30" t="s">
        <v>224</v>
      </c>
      <c r="F501" s="34" t="str">
        <f>IFERROR(VLOOKUP(VENTAS[[#This Row],[Código del producto Vendido]],STOCK[],5,FALSE),"-")</f>
        <v>Vestido de manga farol con cordón delantero</v>
      </c>
      <c r="G501" s="34">
        <v>1</v>
      </c>
      <c r="H501" s="35">
        <v>22</v>
      </c>
      <c r="I501" s="35">
        <f>VENTAS[[#This Row],[Cantidad]]*VENTAS[[#This Row],[Precio Venta]]</f>
        <v>22</v>
      </c>
      <c r="J501" s="35">
        <f>IF(VENTAS[[#This Row],[Nombre del Gestor]]&gt;1,VENTAS[[#This Row],[Total]]*10%,0)</f>
        <v>0</v>
      </c>
      <c r="K501" s="35">
        <f>IFERROR(VLOOKUP(VENTAS[[#This Row],[Código del producto Vendido]],STOCK[],16,FALSE)*VENTAS[[#This Row],[Cantidad]]+VLOOKUP(VENTAS[[#This Row],[Código del producto Vendido]],STOCK[],19,FALSE)*VENTAS[[#This Row],[Cantidad]],VENTAS[[#This Row],[Total]])</f>
        <v>12.8711111111111</v>
      </c>
      <c r="L501" s="35">
        <f>VENTAS[[#This Row],[Total]]-VENTAS[[#This Row],[Comisión 10%]]-VENTAS[[#This Row],[Costo SIN Comision]]</f>
        <v>9.1288888888889</v>
      </c>
      <c r="M501" s="35"/>
    </row>
    <row r="502" ht="20" customHeight="1" spans="1:13">
      <c r="A502" s="65" t="s">
        <v>3431</v>
      </c>
      <c r="B502" s="30"/>
      <c r="C502" s="30" t="s">
        <v>3433</v>
      </c>
      <c r="D502" s="30"/>
      <c r="E502" s="30" t="s">
        <v>561</v>
      </c>
      <c r="F502" s="34" t="str">
        <f>IFERROR(VLOOKUP(VENTAS[[#This Row],[Código del producto Vendido]],STOCK[],5,FALSE),"-")</f>
        <v>Vestido de muslo con abertura .</v>
      </c>
      <c r="G502" s="34">
        <v>1</v>
      </c>
      <c r="H502" s="35">
        <v>40</v>
      </c>
      <c r="I502" s="35">
        <f>VENTAS[[#This Row],[Cantidad]]*VENTAS[[#This Row],[Precio Venta]]</f>
        <v>40</v>
      </c>
      <c r="J502" s="35">
        <f>IF(VENTAS[[#This Row],[Nombre del Gestor]]&gt;1,VENTAS[[#This Row],[Total]]*10%,0)</f>
        <v>0</v>
      </c>
      <c r="K502" s="35">
        <f>IFERROR(VLOOKUP(VENTAS[[#This Row],[Código del producto Vendido]],STOCK[],16,FALSE)*VENTAS[[#This Row],[Cantidad]]+VLOOKUP(VENTAS[[#This Row],[Código del producto Vendido]],STOCK[],19,FALSE)*VENTAS[[#This Row],[Cantidad]],VENTAS[[#This Row],[Total]])</f>
        <v>38.5716666666667</v>
      </c>
      <c r="L502" s="35">
        <f>VENTAS[[#This Row],[Total]]-VENTAS[[#This Row],[Comisión 10%]]-VENTAS[[#This Row],[Costo SIN Comision]]</f>
        <v>1.4283333333333</v>
      </c>
      <c r="M502" s="35"/>
    </row>
    <row r="503" ht="20" customHeight="1" spans="1:13">
      <c r="A503" s="64" t="s">
        <v>3431</v>
      </c>
      <c r="B503" s="30"/>
      <c r="C503" s="30" t="s">
        <v>3434</v>
      </c>
      <c r="D503" s="30"/>
      <c r="E503" s="30" t="s">
        <v>848</v>
      </c>
      <c r="F503" s="34" t="str">
        <f>IFERROR(VLOOKUP(VENTAS[[#This Row],[Código del producto Vendido]],STOCK[],5,FALSE),"-")</f>
        <v>Kimono Maxi elegante</v>
      </c>
      <c r="G503" s="34">
        <v>1</v>
      </c>
      <c r="H503" s="35">
        <v>30</v>
      </c>
      <c r="I503" s="35">
        <f>VENTAS[[#This Row],[Cantidad]]*VENTAS[[#This Row],[Precio Venta]]</f>
        <v>30</v>
      </c>
      <c r="J503" s="35">
        <f>IF(VENTAS[[#This Row],[Nombre del Gestor]]&gt;1,VENTAS[[#This Row],[Total]]*10%,0)</f>
        <v>0</v>
      </c>
      <c r="K503" s="35">
        <f>IFERROR(VLOOKUP(VENTAS[[#This Row],[Código del producto Vendido]],STOCK[],16,FALSE)*VENTAS[[#This Row],[Cantidad]]+VLOOKUP(VENTAS[[#This Row],[Código del producto Vendido]],STOCK[],19,FALSE)*VENTAS[[#This Row],[Cantidad]],VENTAS[[#This Row],[Total]])</f>
        <v>20.0555555555556</v>
      </c>
      <c r="L503" s="35">
        <f>VENTAS[[#This Row],[Total]]-VENTAS[[#This Row],[Comisión 10%]]-VENTAS[[#This Row],[Costo SIN Comision]]</f>
        <v>9.9444444444444</v>
      </c>
      <c r="M503" s="35"/>
    </row>
    <row r="504" ht="20" customHeight="1" spans="1:13">
      <c r="A504" s="65" t="s">
        <v>3435</v>
      </c>
      <c r="B504" s="30"/>
      <c r="C504" s="30" t="s">
        <v>3412</v>
      </c>
      <c r="D504" s="30"/>
      <c r="E504" s="30" t="s">
        <v>3436</v>
      </c>
      <c r="F504" s="34" t="str">
        <f>IFERROR(VLOOKUP(VENTAS[[#This Row],[Código del producto Vendido]],STOCK[],5,FALSE),"-")</f>
        <v>-</v>
      </c>
      <c r="G504" s="34">
        <v>1</v>
      </c>
      <c r="H504" s="35">
        <v>23</v>
      </c>
      <c r="I504" s="35">
        <f>VENTAS[[#This Row],[Cantidad]]*VENTAS[[#This Row],[Precio Venta]]</f>
        <v>23</v>
      </c>
      <c r="J504" s="35">
        <f>IF(VENTAS[[#This Row],[Nombre del Gestor]]&gt;1,VENTAS[[#This Row],[Total]]*10%,0)</f>
        <v>0</v>
      </c>
      <c r="K504" s="35">
        <f>IFERROR(VLOOKUP(VENTAS[[#This Row],[Código del producto Vendido]],STOCK[],16,FALSE)*VENTAS[[#This Row],[Cantidad]]+VLOOKUP(VENTAS[[#This Row],[Código del producto Vendido]],STOCK[],19,FALSE)*VENTAS[[#This Row],[Cantidad]],VENTAS[[#This Row],[Total]])</f>
        <v>23</v>
      </c>
      <c r="L504" s="35">
        <f>VENTAS[[#This Row],[Total]]-VENTAS[[#This Row],[Comisión 10%]]-VENTAS[[#This Row],[Costo SIN Comision]]</f>
        <v>0</v>
      </c>
      <c r="M504" s="35"/>
    </row>
    <row r="505" ht="20" customHeight="1" spans="1:13">
      <c r="A505" s="64" t="s">
        <v>3435</v>
      </c>
      <c r="B505" s="30"/>
      <c r="C505" s="30" t="s">
        <v>3412</v>
      </c>
      <c r="D505" s="30"/>
      <c r="E505" s="30" t="s">
        <v>895</v>
      </c>
      <c r="F505" s="34" t="str">
        <f>IFERROR(VLOOKUP(VENTAS[[#This Row],[Código del producto Vendido]],STOCK[],5,FALSE),"-")</f>
        <v>Top Cisne Blanco</v>
      </c>
      <c r="G505" s="34">
        <v>1</v>
      </c>
      <c r="H505" s="35">
        <v>12</v>
      </c>
      <c r="I505" s="35">
        <f>VENTAS[[#This Row],[Cantidad]]*VENTAS[[#This Row],[Precio Venta]]</f>
        <v>12</v>
      </c>
      <c r="J505" s="35">
        <f>IF(VENTAS[[#This Row],[Nombre del Gestor]]&gt;1,VENTAS[[#This Row],[Total]]*10%,0)</f>
        <v>0</v>
      </c>
      <c r="K505" s="35">
        <f>IFERROR(VLOOKUP(VENTAS[[#This Row],[Código del producto Vendido]],STOCK[],16,FALSE)*VENTAS[[#This Row],[Cantidad]]+VLOOKUP(VENTAS[[#This Row],[Código del producto Vendido]],STOCK[],19,FALSE)*VENTAS[[#This Row],[Cantidad]],VENTAS[[#This Row],[Total]])</f>
        <v>7.97318181818182</v>
      </c>
      <c r="L505" s="35">
        <f>VENTAS[[#This Row],[Total]]-VENTAS[[#This Row],[Comisión 10%]]-VENTAS[[#This Row],[Costo SIN Comision]]</f>
        <v>4.02681818181818</v>
      </c>
      <c r="M505" s="35"/>
    </row>
    <row r="506" ht="20" customHeight="1" spans="1:13">
      <c r="A506" s="65" t="s">
        <v>3435</v>
      </c>
      <c r="B506" s="30"/>
      <c r="C506" s="30" t="s">
        <v>3350</v>
      </c>
      <c r="D506" s="30"/>
      <c r="E506" s="30" t="s">
        <v>1159</v>
      </c>
      <c r="F506" s="34" t="str">
        <f>IFERROR(VLOOKUP(VENTAS[[#This Row],[Código del producto Vendido]],STOCK[],5,FALSE),"-")</f>
        <v>Pezoneras de silicona</v>
      </c>
      <c r="G506" s="34">
        <v>1</v>
      </c>
      <c r="H506" s="35">
        <v>6</v>
      </c>
      <c r="I506" s="35">
        <f>VENTAS[[#This Row],[Cantidad]]*VENTAS[[#This Row],[Precio Venta]]</f>
        <v>6</v>
      </c>
      <c r="J506" s="35">
        <f>IF(VENTAS[[#This Row],[Nombre del Gestor]]&gt;1,VENTAS[[#This Row],[Total]]*10%,0)</f>
        <v>0</v>
      </c>
      <c r="K506" s="35">
        <f>IFERROR(VLOOKUP(VENTAS[[#This Row],[Código del producto Vendido]],STOCK[],16,FALSE)*VENTAS[[#This Row],[Cantidad]]+VLOOKUP(VENTAS[[#This Row],[Código del producto Vendido]],STOCK[],19,FALSE)*VENTAS[[#This Row],[Cantidad]],VENTAS[[#This Row],[Total]])</f>
        <v>2.03</v>
      </c>
      <c r="L506" s="35">
        <f>VENTAS[[#This Row],[Total]]-VENTAS[[#This Row],[Comisión 10%]]-VENTAS[[#This Row],[Costo SIN Comision]]</f>
        <v>3.97</v>
      </c>
      <c r="M506" s="35"/>
    </row>
    <row r="507" ht="20" customHeight="1" spans="1:13">
      <c r="A507" s="64" t="s">
        <v>3435</v>
      </c>
      <c r="B507" s="30"/>
      <c r="C507" s="30" t="s">
        <v>3350</v>
      </c>
      <c r="D507" s="30"/>
      <c r="E507" s="30" t="s">
        <v>521</v>
      </c>
      <c r="F507" s="34" t="str">
        <f>IFERROR(VLOOKUP(VENTAS[[#This Row],[Código del producto Vendido]],STOCK[],5,FALSE),"-")</f>
        <v>Almohadilla de maquillaje </v>
      </c>
      <c r="G507" s="34">
        <v>2</v>
      </c>
      <c r="H507" s="35">
        <v>1</v>
      </c>
      <c r="I507" s="35">
        <f>VENTAS[[#This Row],[Cantidad]]*VENTAS[[#This Row],[Precio Venta]]</f>
        <v>2</v>
      </c>
      <c r="J507" s="35">
        <f>IF(VENTAS[[#This Row],[Nombre del Gestor]]&gt;1,VENTAS[[#This Row],[Total]]*10%,0)</f>
        <v>0</v>
      </c>
      <c r="K507" s="35">
        <f>IFERROR(VLOOKUP(VENTAS[[#This Row],[Código del producto Vendido]],STOCK[],16,FALSE)*VENTAS[[#This Row],[Cantidad]]+VLOOKUP(VENTAS[[#This Row],[Código del producto Vendido]],STOCK[],19,FALSE)*VENTAS[[#This Row],[Cantidad]],VENTAS[[#This Row],[Total]])</f>
        <v>0.482777777777778</v>
      </c>
      <c r="L507" s="35">
        <f>VENTAS[[#This Row],[Total]]-VENTAS[[#This Row],[Comisión 10%]]-VENTAS[[#This Row],[Costo SIN Comision]]</f>
        <v>1.51722222222222</v>
      </c>
      <c r="M507" s="35"/>
    </row>
    <row r="508" ht="20" customHeight="1" spans="1:13">
      <c r="A508" s="65" t="s">
        <v>3435</v>
      </c>
      <c r="B508" s="30"/>
      <c r="C508" s="30" t="s">
        <v>3350</v>
      </c>
      <c r="D508" s="30"/>
      <c r="E508" s="30" t="s">
        <v>529</v>
      </c>
      <c r="F508" s="34" t="str">
        <f>IFERROR(VLOOKUP(VENTAS[[#This Row],[Código del producto Vendido]],STOCK[],5,FALSE),"-")</f>
        <v>Esponja de maquillaje </v>
      </c>
      <c r="G508" s="34">
        <v>2</v>
      </c>
      <c r="H508" s="35">
        <v>1</v>
      </c>
      <c r="I508" s="35">
        <f>VENTAS[[#This Row],[Cantidad]]*VENTAS[[#This Row],[Precio Venta]]</f>
        <v>2</v>
      </c>
      <c r="J508" s="35">
        <f>IF(VENTAS[[#This Row],[Nombre del Gestor]]&gt;1,VENTAS[[#This Row],[Total]]*10%,0)</f>
        <v>0</v>
      </c>
      <c r="K508" s="35">
        <f>IFERROR(VLOOKUP(VENTAS[[#This Row],[Código del producto Vendido]],STOCK[],16,FALSE)*VENTAS[[#This Row],[Cantidad]]+VLOOKUP(VENTAS[[#This Row],[Código del producto Vendido]],STOCK[],19,FALSE)*VENTAS[[#This Row],[Cantidad]],VENTAS[[#This Row],[Total]])</f>
        <v>0.872222222222222</v>
      </c>
      <c r="L508" s="35">
        <f>VENTAS[[#This Row],[Total]]-VENTAS[[#This Row],[Comisión 10%]]-VENTAS[[#This Row],[Costo SIN Comision]]</f>
        <v>1.12777777777778</v>
      </c>
      <c r="M508" s="35"/>
    </row>
    <row r="509" ht="20" customHeight="1" spans="1:13">
      <c r="A509" s="65">
        <v>45171</v>
      </c>
      <c r="B509" s="30"/>
      <c r="C509" s="30" t="s">
        <v>3437</v>
      </c>
      <c r="D509" s="30"/>
      <c r="E509" s="67" t="s">
        <v>1128</v>
      </c>
      <c r="F509" s="30" t="str">
        <f>IFERROR(VLOOKUP(VENTAS[[#This Row],[Código del producto Vendido]],STOCK[],5,FALSE),"-")</f>
        <v>Maxi vestido floreado con abertura</v>
      </c>
      <c r="G509" s="34">
        <v>1</v>
      </c>
      <c r="H509" s="35">
        <v>30</v>
      </c>
      <c r="I509" s="35">
        <f>VENTAS[[#This Row],[Cantidad]]*VENTAS[[#This Row],[Precio Venta]]</f>
        <v>30</v>
      </c>
      <c r="J509" s="35">
        <f>IF(VENTAS[[#This Row],[Nombre del Gestor]]&gt;1,VENTAS[[#This Row],[Total]]*10%,0)</f>
        <v>0</v>
      </c>
      <c r="K509" s="35">
        <f>IFERROR(VLOOKUP(VENTAS[[#This Row],[Código del producto Vendido]],STOCK[],16,FALSE)*VENTAS[[#This Row],[Cantidad]]+VLOOKUP(VENTAS[[#This Row],[Código del producto Vendido]],STOCK[],19,FALSE)*VENTAS[[#This Row],[Cantidad]],VENTAS[[#This Row],[Total]])</f>
        <v>23.6544117647059</v>
      </c>
      <c r="L509" s="35">
        <f>VENTAS[[#This Row],[Total]]-VENTAS[[#This Row],[Comisión 10%]]-VENTAS[[#This Row],[Costo SIN Comision]]</f>
        <v>6.3455882352941</v>
      </c>
      <c r="M509" s="35"/>
    </row>
    <row r="510" ht="20" customHeight="1" spans="1:13">
      <c r="A510" s="64">
        <v>45171</v>
      </c>
      <c r="B510" s="30"/>
      <c r="C510" s="30" t="s">
        <v>3437</v>
      </c>
      <c r="D510" s="30"/>
      <c r="E510" s="30" t="s">
        <v>1194</v>
      </c>
      <c r="F510" s="34" t="str">
        <f>IFERROR(VLOOKUP(VENTAS[[#This Row],[Código del producto Vendido]],STOCK[],5,FALSE),"-")</f>
        <v>Conjunto de top y falda cruzada</v>
      </c>
      <c r="G510" s="34">
        <v>1</v>
      </c>
      <c r="H510" s="35">
        <v>40</v>
      </c>
      <c r="I510" s="35">
        <f>VENTAS[[#This Row],[Cantidad]]*VENTAS[[#This Row],[Precio Venta]]</f>
        <v>40</v>
      </c>
      <c r="J510" s="35">
        <f>IF(VENTAS[[#This Row],[Nombre del Gestor]]&gt;1,VENTAS[[#This Row],[Total]]*10%,0)</f>
        <v>0</v>
      </c>
      <c r="K510" s="35">
        <f>IFERROR(VLOOKUP(VENTAS[[#This Row],[Código del producto Vendido]],STOCK[],16,FALSE)*VENTAS[[#This Row],[Cantidad]]+VLOOKUP(VENTAS[[#This Row],[Código del producto Vendido]],STOCK[],19,FALSE)*VENTAS[[#This Row],[Cantidad]],VENTAS[[#This Row],[Total]])</f>
        <v>27.82</v>
      </c>
      <c r="L510" s="35">
        <f>VENTAS[[#This Row],[Total]]-VENTAS[[#This Row],[Comisión 10%]]-VENTAS[[#This Row],[Costo SIN Comision]]</f>
        <v>12.18</v>
      </c>
      <c r="M510" s="35"/>
    </row>
    <row r="511" ht="20" customHeight="1" spans="1:13">
      <c r="A511" s="65">
        <v>45171</v>
      </c>
      <c r="B511" s="30"/>
      <c r="C511" s="30" t="s">
        <v>3437</v>
      </c>
      <c r="D511" s="30"/>
      <c r="E511" s="30" t="s">
        <v>1260</v>
      </c>
      <c r="F511" s="34" t="str">
        <f>IFERROR(VLOOKUP(VENTAS[[#This Row],[Código del producto Vendido]],STOCK[],5,FALSE),"-")</f>
        <v>Maxi vestido playero naranja quemada</v>
      </c>
      <c r="G511" s="34">
        <v>1</v>
      </c>
      <c r="H511" s="35">
        <v>30</v>
      </c>
      <c r="I511" s="35">
        <f>VENTAS[[#This Row],[Cantidad]]*VENTAS[[#This Row],[Precio Venta]]</f>
        <v>30</v>
      </c>
      <c r="J511" s="35">
        <f>IF(VENTAS[[#This Row],[Nombre del Gestor]]&gt;1,VENTAS[[#This Row],[Total]]*10%,0)</f>
        <v>0</v>
      </c>
      <c r="K511" s="35">
        <f>IFERROR(VLOOKUP(VENTAS[[#This Row],[Código del producto Vendido]],STOCK[],16,FALSE)*VENTAS[[#This Row],[Cantidad]]+VLOOKUP(VENTAS[[#This Row],[Código del producto Vendido]],STOCK[],19,FALSE)*VENTAS[[#This Row],[Cantidad]],VENTAS[[#This Row],[Total]])</f>
        <v>23.95</v>
      </c>
      <c r="L511" s="35">
        <f>VENTAS[[#This Row],[Total]]-VENTAS[[#This Row],[Comisión 10%]]-VENTAS[[#This Row],[Costo SIN Comision]]</f>
        <v>6.05</v>
      </c>
      <c r="M511" s="35"/>
    </row>
    <row r="512" ht="20" customHeight="1" spans="1:13">
      <c r="A512" s="64">
        <v>45171</v>
      </c>
      <c r="B512" s="30"/>
      <c r="C512" s="30" t="s">
        <v>3438</v>
      </c>
      <c r="D512" s="30"/>
      <c r="E512" s="30" t="s">
        <v>529</v>
      </c>
      <c r="F512" s="34" t="str">
        <f>IFERROR(VLOOKUP(VENTAS[[#This Row],[Código del producto Vendido]],STOCK[],5,FALSE),"-")</f>
        <v>Esponja de maquillaje </v>
      </c>
      <c r="G512" s="34">
        <v>1</v>
      </c>
      <c r="H512" s="35">
        <v>1</v>
      </c>
      <c r="I512" s="35">
        <f>VENTAS[[#This Row],[Cantidad]]*VENTAS[[#This Row],[Precio Venta]]</f>
        <v>1</v>
      </c>
      <c r="J512" s="35">
        <f>IF(VENTAS[[#This Row],[Nombre del Gestor]]&gt;1,VENTAS[[#This Row],[Total]]*10%,0)</f>
        <v>0</v>
      </c>
      <c r="K512" s="35">
        <f>IFERROR(VLOOKUP(VENTAS[[#This Row],[Código del producto Vendido]],STOCK[],16,FALSE)*VENTAS[[#This Row],[Cantidad]]+VLOOKUP(VENTAS[[#This Row],[Código del producto Vendido]],STOCK[],19,FALSE)*VENTAS[[#This Row],[Cantidad]],VENTAS[[#This Row],[Total]])</f>
        <v>0.436111111111111</v>
      </c>
      <c r="L512" s="35">
        <f>VENTAS[[#This Row],[Total]]-VENTAS[[#This Row],[Comisión 10%]]-VENTAS[[#This Row],[Costo SIN Comision]]</f>
        <v>0.563888888888889</v>
      </c>
      <c r="M512" s="35"/>
    </row>
    <row r="513" ht="20" customHeight="1" spans="1:13">
      <c r="A513" s="65">
        <v>45171</v>
      </c>
      <c r="B513" s="30"/>
      <c r="C513" s="30" t="s">
        <v>3398</v>
      </c>
      <c r="D513" s="30"/>
      <c r="E513" s="30" t="s">
        <v>1306</v>
      </c>
      <c r="F513" s="34" t="str">
        <f>IFERROR(VLOOKUP(VENTAS[[#This Row],[Código del producto Vendido]],STOCK[],5,FALSE),"-")</f>
        <v>Sandalias rosadas Forever21</v>
      </c>
      <c r="G513" s="34">
        <v>1</v>
      </c>
      <c r="H513" s="35">
        <v>15</v>
      </c>
      <c r="I513" s="35">
        <f>VENTAS[[#This Row],[Cantidad]]*VENTAS[[#This Row],[Precio Venta]]</f>
        <v>15</v>
      </c>
      <c r="J513" s="35">
        <f>IF(VENTAS[[#This Row],[Nombre del Gestor]]&gt;1,VENTAS[[#This Row],[Total]]*10%,0)</f>
        <v>0</v>
      </c>
      <c r="K513" s="35">
        <f>IFERROR(VLOOKUP(VENTAS[[#This Row],[Código del producto Vendido]],STOCK[],16,FALSE)*VENTAS[[#This Row],[Cantidad]]+VLOOKUP(VENTAS[[#This Row],[Código del producto Vendido]],STOCK[],19,FALSE)*VENTAS[[#This Row],[Cantidad]],VENTAS[[#This Row],[Total]])</f>
        <v>19.49</v>
      </c>
      <c r="L513" s="35">
        <f>VENTAS[[#This Row],[Total]]-VENTAS[[#This Row],[Comisión 10%]]-VENTAS[[#This Row],[Costo SIN Comision]]</f>
        <v>-4.49</v>
      </c>
      <c r="M513" s="35"/>
    </row>
    <row r="514" ht="20" customHeight="1" spans="1:13">
      <c r="A514" s="64">
        <v>45171</v>
      </c>
      <c r="B514" s="30"/>
      <c r="C514" s="30" t="s">
        <v>3439</v>
      </c>
      <c r="D514" s="30"/>
      <c r="E514" s="30" t="s">
        <v>1307</v>
      </c>
      <c r="F514" s="34" t="str">
        <f>IFERROR(VLOOKUP(VENTAS[[#This Row],[Código del producto Vendido]],STOCK[],5,FALSE),"-")</f>
        <v>Sandalias blancas</v>
      </c>
      <c r="G514" s="34">
        <v>1</v>
      </c>
      <c r="H514" s="35">
        <v>15</v>
      </c>
      <c r="I514" s="35">
        <f>VENTAS[[#This Row],[Cantidad]]*VENTAS[[#This Row],[Precio Venta]]</f>
        <v>15</v>
      </c>
      <c r="J514" s="35">
        <f>IF(VENTAS[[#This Row],[Nombre del Gestor]]&gt;1,VENTAS[[#This Row],[Total]]*10%,0)</f>
        <v>0</v>
      </c>
      <c r="K514" s="35">
        <f>IFERROR(VLOOKUP(VENTAS[[#This Row],[Código del producto Vendido]],STOCK[],16,FALSE)*VENTAS[[#This Row],[Cantidad]]+VLOOKUP(VENTAS[[#This Row],[Código del producto Vendido]],STOCK[],19,FALSE)*VENTAS[[#This Row],[Cantidad]],VENTAS[[#This Row],[Total]])</f>
        <v>12.49</v>
      </c>
      <c r="L514" s="35">
        <f>VENTAS[[#This Row],[Total]]-VENTAS[[#This Row],[Comisión 10%]]-VENTAS[[#This Row],[Costo SIN Comision]]</f>
        <v>2.51</v>
      </c>
      <c r="M514" s="35"/>
    </row>
    <row r="515" ht="20" customHeight="1" spans="1:13">
      <c r="A515" s="65">
        <v>45171</v>
      </c>
      <c r="B515" s="30"/>
      <c r="C515" s="30" t="s">
        <v>3348</v>
      </c>
      <c r="D515" s="30"/>
      <c r="E515" s="30" t="s">
        <v>1309</v>
      </c>
      <c r="F515" s="34" t="str">
        <f>IFERROR(VLOOKUP(VENTAS[[#This Row],[Código del producto Vendido]],STOCK[],5,FALSE),"-")</f>
        <v>Short de mezclilla suave con cinturón</v>
      </c>
      <c r="G515" s="34">
        <v>1</v>
      </c>
      <c r="H515" s="35">
        <v>20</v>
      </c>
      <c r="I515" s="35">
        <f>VENTAS[[#This Row],[Cantidad]]*VENTAS[[#This Row],[Precio Venta]]</f>
        <v>20</v>
      </c>
      <c r="J515" s="35">
        <f>IF(VENTAS[[#This Row],[Nombre del Gestor]]&gt;1,VENTAS[[#This Row],[Total]]*10%,0)</f>
        <v>0</v>
      </c>
      <c r="K515" s="35">
        <f>IFERROR(VLOOKUP(VENTAS[[#This Row],[Código del producto Vendido]],STOCK[],16,FALSE)*VENTAS[[#This Row],[Cantidad]]+VLOOKUP(VENTAS[[#This Row],[Código del producto Vendido]],STOCK[],19,FALSE)*VENTAS[[#This Row],[Cantidad]],VENTAS[[#This Row],[Total]])</f>
        <v>11</v>
      </c>
      <c r="L515" s="35">
        <f>VENTAS[[#This Row],[Total]]-VENTAS[[#This Row],[Comisión 10%]]-VENTAS[[#This Row],[Costo SIN Comision]]</f>
        <v>9</v>
      </c>
      <c r="M515" s="35"/>
    </row>
    <row r="516" ht="20" customHeight="1" spans="1:13">
      <c r="A516" s="64">
        <v>45173</v>
      </c>
      <c r="B516" s="30"/>
      <c r="C516" s="30" t="s">
        <v>3440</v>
      </c>
      <c r="D516" s="30"/>
      <c r="E516" s="30" t="s">
        <v>1281</v>
      </c>
      <c r="F516" s="34" t="str">
        <f>IFERROR(VLOOKUP(VENTAS[[#This Row],[Código del producto Vendido]],STOCK[],5,FALSE),"-")</f>
        <v>Pantalón beige de pierna ancha</v>
      </c>
      <c r="G516" s="34">
        <v>1</v>
      </c>
      <c r="H516" s="35">
        <v>30</v>
      </c>
      <c r="I516" s="35">
        <f>VENTAS[[#This Row],[Cantidad]]*VENTAS[[#This Row],[Precio Venta]]</f>
        <v>30</v>
      </c>
      <c r="J516" s="35">
        <f>IF(VENTAS[[#This Row],[Nombre del Gestor]]&gt;1,VENTAS[[#This Row],[Total]]*10%,0)</f>
        <v>0</v>
      </c>
      <c r="K516" s="35">
        <f>IFERROR(VLOOKUP(VENTAS[[#This Row],[Código del producto Vendido]],STOCK[],16,FALSE)*VENTAS[[#This Row],[Cantidad]]+VLOOKUP(VENTAS[[#This Row],[Código del producto Vendido]],STOCK[],19,FALSE)*VENTAS[[#This Row],[Cantidad]],VENTAS[[#This Row],[Total]])</f>
        <v>20.78</v>
      </c>
      <c r="L516" s="35">
        <f>VENTAS[[#This Row],[Total]]-VENTAS[[#This Row],[Comisión 10%]]-VENTAS[[#This Row],[Costo SIN Comision]]</f>
        <v>9.22</v>
      </c>
      <c r="M516" s="35"/>
    </row>
    <row r="517" ht="20" customHeight="1" spans="1:13">
      <c r="A517" s="64">
        <v>45173</v>
      </c>
      <c r="B517" s="30"/>
      <c r="C517" s="30" t="s">
        <v>3412</v>
      </c>
      <c r="D517" s="30"/>
      <c r="E517" s="30" t="s">
        <v>999</v>
      </c>
      <c r="F517" s="34" t="str">
        <f>IFERROR(VLOOKUP(VENTAS[[#This Row],[Código del producto Vendido]],STOCK[],5,FALSE),"-")</f>
        <v>Top cisne acanalado</v>
      </c>
      <c r="G517" s="34">
        <v>1</v>
      </c>
      <c r="H517" s="35">
        <v>12</v>
      </c>
      <c r="I517" s="35">
        <f>VENTAS[[#This Row],[Cantidad]]*VENTAS[[#This Row],[Precio Venta]]</f>
        <v>12</v>
      </c>
      <c r="J517" s="35">
        <f>IF(VENTAS[[#This Row],[Nombre del Gestor]]&gt;1,VENTAS[[#This Row],[Total]]*10%,0)</f>
        <v>0</v>
      </c>
      <c r="K517" s="35">
        <f>IFERROR(VLOOKUP(VENTAS[[#This Row],[Código del producto Vendido]],STOCK[],16,FALSE)*VENTAS[[#This Row],[Cantidad]]+VLOOKUP(VENTAS[[#This Row],[Código del producto Vendido]],STOCK[],19,FALSE)*VENTAS[[#This Row],[Cantidad]],VENTAS[[#This Row],[Total]])</f>
        <v>9.28</v>
      </c>
      <c r="L517" s="35">
        <f>VENTAS[[#This Row],[Total]]-VENTAS[[#This Row],[Comisión 10%]]-VENTAS[[#This Row],[Costo SIN Comision]]</f>
        <v>2.72</v>
      </c>
      <c r="M517" s="35"/>
    </row>
    <row r="518" ht="20" customHeight="1" spans="1:13">
      <c r="A518" s="29">
        <v>45180</v>
      </c>
      <c r="B518" s="30"/>
      <c r="C518" s="30" t="s">
        <v>3389</v>
      </c>
      <c r="D518" s="30"/>
      <c r="E518" s="30" t="s">
        <v>181</v>
      </c>
      <c r="F518" s="34" t="str">
        <f>IFERROR(VLOOKUP(VENTAS[[#This Row],[Código del producto Vendido]],STOCK[],5,FALSE),"-")</f>
        <v>Top de manga farol con abertura en espalda</v>
      </c>
      <c r="G518" s="34">
        <v>1</v>
      </c>
      <c r="H518" s="35">
        <v>14</v>
      </c>
      <c r="I518" s="35">
        <f>VENTAS[[#This Row],[Cantidad]]*VENTAS[[#This Row],[Precio Venta]]</f>
        <v>14</v>
      </c>
      <c r="J518" s="35">
        <f>IF(VENTAS[[#This Row],[Nombre del Gestor]]&gt;1,VENTAS[[#This Row],[Total]]*10%,0)</f>
        <v>0</v>
      </c>
      <c r="K518" s="35">
        <f>IFERROR(VLOOKUP(VENTAS[[#This Row],[Código del producto Vendido]],STOCK[],16,FALSE)*VENTAS[[#This Row],[Cantidad]]+VLOOKUP(VENTAS[[#This Row],[Código del producto Vendido]],STOCK[],19,FALSE)*VENTAS[[#This Row],[Cantidad]],VENTAS[[#This Row],[Total]])</f>
        <v>8.89777777777778</v>
      </c>
      <c r="L518" s="35">
        <f>VENTAS[[#This Row],[Total]]-VENTAS[[#This Row],[Comisión 10%]]-VENTAS[[#This Row],[Costo SIN Comision]]</f>
        <v>5.10222222222222</v>
      </c>
      <c r="M518" s="35"/>
    </row>
    <row r="519" ht="20" customHeight="1" spans="1:13">
      <c r="A519" s="29">
        <v>45180</v>
      </c>
      <c r="B519" s="30"/>
      <c r="C519" s="30" t="s">
        <v>3343</v>
      </c>
      <c r="D519" s="30"/>
      <c r="E519" s="30" t="s">
        <v>425</v>
      </c>
      <c r="F519" s="34" t="str">
        <f>IFERROR(VLOOKUP(VENTAS[[#This Row],[Código del producto Vendido]],STOCK[],5,FALSE),"-")</f>
        <v>Mono Bohemiocon cinturón </v>
      </c>
      <c r="G519" s="34">
        <v>1</v>
      </c>
      <c r="H519" s="35">
        <v>14.7</v>
      </c>
      <c r="I519" s="35">
        <f>VENTAS[[#This Row],[Cantidad]]*VENTAS[[#This Row],[Precio Venta]]</f>
        <v>14.7</v>
      </c>
      <c r="J519" s="35">
        <f>IF(VENTAS[[#This Row],[Nombre del Gestor]]&gt;1,VENTAS[[#This Row],[Total]]*10%,0)</f>
        <v>0</v>
      </c>
      <c r="K519" s="35">
        <f>IFERROR(VLOOKUP(VENTAS[[#This Row],[Código del producto Vendido]],STOCK[],16,FALSE)*VENTAS[[#This Row],[Cantidad]]+VLOOKUP(VENTAS[[#This Row],[Código del producto Vendido]],STOCK[],19,FALSE)*VENTAS[[#This Row],[Cantidad]],VENTAS[[#This Row],[Total]])</f>
        <v>14.7022222222222</v>
      </c>
      <c r="L519" s="35">
        <f>VENTAS[[#This Row],[Total]]-VENTAS[[#This Row],[Comisión 10%]]-VENTAS[[#This Row],[Costo SIN Comision]]</f>
        <v>-0.00222222222220125</v>
      </c>
      <c r="M519" s="35"/>
    </row>
    <row r="520" ht="20" customHeight="1" spans="1:13">
      <c r="A520" s="29">
        <v>45180</v>
      </c>
      <c r="B520" s="30"/>
      <c r="C520" s="30" t="s">
        <v>3343</v>
      </c>
      <c r="D520" s="30"/>
      <c r="E520" s="66" t="s">
        <v>1142</v>
      </c>
      <c r="F520" s="34" t="str">
        <f>IFERROR(VLOOKUP(VENTAS[[#This Row],[Código del producto Vendido]],STOCK[],5,FALSE),"-")</f>
        <v>Short de playa </v>
      </c>
      <c r="G520" s="34">
        <v>1</v>
      </c>
      <c r="H520" s="35">
        <v>16.27</v>
      </c>
      <c r="I520" s="35">
        <f>VENTAS[[#This Row],[Cantidad]]*VENTAS[[#This Row],[Precio Venta]]</f>
        <v>16.27</v>
      </c>
      <c r="J520" s="35">
        <f>IF(VENTAS[[#This Row],[Nombre del Gestor]]&gt;1,VENTAS[[#This Row],[Total]]*10%,0)</f>
        <v>0</v>
      </c>
      <c r="K520" s="35">
        <f>IFERROR(VLOOKUP(VENTAS[[#This Row],[Código del producto Vendido]],STOCK[],16,FALSE)*VENTAS[[#This Row],[Cantidad]]+VLOOKUP(VENTAS[[#This Row],[Código del producto Vendido]],STOCK[],19,FALSE)*VENTAS[[#This Row],[Cantidad]],VENTAS[[#This Row],[Total]])</f>
        <v>16.2705882352941</v>
      </c>
      <c r="L520" s="35">
        <f>VENTAS[[#This Row],[Total]]-VENTAS[[#This Row],[Comisión 10%]]-VENTAS[[#This Row],[Costo SIN Comision]]</f>
        <v>-0.000588235294099348</v>
      </c>
      <c r="M520" s="35"/>
    </row>
    <row r="521" ht="20" customHeight="1" spans="1:13">
      <c r="A521" s="29">
        <v>45174</v>
      </c>
      <c r="B521" s="30"/>
      <c r="C521" s="30" t="s">
        <v>3441</v>
      </c>
      <c r="D521" s="30"/>
      <c r="E521" s="66" t="s">
        <v>1134</v>
      </c>
      <c r="F521" s="34" t="str">
        <f>IFERROR(VLOOKUP(VENTAS[[#This Row],[Código del producto Vendido]],STOCK[],5,FALSE),"-")</f>
        <v>Vestido ajustado Mora</v>
      </c>
      <c r="G521" s="34">
        <v>1</v>
      </c>
      <c r="H521" s="35">
        <v>30</v>
      </c>
      <c r="I521" s="35">
        <f>VENTAS[[#This Row],[Cantidad]]*VENTAS[[#This Row],[Precio Venta]]</f>
        <v>30</v>
      </c>
      <c r="J521" s="35">
        <f>IF(VENTAS[[#This Row],[Nombre del Gestor]]&gt;1,VENTAS[[#This Row],[Total]]*10%,0)</f>
        <v>0</v>
      </c>
      <c r="K521" s="35">
        <f>IFERROR(VLOOKUP(VENTAS[[#This Row],[Código del producto Vendido]],STOCK[],16,FALSE)*VENTAS[[#This Row],[Cantidad]]+VLOOKUP(VENTAS[[#This Row],[Código del producto Vendido]],STOCK[],19,FALSE)*VENTAS[[#This Row],[Cantidad]],VENTAS[[#This Row],[Total]])</f>
        <v>22.0147058823529</v>
      </c>
      <c r="L521" s="35">
        <f>VENTAS[[#This Row],[Total]]-VENTAS[[#This Row],[Comisión 10%]]-VENTAS[[#This Row],[Costo SIN Comision]]</f>
        <v>7.9852941176471</v>
      </c>
      <c r="M521" s="35"/>
    </row>
    <row r="522" ht="20" customHeight="1" spans="1:13">
      <c r="A522" s="29">
        <v>45174</v>
      </c>
      <c r="B522" s="30"/>
      <c r="C522" s="30" t="s">
        <v>3441</v>
      </c>
      <c r="D522" s="30"/>
      <c r="E522" s="66" t="s">
        <v>1050</v>
      </c>
      <c r="F522" s="34" t="str">
        <f>IFERROR(VLOOKUP(VENTAS[[#This Row],[Código del producto Vendido]],STOCK[],5,FALSE),"-")</f>
        <v>Pantaloneta Camel</v>
      </c>
      <c r="G522" s="34">
        <v>1</v>
      </c>
      <c r="H522" s="35">
        <v>30</v>
      </c>
      <c r="I522" s="35">
        <f>VENTAS[[#This Row],[Cantidad]]*VENTAS[[#This Row],[Precio Venta]]</f>
        <v>30</v>
      </c>
      <c r="J522" s="35">
        <f>IF(VENTAS[[#This Row],[Nombre del Gestor]]&gt;1,VENTAS[[#This Row],[Total]]*10%,0)</f>
        <v>0</v>
      </c>
      <c r="K522" s="35">
        <f>IFERROR(VLOOKUP(VENTAS[[#This Row],[Código del producto Vendido]],STOCK[],16,FALSE)*VENTAS[[#This Row],[Cantidad]]+VLOOKUP(VENTAS[[#This Row],[Código del producto Vendido]],STOCK[],19,FALSE)*VENTAS[[#This Row],[Cantidad]],VENTAS[[#This Row],[Total]])</f>
        <v>18.6477272727273</v>
      </c>
      <c r="L522" s="35">
        <f>VENTAS[[#This Row],[Total]]-VENTAS[[#This Row],[Comisión 10%]]-VENTAS[[#This Row],[Costo SIN Comision]]</f>
        <v>11.3522727272727</v>
      </c>
      <c r="M522" s="35"/>
    </row>
    <row r="523" ht="20" customHeight="1" spans="1:13">
      <c r="A523" s="29">
        <v>45174</v>
      </c>
      <c r="B523" s="30" t="s">
        <v>3442</v>
      </c>
      <c r="C523" s="30" t="s">
        <v>3441</v>
      </c>
      <c r="D523" s="30"/>
      <c r="E523" s="66" t="s">
        <v>248</v>
      </c>
      <c r="F523" s="34" t="str">
        <f>IFERROR(VLOOKUP(VENTAS[[#This Row],[Código del producto Vendido]],STOCK[],5,FALSE),"-")</f>
        <v>Vestido con abertura con botón floral de margarita</v>
      </c>
      <c r="G523" s="34">
        <v>1</v>
      </c>
      <c r="H523" s="35">
        <v>20</v>
      </c>
      <c r="I523" s="35">
        <f>VENTAS[[#This Row],[Cantidad]]*VENTAS[[#This Row],[Precio Venta]]</f>
        <v>20</v>
      </c>
      <c r="J523" s="35">
        <f>IF(VENTAS[[#This Row],[Nombre del Gestor]]&gt;1,VENTAS[[#This Row],[Total]]*10%,0)</f>
        <v>0</v>
      </c>
      <c r="K523" s="35">
        <f>IFERROR(VLOOKUP(VENTAS[[#This Row],[Código del producto Vendido]],STOCK[],16,FALSE)*VENTAS[[#This Row],[Cantidad]]+VLOOKUP(VENTAS[[#This Row],[Código del producto Vendido]],STOCK[],19,FALSE)*VENTAS[[#This Row],[Cantidad]],VENTAS[[#This Row],[Total]])</f>
        <v>17.2</v>
      </c>
      <c r="L523" s="35">
        <f>VENTAS[[#This Row],[Total]]-VENTAS[[#This Row],[Comisión 10%]]-VENTAS[[#This Row],[Costo SIN Comision]]</f>
        <v>2.8</v>
      </c>
      <c r="M523" s="35"/>
    </row>
    <row r="524" ht="20" customHeight="1" spans="1:13">
      <c r="A524" s="29">
        <v>45174</v>
      </c>
      <c r="B524" s="30"/>
      <c r="C524" s="30" t="s">
        <v>3441</v>
      </c>
      <c r="D524" s="30"/>
      <c r="E524" s="66" t="s">
        <v>45</v>
      </c>
      <c r="F524" s="34" t="str">
        <f>IFERROR(VLOOKUP(VENTAS[[#This Row],[Código del producto Vendido]],STOCK[],5,FALSE),"-")</f>
        <v>Vestido Camisero Elegante</v>
      </c>
      <c r="G524" s="34">
        <v>1</v>
      </c>
      <c r="H524" s="35">
        <v>30</v>
      </c>
      <c r="I524" s="35">
        <f>VENTAS[[#This Row],[Cantidad]]*VENTAS[[#This Row],[Precio Venta]]</f>
        <v>30</v>
      </c>
      <c r="J524" s="35">
        <f>IF(VENTAS[[#This Row],[Nombre del Gestor]]&gt;1,VENTAS[[#This Row],[Total]]*10%,0)</f>
        <v>0</v>
      </c>
      <c r="K524" s="35">
        <f>IFERROR(VLOOKUP(VENTAS[[#This Row],[Código del producto Vendido]],STOCK[],16,FALSE)*VENTAS[[#This Row],[Cantidad]]+VLOOKUP(VENTAS[[#This Row],[Código del producto Vendido]],STOCK[],19,FALSE)*VENTAS[[#This Row],[Cantidad]],VENTAS[[#This Row],[Total]])</f>
        <v>19.0022222222222</v>
      </c>
      <c r="L524" s="35">
        <f>VENTAS[[#This Row],[Total]]-VENTAS[[#This Row],[Comisión 10%]]-VENTAS[[#This Row],[Costo SIN Comision]]</f>
        <v>10.9977777777778</v>
      </c>
      <c r="M524" s="35"/>
    </row>
    <row r="525" ht="20" customHeight="1" spans="1:13">
      <c r="A525" s="29">
        <v>45181</v>
      </c>
      <c r="B525" s="30"/>
      <c r="C525" s="30" t="s">
        <v>3443</v>
      </c>
      <c r="D525" s="30"/>
      <c r="E525" s="66" t="s">
        <v>1260</v>
      </c>
      <c r="F525" s="34" t="str">
        <f>IFERROR(VLOOKUP(VENTAS[[#This Row],[Código del producto Vendido]],STOCK[],5,FALSE),"-")</f>
        <v>Maxi vestido playero naranja quemada</v>
      </c>
      <c r="G525" s="34">
        <v>1</v>
      </c>
      <c r="H525" s="35">
        <v>35</v>
      </c>
      <c r="I525" s="35">
        <f>VENTAS[[#This Row],[Cantidad]]*VENTAS[[#This Row],[Precio Venta]]</f>
        <v>35</v>
      </c>
      <c r="J525" s="35">
        <f>IF(VENTAS[[#This Row],[Nombre del Gestor]]&gt;1,VENTAS[[#This Row],[Total]]*10%,0)</f>
        <v>0</v>
      </c>
      <c r="K525" s="35">
        <f>IFERROR(VLOOKUP(VENTAS[[#This Row],[Código del producto Vendido]],STOCK[],16,FALSE)*VENTAS[[#This Row],[Cantidad]]+VLOOKUP(VENTAS[[#This Row],[Código del producto Vendido]],STOCK[],19,FALSE)*VENTAS[[#This Row],[Cantidad]],VENTAS[[#This Row],[Total]])</f>
        <v>23.95</v>
      </c>
      <c r="L525" s="35">
        <f>VENTAS[[#This Row],[Total]]-VENTAS[[#This Row],[Comisión 10%]]-VENTAS[[#This Row],[Costo SIN Comision]]</f>
        <v>11.05</v>
      </c>
      <c r="M525" s="35"/>
    </row>
    <row r="526" ht="20" customHeight="1" spans="1:13">
      <c r="A526" s="29">
        <v>45181</v>
      </c>
      <c r="B526" s="30"/>
      <c r="C526" s="30" t="s">
        <v>3444</v>
      </c>
      <c r="D526" s="30"/>
      <c r="E526" s="66" t="s">
        <v>1254</v>
      </c>
      <c r="F526" s="34" t="str">
        <f>IFERROR(VLOOKUP(VENTAS[[#This Row],[Código del producto Vendido]],STOCK[],5,FALSE),"-")</f>
        <v>Pantaloneta verde</v>
      </c>
      <c r="G526" s="34">
        <v>1</v>
      </c>
      <c r="H526" s="35">
        <v>25</v>
      </c>
      <c r="I526" s="35">
        <f>VENTAS[[#This Row],[Cantidad]]*VENTAS[[#This Row],[Precio Venta]]</f>
        <v>25</v>
      </c>
      <c r="J526" s="35">
        <f>IF(VENTAS[[#This Row],[Nombre del Gestor]]&gt;1,VENTAS[[#This Row],[Total]]*10%,0)</f>
        <v>0</v>
      </c>
      <c r="K526" s="35">
        <f>IFERROR(VLOOKUP(VENTAS[[#This Row],[Código del producto Vendido]],STOCK[],16,FALSE)*VENTAS[[#This Row],[Cantidad]]+VLOOKUP(VENTAS[[#This Row],[Código del producto Vendido]],STOCK[],19,FALSE)*VENTAS[[#This Row],[Cantidad]],VENTAS[[#This Row],[Total]])</f>
        <v>18.3</v>
      </c>
      <c r="L526" s="35">
        <f>VENTAS[[#This Row],[Total]]-VENTAS[[#This Row],[Comisión 10%]]-VENTAS[[#This Row],[Costo SIN Comision]]</f>
        <v>6.7</v>
      </c>
      <c r="M526" s="35"/>
    </row>
    <row r="527" ht="20" customHeight="1" spans="1:13">
      <c r="A527" s="29">
        <v>45181</v>
      </c>
      <c r="B527" s="30"/>
      <c r="C527" s="30" t="s">
        <v>3444</v>
      </c>
      <c r="D527" s="30"/>
      <c r="E527" s="66" t="s">
        <v>1272</v>
      </c>
      <c r="F527" s="34" t="str">
        <f>IFERROR(VLOOKUP(VENTAS[[#This Row],[Código del producto Vendido]],STOCK[],5,FALSE),"-")</f>
        <v>Top de cuello V con encaje</v>
      </c>
      <c r="G527" s="34">
        <v>1</v>
      </c>
      <c r="H527" s="35">
        <v>12</v>
      </c>
      <c r="I527" s="35">
        <f>VENTAS[[#This Row],[Cantidad]]*VENTAS[[#This Row],[Precio Venta]]</f>
        <v>12</v>
      </c>
      <c r="J527" s="35">
        <f>IF(VENTAS[[#This Row],[Nombre del Gestor]]&gt;1,VENTAS[[#This Row],[Total]]*10%,0)</f>
        <v>0</v>
      </c>
      <c r="K527" s="35">
        <f>IFERROR(VLOOKUP(VENTAS[[#This Row],[Código del producto Vendido]],STOCK[],16,FALSE)*VENTAS[[#This Row],[Cantidad]]+VLOOKUP(VENTAS[[#This Row],[Código del producto Vendido]],STOCK[],19,FALSE)*VENTAS[[#This Row],[Cantidad]],VENTAS[[#This Row],[Total]])</f>
        <v>7.97</v>
      </c>
      <c r="L527" s="35">
        <f>VENTAS[[#This Row],[Total]]-VENTAS[[#This Row],[Comisión 10%]]-VENTAS[[#This Row],[Costo SIN Comision]]</f>
        <v>4.03</v>
      </c>
      <c r="M527" s="35"/>
    </row>
    <row r="528" ht="20" customHeight="1" spans="1:13">
      <c r="A528" s="29">
        <v>45182</v>
      </c>
      <c r="B528" s="30"/>
      <c r="C528" s="30" t="s">
        <v>3445</v>
      </c>
      <c r="D528" s="30"/>
      <c r="E528" s="66"/>
      <c r="F528" s="34" t="str">
        <f>IFERROR(VLOOKUP(VENTAS[[#This Row],[Código del producto Vendido]],STOCK[],5,FALSE),"-")</f>
        <v>-</v>
      </c>
      <c r="G528" s="34">
        <v>0</v>
      </c>
      <c r="H528" s="35">
        <v>0</v>
      </c>
      <c r="I528" s="35">
        <f>VENTAS[[#This Row],[Cantidad]]*VENTAS[[#This Row],[Precio Venta]]</f>
        <v>0</v>
      </c>
      <c r="J528" s="35">
        <f>IF(VENTAS[[#This Row],[Nombre del Gestor]]&gt;1,VENTAS[[#This Row],[Total]]*10%,0)</f>
        <v>0</v>
      </c>
      <c r="K528" s="35">
        <f>IFERROR(VLOOKUP(VENTAS[[#This Row],[Código del producto Vendido]],STOCK[],16,FALSE)*VENTAS[[#This Row],[Cantidad]]+VLOOKUP(VENTAS[[#This Row],[Código del producto Vendido]],STOCK[],19,FALSE)*VENTAS[[#This Row],[Cantidad]],VENTAS[[#This Row],[Total]])</f>
        <v>0</v>
      </c>
      <c r="L528" s="35">
        <f>VENTAS[[#This Row],[Total]]-VENTAS[[#This Row],[Comisión 10%]]-VENTAS[[#This Row],[Costo SIN Comision]]</f>
        <v>0</v>
      </c>
      <c r="M528" s="35"/>
    </row>
    <row r="529" ht="20" customHeight="1" spans="1:13">
      <c r="A529" s="29" t="s">
        <v>3446</v>
      </c>
      <c r="B529" s="30"/>
      <c r="C529" s="30"/>
      <c r="D529" s="30"/>
      <c r="E529" s="66" t="s">
        <v>895</v>
      </c>
      <c r="F529" s="34" t="str">
        <f>IFERROR(VLOOKUP(VENTAS[[#This Row],[Código del producto Vendido]],STOCK[],5,FALSE),"-")</f>
        <v>Top Cisne Blanco</v>
      </c>
      <c r="G529" s="34">
        <v>1</v>
      </c>
      <c r="H529" s="35">
        <v>14</v>
      </c>
      <c r="I529" s="35">
        <f>VENTAS[[#This Row],[Cantidad]]*VENTAS[[#This Row],[Precio Venta]]</f>
        <v>14</v>
      </c>
      <c r="J529" s="35">
        <f>IF(VENTAS[[#This Row],[Nombre del Gestor]]&gt;1,VENTAS[[#This Row],[Total]]*10%,0)</f>
        <v>0</v>
      </c>
      <c r="K529" s="35">
        <f>IFERROR(VLOOKUP(VENTAS[[#This Row],[Código del producto Vendido]],STOCK[],16,FALSE)*VENTAS[[#This Row],[Cantidad]]+VLOOKUP(VENTAS[[#This Row],[Código del producto Vendido]],STOCK[],19,FALSE)*VENTAS[[#This Row],[Cantidad]],VENTAS[[#This Row],[Total]])</f>
        <v>7.97318181818182</v>
      </c>
      <c r="L529" s="35">
        <f>VENTAS[[#This Row],[Total]]-VENTAS[[#This Row],[Comisión 10%]]-VENTAS[[#This Row],[Costo SIN Comision]]</f>
        <v>6.02681818181818</v>
      </c>
      <c r="M529" s="35"/>
    </row>
    <row r="530" ht="20" customHeight="1" spans="1:13">
      <c r="A530" s="29" t="s">
        <v>3446</v>
      </c>
      <c r="B530" s="30"/>
      <c r="C530" s="30"/>
      <c r="D530" s="30"/>
      <c r="E530" s="66" t="s">
        <v>892</v>
      </c>
      <c r="F530" s="34" t="str">
        <f>IFERROR(VLOOKUP(VENTAS[[#This Row],[Código del producto Vendido]],STOCK[],5,FALSE),"-")</f>
        <v>Top Cisne Blanco</v>
      </c>
      <c r="G530" s="34">
        <v>1</v>
      </c>
      <c r="H530" s="35">
        <v>12</v>
      </c>
      <c r="I530" s="35">
        <f>VENTAS[[#This Row],[Cantidad]]*VENTAS[[#This Row],[Precio Venta]]</f>
        <v>12</v>
      </c>
      <c r="J530" s="35">
        <f>IF(VENTAS[[#This Row],[Nombre del Gestor]]&gt;1,VENTAS[[#This Row],[Total]]*10%,0)</f>
        <v>0</v>
      </c>
      <c r="K530" s="35">
        <f>IFERROR(VLOOKUP(VENTAS[[#This Row],[Código del producto Vendido]],STOCK[],16,FALSE)*VENTAS[[#This Row],[Cantidad]]+VLOOKUP(VENTAS[[#This Row],[Código del producto Vendido]],STOCK[],19,FALSE)*VENTAS[[#This Row],[Cantidad]],VENTAS[[#This Row],[Total]])</f>
        <v>7.97318181818182</v>
      </c>
      <c r="L530" s="35">
        <f>VENTAS[[#This Row],[Total]]-VENTAS[[#This Row],[Comisión 10%]]-VENTAS[[#This Row],[Costo SIN Comision]]</f>
        <v>4.02681818181818</v>
      </c>
      <c r="M530" s="35"/>
    </row>
    <row r="531" ht="20" customHeight="1" spans="1:13">
      <c r="A531" s="29" t="s">
        <v>3446</v>
      </c>
      <c r="B531" s="30"/>
      <c r="C531" s="30"/>
      <c r="D531" s="30"/>
      <c r="E531" s="66" t="s">
        <v>1017</v>
      </c>
      <c r="F531" s="34" t="str">
        <f>IFERROR(VLOOKUP(VENTAS[[#This Row],[Código del producto Vendido]],STOCK[],5,FALSE),"-")</f>
        <v>Top Dreamer Negro</v>
      </c>
      <c r="G531" s="34">
        <v>1</v>
      </c>
      <c r="H531" s="35">
        <v>12</v>
      </c>
      <c r="I531" s="35">
        <f>VENTAS[[#This Row],[Cantidad]]*VENTAS[[#This Row],[Precio Venta]]</f>
        <v>12</v>
      </c>
      <c r="J531" s="35">
        <f>IF(VENTAS[[#This Row],[Nombre del Gestor]]&gt;1,VENTAS[[#This Row],[Total]]*10%,0)</f>
        <v>0</v>
      </c>
      <c r="K531" s="35">
        <f>IFERROR(VLOOKUP(VENTAS[[#This Row],[Código del producto Vendido]],STOCK[],16,FALSE)*VENTAS[[#This Row],[Cantidad]]+VLOOKUP(VENTAS[[#This Row],[Código del producto Vendido]],STOCK[],19,FALSE)*VENTAS[[#This Row],[Cantidad]],VENTAS[[#This Row],[Total]])</f>
        <v>7.15681818181818</v>
      </c>
      <c r="L531" s="35">
        <f>VENTAS[[#This Row],[Total]]-VENTAS[[#This Row],[Comisión 10%]]-VENTAS[[#This Row],[Costo SIN Comision]]</f>
        <v>4.84318181818182</v>
      </c>
      <c r="M531" s="35"/>
    </row>
    <row r="532" ht="20" customHeight="1" spans="1:13">
      <c r="A532" s="29" t="s">
        <v>3446</v>
      </c>
      <c r="B532" s="30"/>
      <c r="C532" s="30"/>
      <c r="D532" s="30"/>
      <c r="E532" s="30" t="s">
        <v>597</v>
      </c>
      <c r="F532" s="34" t="str">
        <f>IFERROR(VLOOKUP(VENTAS[[#This Row],[Código del producto Vendido]],STOCK[],5,FALSE),"-")</f>
        <v>Top corsetero asimétrico</v>
      </c>
      <c r="G532" s="34">
        <v>1</v>
      </c>
      <c r="H532" s="35">
        <v>10</v>
      </c>
      <c r="I532" s="35">
        <f>VENTAS[[#This Row],[Cantidad]]*VENTAS[[#This Row],[Precio Venta]]</f>
        <v>10</v>
      </c>
      <c r="J532" s="35">
        <f>IF(VENTAS[[#This Row],[Nombre del Gestor]]&gt;1,VENTAS[[#This Row],[Total]]*10%,0)</f>
        <v>0</v>
      </c>
      <c r="K532" s="35">
        <f>IFERROR(VLOOKUP(VENTAS[[#This Row],[Código del producto Vendido]],STOCK[],16,FALSE)*VENTAS[[#This Row],[Cantidad]]+VLOOKUP(VENTAS[[#This Row],[Código del producto Vendido]],STOCK[],19,FALSE)*VENTAS[[#This Row],[Cantidad]],VENTAS[[#This Row],[Total]])</f>
        <v>5.56833333333333</v>
      </c>
      <c r="L532" s="35">
        <f>VENTAS[[#This Row],[Total]]-VENTAS[[#This Row],[Comisión 10%]]-VENTAS[[#This Row],[Costo SIN Comision]]</f>
        <v>4.43166666666667</v>
      </c>
      <c r="M532" s="35"/>
    </row>
    <row r="533" ht="20" customHeight="1" spans="1:13">
      <c r="A533" s="29" t="s">
        <v>3446</v>
      </c>
      <c r="B533" s="30"/>
      <c r="C533" s="30"/>
      <c r="D533" s="30"/>
      <c r="E533" s="30" t="s">
        <v>599</v>
      </c>
      <c r="F533" s="34" t="str">
        <f>IFERROR(VLOOKUP(VENTAS[[#This Row],[Código del producto Vendido]],STOCK[],5,FALSE),"-")</f>
        <v>Top corsetero asimétrico</v>
      </c>
      <c r="G533" s="34">
        <v>2</v>
      </c>
      <c r="H533" s="35">
        <v>10</v>
      </c>
      <c r="I533" s="35">
        <f>VENTAS[[#This Row],[Cantidad]]*VENTAS[[#This Row],[Precio Venta]]</f>
        <v>20</v>
      </c>
      <c r="J533" s="35">
        <f>IF(VENTAS[[#This Row],[Nombre del Gestor]]&gt;1,VENTAS[[#This Row],[Total]]*10%,0)</f>
        <v>0</v>
      </c>
      <c r="K533" s="35">
        <f>IFERROR(VLOOKUP(VENTAS[[#This Row],[Código del producto Vendido]],STOCK[],16,FALSE)*VENTAS[[#This Row],[Cantidad]]+VLOOKUP(VENTAS[[#This Row],[Código del producto Vendido]],STOCK[],19,FALSE)*VENTAS[[#This Row],[Cantidad]],VENTAS[[#This Row],[Total]])</f>
        <v>11.1366666666667</v>
      </c>
      <c r="L533" s="35">
        <f>VENTAS[[#This Row],[Total]]-VENTAS[[#This Row],[Comisión 10%]]-VENTAS[[#This Row],[Costo SIN Comision]]</f>
        <v>8.86333333333334</v>
      </c>
      <c r="M533" s="35"/>
    </row>
    <row r="534" ht="20" customHeight="1" spans="1:13">
      <c r="A534" s="29" t="s">
        <v>3446</v>
      </c>
      <c r="B534" s="30"/>
      <c r="C534" s="30"/>
      <c r="D534" s="30"/>
      <c r="E534" s="30" t="s">
        <v>1026</v>
      </c>
      <c r="F534" s="34" t="str">
        <f>IFERROR(VLOOKUP(VENTAS[[#This Row],[Código del producto Vendido]],STOCK[],5,FALSE),"-")</f>
        <v>Top Dreamer Blanco</v>
      </c>
      <c r="G534" s="34">
        <v>1</v>
      </c>
      <c r="H534" s="35">
        <v>12</v>
      </c>
      <c r="I534" s="35">
        <f>VENTAS[[#This Row],[Cantidad]]*VENTAS[[#This Row],[Precio Venta]]</f>
        <v>12</v>
      </c>
      <c r="J534" s="35">
        <f>IF(VENTAS[[#This Row],[Nombre del Gestor]]&gt;1,VENTAS[[#This Row],[Total]]*10%,0)</f>
        <v>0</v>
      </c>
      <c r="K534" s="35">
        <f>IFERROR(VLOOKUP(VENTAS[[#This Row],[Código del producto Vendido]],STOCK[],16,FALSE)*VENTAS[[#This Row],[Cantidad]]+VLOOKUP(VENTAS[[#This Row],[Código del producto Vendido]],STOCK[],19,FALSE)*VENTAS[[#This Row],[Cantidad]],VENTAS[[#This Row],[Total]])</f>
        <v>6.75909090909091</v>
      </c>
      <c r="L534" s="35">
        <f>VENTAS[[#This Row],[Total]]-VENTAS[[#This Row],[Comisión 10%]]-VENTAS[[#This Row],[Costo SIN Comision]]</f>
        <v>5.24090909090909</v>
      </c>
      <c r="M534" s="35"/>
    </row>
    <row r="535" ht="20" customHeight="1" spans="1:13">
      <c r="A535" s="29" t="s">
        <v>3446</v>
      </c>
      <c r="B535" s="30"/>
      <c r="C535" s="30"/>
      <c r="D535" s="30"/>
      <c r="E535" s="30" t="s">
        <v>1108</v>
      </c>
      <c r="F535" s="34" t="str">
        <f>IFERROR(VLOOKUP(VENTAS[[#This Row],[Código del producto Vendido]],STOCK[],5,FALSE),"-")</f>
        <v>Jumpsuit culotte</v>
      </c>
      <c r="G535" s="34">
        <v>1</v>
      </c>
      <c r="H535" s="35">
        <v>22</v>
      </c>
      <c r="I535" s="35">
        <f>VENTAS[[#This Row],[Cantidad]]*VENTAS[[#This Row],[Precio Venta]]</f>
        <v>22</v>
      </c>
      <c r="J535" s="35">
        <f>IF(VENTAS[[#This Row],[Nombre del Gestor]]&gt;1,VENTAS[[#This Row],[Total]]*10%,0)</f>
        <v>0</v>
      </c>
      <c r="K535" s="35">
        <f>IFERROR(VLOOKUP(VENTAS[[#This Row],[Código del producto Vendido]],STOCK[],16,FALSE)*VENTAS[[#This Row],[Cantidad]]+VLOOKUP(VENTAS[[#This Row],[Código del producto Vendido]],STOCK[],19,FALSE)*VENTAS[[#This Row],[Cantidad]],VENTAS[[#This Row],[Total]])</f>
        <v>18.4279411764706</v>
      </c>
      <c r="L535" s="35">
        <f>VENTAS[[#This Row],[Total]]-VENTAS[[#This Row],[Comisión 10%]]-VENTAS[[#This Row],[Costo SIN Comision]]</f>
        <v>3.5720588235294</v>
      </c>
      <c r="M535" s="35"/>
    </row>
    <row r="536" ht="20" customHeight="1" spans="1:13">
      <c r="A536" s="29" t="s">
        <v>3446</v>
      </c>
      <c r="B536" s="30"/>
      <c r="C536" s="30"/>
      <c r="D536" s="30"/>
      <c r="E536" s="30" t="s">
        <v>1119</v>
      </c>
      <c r="F536" s="34" t="str">
        <f>IFERROR(VLOOKUP(VENTAS[[#This Row],[Código del producto Vendido]],STOCK[],5,FALSE),"-")</f>
        <v>Set de lencería de encaje</v>
      </c>
      <c r="G536" s="34">
        <v>1</v>
      </c>
      <c r="H536" s="35">
        <v>12</v>
      </c>
      <c r="I536" s="35">
        <f>VENTAS[[#This Row],[Cantidad]]*VENTAS[[#This Row],[Precio Venta]]</f>
        <v>12</v>
      </c>
      <c r="J536" s="35">
        <f>IF(VENTAS[[#This Row],[Nombre del Gestor]]&gt;1,VENTAS[[#This Row],[Total]]*10%,0)</f>
        <v>0</v>
      </c>
      <c r="K536" s="35">
        <f>IFERROR(VLOOKUP(VENTAS[[#This Row],[Código del producto Vendido]],STOCK[],16,FALSE)*VENTAS[[#This Row],[Cantidad]]+VLOOKUP(VENTAS[[#This Row],[Código del producto Vendido]],STOCK[],19,FALSE)*VENTAS[[#This Row],[Cantidad]],VENTAS[[#This Row],[Total]])</f>
        <v>7.10882352941176</v>
      </c>
      <c r="L536" s="35">
        <f>VENTAS[[#This Row],[Total]]-VENTAS[[#This Row],[Comisión 10%]]-VENTAS[[#This Row],[Costo SIN Comision]]</f>
        <v>4.89117647058824</v>
      </c>
      <c r="M536" s="35"/>
    </row>
    <row r="537" ht="20" customHeight="1" spans="1:13">
      <c r="A537" s="29">
        <v>45521</v>
      </c>
      <c r="B537" s="30"/>
      <c r="C537" s="30" t="s">
        <v>3447</v>
      </c>
      <c r="D537" s="30" t="s">
        <v>3448</v>
      </c>
      <c r="E537" s="30" t="s">
        <v>1122</v>
      </c>
      <c r="F537" s="34" t="str">
        <f>IFERROR(VLOOKUP(VENTAS[[#This Row],[Código del producto Vendido]],STOCK[],5,FALSE),"-")</f>
        <v>Sandalias de tacón con tiras </v>
      </c>
      <c r="G537" s="34">
        <v>1</v>
      </c>
      <c r="H537" s="35">
        <v>40</v>
      </c>
      <c r="I537" s="35">
        <f>VENTAS[[#This Row],[Cantidad]]*VENTAS[[#This Row],[Precio Venta]]</f>
        <v>40</v>
      </c>
      <c r="J537" s="35">
        <f>IF(VENTAS[[#This Row],[Nombre del Gestor]]&gt;1,VENTAS[[#This Row],[Total]]*10%,0)</f>
        <v>4</v>
      </c>
      <c r="K537" s="35">
        <f>IFERROR(VLOOKUP(VENTAS[[#This Row],[Código del producto Vendido]],STOCK[],16,FALSE)*VENTAS[[#This Row],[Cantidad]]+VLOOKUP(VENTAS[[#This Row],[Código del producto Vendido]],STOCK[],19,FALSE)*VENTAS[[#This Row],[Cantidad]],VENTAS[[#This Row],[Total]])</f>
        <v>27.1529411764706</v>
      </c>
      <c r="L537" s="35">
        <f>VENTAS[[#This Row],[Total]]-VENTAS[[#This Row],[Comisión 10%]]-VENTAS[[#This Row],[Costo SIN Comision]]</f>
        <v>8.8470588235294</v>
      </c>
      <c r="M537" s="35"/>
    </row>
    <row r="538" ht="20" customHeight="1" spans="1:13">
      <c r="A538" s="29" t="s">
        <v>3446</v>
      </c>
      <c r="B538" s="30"/>
      <c r="C538" s="30"/>
      <c r="D538" s="30"/>
      <c r="E538" s="30" t="s">
        <v>1269</v>
      </c>
      <c r="F538" s="34" t="str">
        <f>IFERROR(VLOOKUP(VENTAS[[#This Row],[Código del producto Vendido]],STOCK[],5,FALSE),"-")</f>
        <v>Top blanco cuello V con encaje</v>
      </c>
      <c r="G538" s="34">
        <v>1</v>
      </c>
      <c r="H538" s="35">
        <v>12</v>
      </c>
      <c r="I538" s="35">
        <f>VENTAS[[#This Row],[Cantidad]]*VENTAS[[#This Row],[Precio Venta]]</f>
        <v>12</v>
      </c>
      <c r="J538" s="35">
        <f>IF(VENTAS[[#This Row],[Nombre del Gestor]]&gt;1,VENTAS[[#This Row],[Total]]*10%,0)</f>
        <v>0</v>
      </c>
      <c r="K538" s="35">
        <f>IFERROR(VLOOKUP(VENTAS[[#This Row],[Código del producto Vendido]],STOCK[],16,FALSE)*VENTAS[[#This Row],[Cantidad]]+VLOOKUP(VENTAS[[#This Row],[Código del producto Vendido]],STOCK[],19,FALSE)*VENTAS[[#This Row],[Cantidad]],VENTAS[[#This Row],[Total]])</f>
        <v>7.97</v>
      </c>
      <c r="L538" s="35">
        <f>VENTAS[[#This Row],[Total]]-VENTAS[[#This Row],[Comisión 10%]]-VENTAS[[#This Row],[Costo SIN Comision]]</f>
        <v>4.03</v>
      </c>
      <c r="M538" s="35"/>
    </row>
    <row r="539" ht="20" customHeight="1" spans="1:13">
      <c r="A539" s="29" t="s">
        <v>3446</v>
      </c>
      <c r="B539" s="30"/>
      <c r="C539" s="30"/>
      <c r="D539" s="30"/>
      <c r="E539" s="30" t="s">
        <v>1271</v>
      </c>
      <c r="F539" s="34" t="str">
        <f>IFERROR(VLOOKUP(VENTAS[[#This Row],[Código del producto Vendido]],STOCK[],5,FALSE),"-")</f>
        <v>Top blanco cuello V con encaje</v>
      </c>
      <c r="G539" s="34">
        <v>1</v>
      </c>
      <c r="H539" s="35">
        <v>12</v>
      </c>
      <c r="I539" s="35">
        <f>VENTAS[[#This Row],[Cantidad]]*VENTAS[[#This Row],[Precio Venta]]</f>
        <v>12</v>
      </c>
      <c r="J539" s="35">
        <f>IF(VENTAS[[#This Row],[Nombre del Gestor]]&gt;1,VENTAS[[#This Row],[Total]]*10%,0)</f>
        <v>0</v>
      </c>
      <c r="K539" s="35">
        <f>IFERROR(VLOOKUP(VENTAS[[#This Row],[Código del producto Vendido]],STOCK[],16,FALSE)*VENTAS[[#This Row],[Cantidad]]+VLOOKUP(VENTAS[[#This Row],[Código del producto Vendido]],STOCK[],19,FALSE)*VENTAS[[#This Row],[Cantidad]],VENTAS[[#This Row],[Total]])</f>
        <v>7.97</v>
      </c>
      <c r="L539" s="35">
        <f>VENTAS[[#This Row],[Total]]-VENTAS[[#This Row],[Comisión 10%]]-VENTAS[[#This Row],[Costo SIN Comision]]</f>
        <v>4.03</v>
      </c>
      <c r="M539" s="35"/>
    </row>
    <row r="540" ht="20" customHeight="1" spans="1:13">
      <c r="A540" s="29" t="s">
        <v>3446</v>
      </c>
      <c r="B540" s="30"/>
      <c r="C540" s="30"/>
      <c r="D540" s="30"/>
      <c r="E540" s="30" t="s">
        <v>1277</v>
      </c>
      <c r="F540" s="34" t="str">
        <f>IFERROR(VLOOKUP(VENTAS[[#This Row],[Código del producto Vendido]],STOCK[],5,FALSE),"-")</f>
        <v>Top negro  cuello V con encaje</v>
      </c>
      <c r="G540" s="34">
        <v>2</v>
      </c>
      <c r="H540" s="35">
        <v>12</v>
      </c>
      <c r="I540" s="35">
        <f>VENTAS[[#This Row],[Cantidad]]*VENTAS[[#This Row],[Precio Venta]]</f>
        <v>24</v>
      </c>
      <c r="J540" s="35">
        <f>IF(VENTAS[[#This Row],[Nombre del Gestor]]&gt;1,VENTAS[[#This Row],[Total]]*10%,0)</f>
        <v>0</v>
      </c>
      <c r="K540" s="35">
        <f>IFERROR(VLOOKUP(VENTAS[[#This Row],[Código del producto Vendido]],STOCK[],16,FALSE)*VENTAS[[#This Row],[Cantidad]]+VLOOKUP(VENTAS[[#This Row],[Código del producto Vendido]],STOCK[],19,FALSE)*VENTAS[[#This Row],[Cantidad]],VENTAS[[#This Row],[Total]])</f>
        <v>16.18</v>
      </c>
      <c r="L540" s="35">
        <f>VENTAS[[#This Row],[Total]]-VENTAS[[#This Row],[Comisión 10%]]-VENTAS[[#This Row],[Costo SIN Comision]]</f>
        <v>7.82</v>
      </c>
      <c r="M540" s="35"/>
    </row>
    <row r="541" ht="20" customHeight="1" spans="1:13">
      <c r="A541" s="29" t="s">
        <v>3446</v>
      </c>
      <c r="B541" s="30"/>
      <c r="C541" s="30"/>
      <c r="D541" s="30"/>
      <c r="E541" s="30" t="s">
        <v>1060</v>
      </c>
      <c r="F541" s="34" t="str">
        <f>IFERROR(VLOOKUP(VENTAS[[#This Row],[Código del producto Vendido]],STOCK[],5,FALSE),"-")</f>
        <v>Top corto blanco</v>
      </c>
      <c r="G541" s="34">
        <v>1</v>
      </c>
      <c r="H541" s="35">
        <v>8</v>
      </c>
      <c r="I541" s="35">
        <f>VENTAS[[#This Row],[Cantidad]]*VENTAS[[#This Row],[Precio Venta]]</f>
        <v>8</v>
      </c>
      <c r="J541" s="35">
        <f>IF(VENTAS[[#This Row],[Nombre del Gestor]]&gt;1,VENTAS[[#This Row],[Total]]*10%,0)</f>
        <v>0</v>
      </c>
      <c r="K541" s="35">
        <f>IFERROR(VLOOKUP(VENTAS[[#This Row],[Código del producto Vendido]],STOCK[],16,FALSE)*VENTAS[[#This Row],[Cantidad]]+VLOOKUP(VENTAS[[#This Row],[Código del producto Vendido]],STOCK[],19,FALSE)*VENTAS[[#This Row],[Cantidad]],VENTAS[[#This Row],[Total]])</f>
        <v>4.40441176470588</v>
      </c>
      <c r="L541" s="35">
        <f>VENTAS[[#This Row],[Total]]-VENTAS[[#This Row],[Comisión 10%]]-VENTAS[[#This Row],[Costo SIN Comision]]</f>
        <v>3.59558823529412</v>
      </c>
      <c r="M541" s="35"/>
    </row>
    <row r="542" ht="20" customHeight="1" spans="1:13">
      <c r="A542" s="29" t="s">
        <v>3446</v>
      </c>
      <c r="B542" s="30"/>
      <c r="C542" s="30"/>
      <c r="D542" s="30"/>
      <c r="E542" s="30" t="s">
        <v>784</v>
      </c>
      <c r="F542" s="34" t="str">
        <f>IFERROR(VLOOKUP(VENTAS[[#This Row],[Código del producto Vendido]],STOCK[],5,FALSE),"-")</f>
        <v>Top Manga Corta Negro</v>
      </c>
      <c r="G542" s="34">
        <v>1</v>
      </c>
      <c r="H542" s="35">
        <v>9</v>
      </c>
      <c r="I542" s="35">
        <f>VENTAS[[#This Row],[Cantidad]]*VENTAS[[#This Row],[Precio Venta]]</f>
        <v>9</v>
      </c>
      <c r="J542" s="35">
        <f>IF(VENTAS[[#This Row],[Nombre del Gestor]]&gt;1,VENTAS[[#This Row],[Total]]*10%,0)</f>
        <v>0</v>
      </c>
      <c r="K542" s="35">
        <f>IFERROR(VLOOKUP(VENTAS[[#This Row],[Código del producto Vendido]],STOCK[],16,FALSE)*VENTAS[[#This Row],[Cantidad]]+VLOOKUP(VENTAS[[#This Row],[Código del producto Vendido]],STOCK[],19,FALSE)*VENTAS[[#This Row],[Cantidad]],VENTAS[[#This Row],[Total]])</f>
        <v>6.05555555555556</v>
      </c>
      <c r="L542" s="35">
        <f>VENTAS[[#This Row],[Total]]-VENTAS[[#This Row],[Comisión 10%]]-VENTAS[[#This Row],[Costo SIN Comision]]</f>
        <v>2.94444444444444</v>
      </c>
      <c r="M542" s="35"/>
    </row>
    <row r="543" ht="20" customHeight="1" spans="1:13">
      <c r="A543" s="29" t="s">
        <v>3446</v>
      </c>
      <c r="B543" s="30"/>
      <c r="C543" s="30"/>
      <c r="D543" s="30"/>
      <c r="E543" s="30" t="s">
        <v>700</v>
      </c>
      <c r="F543" s="34" t="str">
        <f>IFERROR(VLOOKUP(VENTAS[[#This Row],[Código del producto Vendido]],STOCK[],5,FALSE),"-")</f>
        <v>Vestido corto de punto</v>
      </c>
      <c r="G543" s="34">
        <v>1</v>
      </c>
      <c r="H543" s="35">
        <v>19</v>
      </c>
      <c r="I543" s="35">
        <f>VENTAS[[#This Row],[Cantidad]]*VENTAS[[#This Row],[Precio Venta]]</f>
        <v>19</v>
      </c>
      <c r="J543" s="35">
        <f>IF(VENTAS[[#This Row],[Nombre del Gestor]]&gt;1,VENTAS[[#This Row],[Total]]*10%,0)</f>
        <v>0</v>
      </c>
      <c r="K543" s="35">
        <f>IFERROR(VLOOKUP(VENTAS[[#This Row],[Código del producto Vendido]],STOCK[],16,FALSE)*VENTAS[[#This Row],[Cantidad]]+VLOOKUP(VENTAS[[#This Row],[Código del producto Vendido]],STOCK[],19,FALSE)*VENTAS[[#This Row],[Cantidad]],VENTAS[[#This Row],[Total]])</f>
        <v>17.07</v>
      </c>
      <c r="L543" s="35">
        <f>VENTAS[[#This Row],[Total]]-VENTAS[[#This Row],[Comisión 10%]]-VENTAS[[#This Row],[Costo SIN Comision]]</f>
        <v>1.93</v>
      </c>
      <c r="M543" s="35"/>
    </row>
    <row r="544" ht="20" customHeight="1" spans="1:13">
      <c r="A544" s="29" t="s">
        <v>3446</v>
      </c>
      <c r="B544" s="30"/>
      <c r="C544" s="30"/>
      <c r="D544" s="30"/>
      <c r="E544" s="30" t="s">
        <v>841</v>
      </c>
      <c r="F544" s="34" t="str">
        <f>IFERROR(VLOOKUP(VENTAS[[#This Row],[Código del producto Vendido]],STOCK[],5,FALSE),"-")</f>
        <v>Top de malla sexy</v>
      </c>
      <c r="G544" s="34">
        <v>1</v>
      </c>
      <c r="H544" s="35">
        <v>10</v>
      </c>
      <c r="I544" s="35">
        <f>VENTAS[[#This Row],[Cantidad]]*VENTAS[[#This Row],[Precio Venta]]</f>
        <v>10</v>
      </c>
      <c r="J544" s="35">
        <f>IF(VENTAS[[#This Row],[Nombre del Gestor]]&gt;1,VENTAS[[#This Row],[Total]]*10%,0)</f>
        <v>0</v>
      </c>
      <c r="K544" s="35">
        <f>IFERROR(VLOOKUP(VENTAS[[#This Row],[Código del producto Vendido]],STOCK[],16,FALSE)*VENTAS[[#This Row],[Cantidad]]+VLOOKUP(VENTAS[[#This Row],[Código del producto Vendido]],STOCK[],19,FALSE)*VENTAS[[#This Row],[Cantidad]],VENTAS[[#This Row],[Total]])</f>
        <v>3.45555555555556</v>
      </c>
      <c r="L544" s="35">
        <f>VENTAS[[#This Row],[Total]]-VENTAS[[#This Row],[Comisión 10%]]-VENTAS[[#This Row],[Costo SIN Comision]]</f>
        <v>6.54444444444444</v>
      </c>
      <c r="M544" s="35"/>
    </row>
    <row r="545" ht="20" customHeight="1" spans="1:13">
      <c r="A545" s="29" t="s">
        <v>3446</v>
      </c>
      <c r="B545" s="30"/>
      <c r="C545" s="30"/>
      <c r="D545" s="30"/>
      <c r="E545" s="30" t="s">
        <v>175</v>
      </c>
      <c r="F545" s="34" t="str">
        <f>IFERROR(VLOOKUP(VENTAS[[#This Row],[Código del producto Vendido]],STOCK[],5,FALSE),"-")</f>
        <v>Vestido cruzado con abertura con nudo delantero </v>
      </c>
      <c r="G545" s="34">
        <v>1</v>
      </c>
      <c r="H545" s="35">
        <v>25</v>
      </c>
      <c r="I545" s="35">
        <f>VENTAS[[#This Row],[Cantidad]]*VENTAS[[#This Row],[Precio Venta]]</f>
        <v>25</v>
      </c>
      <c r="J545" s="35">
        <f>IF(VENTAS[[#This Row],[Nombre del Gestor]]&gt;1,VENTAS[[#This Row],[Total]]*10%,0)</f>
        <v>0</v>
      </c>
      <c r="K545" s="35">
        <f>IFERROR(VLOOKUP(VENTAS[[#This Row],[Código del producto Vendido]],STOCK[],16,FALSE)*VENTAS[[#This Row],[Cantidad]]+VLOOKUP(VENTAS[[#This Row],[Código del producto Vendido]],STOCK[],19,FALSE)*VENTAS[[#This Row],[Cantidad]],VENTAS[[#This Row],[Total]])</f>
        <v>16.7688888888889</v>
      </c>
      <c r="L545" s="35">
        <f>VENTAS[[#This Row],[Total]]-VENTAS[[#This Row],[Comisión 10%]]-VENTAS[[#This Row],[Costo SIN Comision]]</f>
        <v>8.2311111111111</v>
      </c>
      <c r="M545" s="35"/>
    </row>
    <row r="546" ht="20" customHeight="1" spans="1:13">
      <c r="A546" s="29" t="s">
        <v>3446</v>
      </c>
      <c r="B546" s="30"/>
      <c r="C546" s="30"/>
      <c r="D546" s="30"/>
      <c r="E546" s="30" t="s">
        <v>237</v>
      </c>
      <c r="F546" s="34" t="str">
        <f>IFERROR(VLOOKUP(VENTAS[[#This Row],[Código del producto Vendido]],STOCK[],5,FALSE),"-")</f>
        <v>Vestido tank tejido de canalé con cinturón</v>
      </c>
      <c r="G546" s="34">
        <v>1</v>
      </c>
      <c r="H546" s="35">
        <v>28</v>
      </c>
      <c r="I546" s="35">
        <f>VENTAS[[#This Row],[Cantidad]]*VENTAS[[#This Row],[Precio Venta]]</f>
        <v>28</v>
      </c>
      <c r="J546" s="35">
        <f>IF(VENTAS[[#This Row],[Nombre del Gestor]]&gt;1,VENTAS[[#This Row],[Total]]*10%,0)</f>
        <v>0</v>
      </c>
      <c r="K546" s="35">
        <f>IFERROR(VLOOKUP(VENTAS[[#This Row],[Código del producto Vendido]],STOCK[],16,FALSE)*VENTAS[[#This Row],[Cantidad]]+VLOOKUP(VENTAS[[#This Row],[Código del producto Vendido]],STOCK[],19,FALSE)*VENTAS[[#This Row],[Cantidad]],VENTAS[[#This Row],[Total]])</f>
        <v>18.3977777777778</v>
      </c>
      <c r="L546" s="35">
        <f>VENTAS[[#This Row],[Total]]-VENTAS[[#This Row],[Comisión 10%]]-VENTAS[[#This Row],[Costo SIN Comision]]</f>
        <v>9.6022222222222</v>
      </c>
      <c r="M546" s="35"/>
    </row>
    <row r="547" ht="20" customHeight="1" spans="1:13">
      <c r="A547" s="29" t="s">
        <v>3446</v>
      </c>
      <c r="B547" s="30"/>
      <c r="C547" s="30"/>
      <c r="D547" s="30"/>
      <c r="E547" s="30" t="s">
        <v>268</v>
      </c>
      <c r="F547" s="34" t="str">
        <f>IFERROR(VLOOKUP(VENTAS[[#This Row],[Código del producto Vendido]],STOCK[],5,FALSE),"-")</f>
        <v>Vestido Malla en contraste Lunares Elegante</v>
      </c>
      <c r="G547" s="34">
        <v>1</v>
      </c>
      <c r="H547" s="35">
        <v>25</v>
      </c>
      <c r="I547" s="35">
        <f>VENTAS[[#This Row],[Cantidad]]*VENTAS[[#This Row],[Precio Venta]]</f>
        <v>25</v>
      </c>
      <c r="J547" s="35">
        <f>IF(VENTAS[[#This Row],[Nombre del Gestor]]&gt;1,VENTAS[[#This Row],[Total]]*10%,0)</f>
        <v>0</v>
      </c>
      <c r="K547" s="35">
        <f>IFERROR(VLOOKUP(VENTAS[[#This Row],[Código del producto Vendido]],STOCK[],16,FALSE)*VENTAS[[#This Row],[Cantidad]]+VLOOKUP(VENTAS[[#This Row],[Código del producto Vendido]],STOCK[],19,FALSE)*VENTAS[[#This Row],[Cantidad]],VENTAS[[#This Row],[Total]])</f>
        <v>13.0711111111111</v>
      </c>
      <c r="L547" s="35">
        <f>VENTAS[[#This Row],[Total]]-VENTAS[[#This Row],[Comisión 10%]]-VENTAS[[#This Row],[Costo SIN Comision]]</f>
        <v>11.9288888888889</v>
      </c>
      <c r="M547" s="35"/>
    </row>
    <row r="548" ht="20" customHeight="1" spans="1:13">
      <c r="A548" s="29" t="s">
        <v>3446</v>
      </c>
      <c r="B548" s="30"/>
      <c r="C548" s="30"/>
      <c r="D548" s="30"/>
      <c r="E548" s="30" t="s">
        <v>284</v>
      </c>
      <c r="F548" s="34" t="str">
        <f>IFERROR(VLOOKUP(VENTAS[[#This Row],[Código del producto Vendido]],STOCK[],5,FALSE),"-")</f>
        <v>Vestido lápiz de manga con malla fina</v>
      </c>
      <c r="G548" s="34">
        <v>1</v>
      </c>
      <c r="H548" s="35">
        <v>20</v>
      </c>
      <c r="I548" s="35">
        <f>VENTAS[[#This Row],[Cantidad]]*VENTAS[[#This Row],[Precio Venta]]</f>
        <v>20</v>
      </c>
      <c r="J548" s="35">
        <f>IF(VENTAS[[#This Row],[Nombre del Gestor]]&gt;1,VENTAS[[#This Row],[Total]]*10%,0)</f>
        <v>0</v>
      </c>
      <c r="K548" s="35">
        <f>IFERROR(VLOOKUP(VENTAS[[#This Row],[Código del producto Vendido]],STOCK[],16,FALSE)*VENTAS[[#This Row],[Cantidad]]+VLOOKUP(VENTAS[[#This Row],[Código del producto Vendido]],STOCK[],19,FALSE)*VENTAS[[#This Row],[Cantidad]],VENTAS[[#This Row],[Total]])</f>
        <v>13.5111111111111</v>
      </c>
      <c r="L548" s="35">
        <f>VENTAS[[#This Row],[Total]]-VENTAS[[#This Row],[Comisión 10%]]-VENTAS[[#This Row],[Costo SIN Comision]]</f>
        <v>6.4888888888889</v>
      </c>
      <c r="M548" s="35"/>
    </row>
    <row r="549" ht="20" customHeight="1" spans="1:13">
      <c r="A549" s="29" t="s">
        <v>3446</v>
      </c>
      <c r="B549" s="30"/>
      <c r="C549" s="30"/>
      <c r="D549" s="30"/>
      <c r="E549" s="30" t="s">
        <v>309</v>
      </c>
      <c r="F549" s="34" t="str">
        <f>IFERROR(VLOOKUP(VENTAS[[#This Row],[Código del producto Vendido]],STOCK[],5,FALSE),"-")</f>
        <v>Vestido ajustado de titrantes finos</v>
      </c>
      <c r="G549" s="34">
        <v>1</v>
      </c>
      <c r="H549" s="35">
        <v>25</v>
      </c>
      <c r="I549" s="35">
        <f>VENTAS[[#This Row],[Cantidad]]*VENTAS[[#This Row],[Precio Venta]]</f>
        <v>25</v>
      </c>
      <c r="J549" s="35">
        <f>IF(VENTAS[[#This Row],[Nombre del Gestor]]&gt;1,VENTAS[[#This Row],[Total]]*10%,0)</f>
        <v>0</v>
      </c>
      <c r="K549" s="35">
        <f>IFERROR(VLOOKUP(VENTAS[[#This Row],[Código del producto Vendido]],STOCK[],16,FALSE)*VENTAS[[#This Row],[Cantidad]]+VLOOKUP(VENTAS[[#This Row],[Código del producto Vendido]],STOCK[],19,FALSE)*VENTAS[[#This Row],[Cantidad]],VENTAS[[#This Row],[Total]])</f>
        <v>13.1111111111111</v>
      </c>
      <c r="L549" s="35">
        <f>VENTAS[[#This Row],[Total]]-VENTAS[[#This Row],[Comisión 10%]]-VENTAS[[#This Row],[Costo SIN Comision]]</f>
        <v>11.8888888888889</v>
      </c>
      <c r="M549" s="35"/>
    </row>
    <row r="550" ht="20" customHeight="1" spans="1:13">
      <c r="A550" s="29" t="s">
        <v>3446</v>
      </c>
      <c r="B550" s="30"/>
      <c r="C550" s="30"/>
      <c r="D550" s="30"/>
      <c r="E550" s="30" t="s">
        <v>331</v>
      </c>
      <c r="F550" s="34" t="str">
        <f>IFERROR(VLOOKUP(VENTAS[[#This Row],[Código del producto Vendido]],STOCK[],5,FALSE),"-")</f>
        <v>Vestido floral con cinturón</v>
      </c>
      <c r="G550" s="34">
        <v>1</v>
      </c>
      <c r="H550" s="35">
        <v>15</v>
      </c>
      <c r="I550" s="35">
        <f>VENTAS[[#This Row],[Cantidad]]*VENTAS[[#This Row],[Precio Venta]]</f>
        <v>15</v>
      </c>
      <c r="J550" s="35">
        <f>IF(VENTAS[[#This Row],[Nombre del Gestor]]&gt;1,VENTAS[[#This Row],[Total]]*10%,0)</f>
        <v>0</v>
      </c>
      <c r="K550" s="35">
        <f>IFERROR(VLOOKUP(VENTAS[[#This Row],[Código del producto Vendido]],STOCK[],16,FALSE)*VENTAS[[#This Row],[Cantidad]]+VLOOKUP(VENTAS[[#This Row],[Código del producto Vendido]],STOCK[],19,FALSE)*VENTAS[[#This Row],[Cantidad]],VENTAS[[#This Row],[Total]])</f>
        <v>9.56166666666667</v>
      </c>
      <c r="L550" s="35">
        <f>VENTAS[[#This Row],[Total]]-VENTAS[[#This Row],[Comisión 10%]]-VENTAS[[#This Row],[Costo SIN Comision]]</f>
        <v>5.43833333333333</v>
      </c>
      <c r="M550" s="35"/>
    </row>
    <row r="551" ht="20" customHeight="1" spans="1:13">
      <c r="A551" s="29" t="s">
        <v>3446</v>
      </c>
      <c r="B551" s="30"/>
      <c r="C551" s="30"/>
      <c r="D551" s="30"/>
      <c r="E551" s="30" t="s">
        <v>347</v>
      </c>
      <c r="F551" s="34" t="str">
        <f>IFERROR(VLOOKUP(VENTAS[[#This Row],[Código del producto Vendido]],STOCK[],5,FALSE),"-")</f>
        <v>Vestido bajo cruzado de tie dye</v>
      </c>
      <c r="G551" s="34">
        <v>1</v>
      </c>
      <c r="H551" s="35">
        <v>15</v>
      </c>
      <c r="I551" s="35">
        <f>VENTAS[[#This Row],[Cantidad]]*VENTAS[[#This Row],[Precio Venta]]</f>
        <v>15</v>
      </c>
      <c r="J551" s="35">
        <f>IF(VENTAS[[#This Row],[Nombre del Gestor]]&gt;1,VENTAS[[#This Row],[Total]]*10%,0)</f>
        <v>0</v>
      </c>
      <c r="K551" s="35">
        <f>IFERROR(VLOOKUP(VENTAS[[#This Row],[Código del producto Vendido]],STOCK[],16,FALSE)*VENTAS[[#This Row],[Cantidad]]+VLOOKUP(VENTAS[[#This Row],[Código del producto Vendido]],STOCK[],19,FALSE)*VENTAS[[#This Row],[Cantidad]],VENTAS[[#This Row],[Total]])</f>
        <v>10.8705555555556</v>
      </c>
      <c r="L551" s="35">
        <f>VENTAS[[#This Row],[Total]]-VENTAS[[#This Row],[Comisión 10%]]-VENTAS[[#This Row],[Costo SIN Comision]]</f>
        <v>4.12944444444444</v>
      </c>
      <c r="M551" s="35"/>
    </row>
    <row r="552" ht="20" customHeight="1" spans="1:13">
      <c r="A552" s="29" t="s">
        <v>3446</v>
      </c>
      <c r="B552" s="30"/>
      <c r="C552" s="30"/>
      <c r="D552" s="30"/>
      <c r="E552" s="30" t="s">
        <v>636</v>
      </c>
      <c r="F552" s="34" t="str">
        <f>IFERROR(VLOOKUP(VENTAS[[#This Row],[Código del producto Vendido]],STOCK[],5,FALSE),"-")</f>
        <v>Vestido floral escote corazón</v>
      </c>
      <c r="G552" s="34">
        <v>1</v>
      </c>
      <c r="H552" s="35">
        <v>16</v>
      </c>
      <c r="I552" s="35">
        <f>VENTAS[[#This Row],[Cantidad]]*VENTAS[[#This Row],[Precio Venta]]</f>
        <v>16</v>
      </c>
      <c r="J552" s="35">
        <f>IF(VENTAS[[#This Row],[Nombre del Gestor]]&gt;1,VENTAS[[#This Row],[Total]]*10%,0)</f>
        <v>0</v>
      </c>
      <c r="K552" s="35">
        <f>IFERROR(VLOOKUP(VENTAS[[#This Row],[Código del producto Vendido]],STOCK[],16,FALSE)*VENTAS[[#This Row],[Cantidad]]+VLOOKUP(VENTAS[[#This Row],[Código del producto Vendido]],STOCK[],19,FALSE)*VENTAS[[#This Row],[Cantidad]],VENTAS[[#This Row],[Total]])</f>
        <v>10.7222222222222</v>
      </c>
      <c r="L552" s="35">
        <f>VENTAS[[#This Row],[Total]]-VENTAS[[#This Row],[Comisión 10%]]-VENTAS[[#This Row],[Costo SIN Comision]]</f>
        <v>5.27777777777778</v>
      </c>
      <c r="M552" s="35"/>
    </row>
    <row r="553" ht="20" customHeight="1" spans="1:13">
      <c r="A553" s="29" t="s">
        <v>3446</v>
      </c>
      <c r="B553" s="30"/>
      <c r="C553" s="30"/>
      <c r="D553" s="30"/>
      <c r="E553" s="30" t="s">
        <v>630</v>
      </c>
      <c r="F553" s="34" t="str">
        <f>IFERROR(VLOOKUP(VENTAS[[#This Row],[Código del producto Vendido]],STOCK[],5,FALSE),"-")</f>
        <v>Vestido floral con abertura trasera</v>
      </c>
      <c r="G553" s="34">
        <v>1</v>
      </c>
      <c r="H553" s="35">
        <v>15</v>
      </c>
      <c r="I553" s="35">
        <f>VENTAS[[#This Row],[Cantidad]]*VENTAS[[#This Row],[Precio Venta]]</f>
        <v>15</v>
      </c>
      <c r="J553" s="35">
        <f>IF(VENTAS[[#This Row],[Nombre del Gestor]]&gt;1,VENTAS[[#This Row],[Total]]*10%,0)</f>
        <v>0</v>
      </c>
      <c r="K553" s="35">
        <f>IFERROR(VLOOKUP(VENTAS[[#This Row],[Código del producto Vendido]],STOCK[],16,FALSE)*VENTAS[[#This Row],[Cantidad]]+VLOOKUP(VENTAS[[#This Row],[Código del producto Vendido]],STOCK[],19,FALSE)*VENTAS[[#This Row],[Cantidad]],VENTAS[[#This Row],[Total]])</f>
        <v>10.7222222222222</v>
      </c>
      <c r="L553" s="35">
        <f>VENTAS[[#This Row],[Total]]-VENTAS[[#This Row],[Comisión 10%]]-VENTAS[[#This Row],[Costo SIN Comision]]</f>
        <v>4.27777777777778</v>
      </c>
      <c r="M553" s="35"/>
    </row>
    <row r="554" ht="20" customHeight="1" spans="1:13">
      <c r="A554" s="29" t="s">
        <v>3446</v>
      </c>
      <c r="B554" s="30"/>
      <c r="C554" s="30"/>
      <c r="D554" s="30"/>
      <c r="E554" s="30" t="s">
        <v>365</v>
      </c>
      <c r="F554" s="34" t="str">
        <f>IFERROR(VLOOKUP(VENTAS[[#This Row],[Código del producto Vendido]],STOCK[],5,FALSE),"-")</f>
        <v>Vestido manga larga con cinturón</v>
      </c>
      <c r="G554" s="34">
        <v>1</v>
      </c>
      <c r="H554" s="35">
        <v>16</v>
      </c>
      <c r="I554" s="35">
        <f>VENTAS[[#This Row],[Cantidad]]*VENTAS[[#This Row],[Precio Venta]]</f>
        <v>16</v>
      </c>
      <c r="J554" s="35">
        <f>IF(VENTAS[[#This Row],[Nombre del Gestor]]&gt;1,VENTAS[[#This Row],[Total]]*10%,0)</f>
        <v>0</v>
      </c>
      <c r="K554" s="35">
        <f>IFERROR(VLOOKUP(VENTAS[[#This Row],[Código del producto Vendido]],STOCK[],16,FALSE)*VENTAS[[#This Row],[Cantidad]]+VLOOKUP(VENTAS[[#This Row],[Código del producto Vendido]],STOCK[],19,FALSE)*VENTAS[[#This Row],[Cantidad]],VENTAS[[#This Row],[Total]])</f>
        <v>12.5038888888889</v>
      </c>
      <c r="L554" s="35">
        <f>VENTAS[[#This Row],[Total]]-VENTAS[[#This Row],[Comisión 10%]]-VENTAS[[#This Row],[Costo SIN Comision]]</f>
        <v>3.49611111111111</v>
      </c>
      <c r="M554" s="35"/>
    </row>
    <row r="555" ht="20" customHeight="1" spans="1:13">
      <c r="A555" s="29" t="s">
        <v>3446</v>
      </c>
      <c r="B555" s="30"/>
      <c r="C555" s="30"/>
      <c r="D555" s="30"/>
      <c r="E555" s="30" t="s">
        <v>444</v>
      </c>
      <c r="F555" s="34" t="str">
        <f>IFERROR(VLOOKUP(VENTAS[[#This Row],[Código del producto Vendido]],STOCK[],5,FALSE),"-")</f>
        <v>Vestido Amanecer</v>
      </c>
      <c r="G555" s="34">
        <v>1</v>
      </c>
      <c r="H555" s="35">
        <v>16</v>
      </c>
      <c r="I555" s="35">
        <f>VENTAS[[#This Row],[Cantidad]]*VENTAS[[#This Row],[Precio Venta]]</f>
        <v>16</v>
      </c>
      <c r="J555" s="35">
        <f>IF(VENTAS[[#This Row],[Nombre del Gestor]]&gt;1,VENTAS[[#This Row],[Total]]*10%,0)</f>
        <v>0</v>
      </c>
      <c r="K555" s="35">
        <f>IFERROR(VLOOKUP(VENTAS[[#This Row],[Código del producto Vendido]],STOCK[],16,FALSE)*VENTAS[[#This Row],[Cantidad]]+VLOOKUP(VENTAS[[#This Row],[Código del producto Vendido]],STOCK[],19,FALSE)*VENTAS[[#This Row],[Cantidad]],VENTAS[[#This Row],[Total]])</f>
        <v>15.3133333333333</v>
      </c>
      <c r="L555" s="35">
        <f>VENTAS[[#This Row],[Total]]-VENTAS[[#This Row],[Comisión 10%]]-VENTAS[[#This Row],[Costo SIN Comision]]</f>
        <v>0.686666666666699</v>
      </c>
      <c r="M555" s="35"/>
    </row>
    <row r="556" ht="20" customHeight="1" spans="1:13">
      <c r="A556" s="29" t="s">
        <v>3446</v>
      </c>
      <c r="B556" s="30"/>
      <c r="C556" s="30"/>
      <c r="D556" s="30"/>
      <c r="E556" s="30" t="s">
        <v>513</v>
      </c>
      <c r="F556" s="34" t="str">
        <f>IFERROR(VLOOKUP(VENTAS[[#This Row],[Código del producto Vendido]],STOCK[],5,FALSE),"-")</f>
        <v>Zapatillas con cordón </v>
      </c>
      <c r="G556" s="34">
        <v>1</v>
      </c>
      <c r="H556" s="35">
        <v>20</v>
      </c>
      <c r="I556" s="35">
        <f>VENTAS[[#This Row],[Cantidad]]*VENTAS[[#This Row],[Precio Venta]]</f>
        <v>20</v>
      </c>
      <c r="J556" s="35">
        <f>IF(VENTAS[[#This Row],[Nombre del Gestor]]&gt;1,VENTAS[[#This Row],[Total]]*10%,0)</f>
        <v>0</v>
      </c>
      <c r="K556" s="35">
        <f>IFERROR(VLOOKUP(VENTAS[[#This Row],[Código del producto Vendido]],STOCK[],16,FALSE)*VENTAS[[#This Row],[Cantidad]]+VLOOKUP(VENTAS[[#This Row],[Código del producto Vendido]],STOCK[],19,FALSE)*VENTAS[[#This Row],[Cantidad]],VENTAS[[#This Row],[Total]])</f>
        <v>12.6372222222222</v>
      </c>
      <c r="L556" s="35">
        <f>VENTAS[[#This Row],[Total]]-VENTAS[[#This Row],[Comisión 10%]]-VENTAS[[#This Row],[Costo SIN Comision]]</f>
        <v>7.3627777777778</v>
      </c>
      <c r="M556" s="35"/>
    </row>
    <row r="557" ht="20" customHeight="1" spans="1:13">
      <c r="A557" s="29" t="s">
        <v>3446</v>
      </c>
      <c r="B557" s="30"/>
      <c r="C557" s="30"/>
      <c r="D557" s="30"/>
      <c r="E557" s="30" t="s">
        <v>586</v>
      </c>
      <c r="F557" s="34" t="str">
        <f>IFERROR(VLOOKUP(VENTAS[[#This Row],[Código del producto Vendido]],STOCK[],5,FALSE),"-")</f>
        <v>Top cruzado blanco</v>
      </c>
      <c r="G557" s="34">
        <v>1</v>
      </c>
      <c r="H557" s="35">
        <v>9</v>
      </c>
      <c r="I557" s="35">
        <f>VENTAS[[#This Row],[Cantidad]]*VENTAS[[#This Row],[Precio Venta]]</f>
        <v>9</v>
      </c>
      <c r="J557" s="35">
        <f>IF(VENTAS[[#This Row],[Nombre del Gestor]]&gt;1,VENTAS[[#This Row],[Total]]*10%,0)</f>
        <v>0</v>
      </c>
      <c r="K557" s="35">
        <f>IFERROR(VLOOKUP(VENTAS[[#This Row],[Código del producto Vendido]],STOCK[],16,FALSE)*VENTAS[[#This Row],[Cantidad]]+VLOOKUP(VENTAS[[#This Row],[Código del producto Vendido]],STOCK[],19,FALSE)*VENTAS[[#This Row],[Cantidad]],VENTAS[[#This Row],[Total]])</f>
        <v>5.19333333333333</v>
      </c>
      <c r="L557" s="35">
        <f>VENTAS[[#This Row],[Total]]-VENTAS[[#This Row],[Comisión 10%]]-VENTAS[[#This Row],[Costo SIN Comision]]</f>
        <v>3.80666666666667</v>
      </c>
      <c r="M557" s="35"/>
    </row>
    <row r="558" ht="20" customHeight="1" spans="1:13">
      <c r="A558" s="29" t="s">
        <v>3446</v>
      </c>
      <c r="B558" s="30"/>
      <c r="C558" s="30"/>
      <c r="D558" s="30"/>
      <c r="E558" s="30" t="s">
        <v>595</v>
      </c>
      <c r="F558" s="34" t="str">
        <f>IFERROR(VLOOKUP(VENTAS[[#This Row],[Código del producto Vendido]],STOCK[],5,FALSE),"-")</f>
        <v>Top cruzado naranja</v>
      </c>
      <c r="G558" s="34">
        <v>1</v>
      </c>
      <c r="H558" s="35">
        <v>9</v>
      </c>
      <c r="I558" s="35">
        <f>VENTAS[[#This Row],[Cantidad]]*VENTAS[[#This Row],[Precio Venta]]</f>
        <v>9</v>
      </c>
      <c r="J558" s="35">
        <f>IF(VENTAS[[#This Row],[Nombre del Gestor]]&gt;1,VENTAS[[#This Row],[Total]]*10%,0)</f>
        <v>0</v>
      </c>
      <c r="K558" s="35">
        <f>IFERROR(VLOOKUP(VENTAS[[#This Row],[Código del producto Vendido]],STOCK[],16,FALSE)*VENTAS[[#This Row],[Cantidad]]+VLOOKUP(VENTAS[[#This Row],[Código del producto Vendido]],STOCK[],19,FALSE)*VENTAS[[#This Row],[Cantidad]],VENTAS[[#This Row],[Total]])</f>
        <v>5.06833333333333</v>
      </c>
      <c r="L558" s="35">
        <f>VENTAS[[#This Row],[Total]]-VENTAS[[#This Row],[Comisión 10%]]-VENTAS[[#This Row],[Costo SIN Comision]]</f>
        <v>3.93166666666667</v>
      </c>
      <c r="M558" s="35"/>
    </row>
    <row r="559" ht="20" customHeight="1" spans="1:13">
      <c r="A559" s="29" t="s">
        <v>3446</v>
      </c>
      <c r="B559" s="30"/>
      <c r="C559" s="30"/>
      <c r="D559" s="30"/>
      <c r="E559" s="30" t="s">
        <v>673</v>
      </c>
      <c r="F559" s="34" t="str">
        <f>IFERROR(VLOOKUP(VENTAS[[#This Row],[Código del producto Vendido]],STOCK[],5,FALSE),"-")</f>
        <v>Top Cruzado azul</v>
      </c>
      <c r="G559" s="34">
        <v>1</v>
      </c>
      <c r="H559" s="35">
        <v>9</v>
      </c>
      <c r="I559" s="35">
        <f>VENTAS[[#This Row],[Cantidad]]*VENTAS[[#This Row],[Precio Venta]]</f>
        <v>9</v>
      </c>
      <c r="J559" s="35">
        <f>IF(VENTAS[[#This Row],[Nombre del Gestor]]&gt;1,VENTAS[[#This Row],[Total]]*10%,0)</f>
        <v>0</v>
      </c>
      <c r="K559" s="35">
        <f>IFERROR(VLOOKUP(VENTAS[[#This Row],[Código del producto Vendido]],STOCK[],16,FALSE)*VENTAS[[#This Row],[Cantidad]]+VLOOKUP(VENTAS[[#This Row],[Código del producto Vendido]],STOCK[],19,FALSE)*VENTAS[[#This Row],[Cantidad]],VENTAS[[#This Row],[Total]])</f>
        <v>5.26833333333333</v>
      </c>
      <c r="L559" s="35">
        <f>VENTAS[[#This Row],[Total]]-VENTAS[[#This Row],[Comisión 10%]]-VENTAS[[#This Row],[Costo SIN Comision]]</f>
        <v>3.73166666666667</v>
      </c>
      <c r="M559" s="35"/>
    </row>
    <row r="560" ht="20" customHeight="1" spans="1:13">
      <c r="A560" s="29" t="s">
        <v>3446</v>
      </c>
      <c r="B560" s="30"/>
      <c r="C560" s="30"/>
      <c r="D560" s="30"/>
      <c r="E560" s="30" t="s">
        <v>991</v>
      </c>
      <c r="F560" s="34" t="str">
        <f>IFERROR(VLOOKUP(VENTAS[[#This Row],[Código del producto Vendido]],STOCK[],5,FALSE),"-")</f>
        <v> Top Básico Business </v>
      </c>
      <c r="G560" s="34">
        <v>1</v>
      </c>
      <c r="H560" s="35">
        <v>12</v>
      </c>
      <c r="I560" s="35">
        <f>VENTAS[[#This Row],[Cantidad]]*VENTAS[[#This Row],[Precio Venta]]</f>
        <v>12</v>
      </c>
      <c r="J560" s="35">
        <f>IF(VENTAS[[#This Row],[Nombre del Gestor]]&gt;1,VENTAS[[#This Row],[Total]]*10%,0)</f>
        <v>0</v>
      </c>
      <c r="K560" s="35">
        <f>IFERROR(VLOOKUP(VENTAS[[#This Row],[Código del producto Vendido]],STOCK[],16,FALSE)*VENTAS[[#This Row],[Cantidad]]+VLOOKUP(VENTAS[[#This Row],[Código del producto Vendido]],STOCK[],19,FALSE)*VENTAS[[#This Row],[Cantidad]],VENTAS[[#This Row],[Total]])</f>
        <v>7.37954545454545</v>
      </c>
      <c r="L560" s="35">
        <f>VENTAS[[#This Row],[Total]]-VENTAS[[#This Row],[Comisión 10%]]-VENTAS[[#This Row],[Costo SIN Comision]]</f>
        <v>4.62045454545455</v>
      </c>
      <c r="M560" s="35"/>
    </row>
    <row r="561" ht="20" customHeight="1" spans="1:13">
      <c r="A561" s="29" t="s">
        <v>3446</v>
      </c>
      <c r="B561" s="30"/>
      <c r="C561" s="30"/>
      <c r="D561" s="30"/>
      <c r="E561" s="30" t="s">
        <v>964</v>
      </c>
      <c r="F561" s="34" t="str">
        <f>IFERROR(VLOOKUP(VENTAS[[#This Row],[Código del producto Vendido]],STOCK[],5,FALSE),"-")</f>
        <v> Top Básico Business </v>
      </c>
      <c r="G561" s="34">
        <v>1</v>
      </c>
      <c r="H561" s="35">
        <v>12</v>
      </c>
      <c r="I561" s="35">
        <f>VENTAS[[#This Row],[Cantidad]]*VENTAS[[#This Row],[Precio Venta]]</f>
        <v>12</v>
      </c>
      <c r="J561" s="35">
        <f>IF(VENTAS[[#This Row],[Nombre del Gestor]]&gt;1,VENTAS[[#This Row],[Total]]*10%,0)</f>
        <v>0</v>
      </c>
      <c r="K561" s="35">
        <f>IFERROR(VLOOKUP(VENTAS[[#This Row],[Código del producto Vendido]],STOCK[],16,FALSE)*VENTAS[[#This Row],[Cantidad]]+VLOOKUP(VENTAS[[#This Row],[Código del producto Vendido]],STOCK[],19,FALSE)*VENTAS[[#This Row],[Cantidad]],VENTAS[[#This Row],[Total]])</f>
        <v>6.78409090909091</v>
      </c>
      <c r="L561" s="35">
        <f>VENTAS[[#This Row],[Total]]-VENTAS[[#This Row],[Comisión 10%]]-VENTAS[[#This Row],[Costo SIN Comision]]</f>
        <v>5.21590909090909</v>
      </c>
      <c r="M561" s="35"/>
    </row>
    <row r="562" ht="20" customHeight="1" spans="1:13">
      <c r="A562" s="29" t="s">
        <v>3446</v>
      </c>
      <c r="B562" s="30"/>
      <c r="C562" s="30"/>
      <c r="D562" s="30"/>
      <c r="E562" s="30" t="s">
        <v>966</v>
      </c>
      <c r="F562" s="34" t="str">
        <f>IFERROR(VLOOKUP(VENTAS[[#This Row],[Código del producto Vendido]],STOCK[],5,FALSE),"-")</f>
        <v> Top Básico Business</v>
      </c>
      <c r="G562" s="34">
        <v>1</v>
      </c>
      <c r="H562" s="35">
        <v>12</v>
      </c>
      <c r="I562" s="35">
        <f>VENTAS[[#This Row],[Cantidad]]*VENTAS[[#This Row],[Precio Venta]]</f>
        <v>12</v>
      </c>
      <c r="J562" s="35">
        <f>IF(VENTAS[[#This Row],[Nombre del Gestor]]&gt;1,VENTAS[[#This Row],[Total]]*10%,0)</f>
        <v>0</v>
      </c>
      <c r="K562" s="35">
        <f>IFERROR(VLOOKUP(VENTAS[[#This Row],[Código del producto Vendido]],STOCK[],16,FALSE)*VENTAS[[#This Row],[Cantidad]]+VLOOKUP(VENTAS[[#This Row],[Código del producto Vendido]],STOCK[],19,FALSE)*VENTAS[[#This Row],[Cantidad]],VENTAS[[#This Row],[Total]])</f>
        <v>6.78409090909091</v>
      </c>
      <c r="L562" s="35">
        <f>VENTAS[[#This Row],[Total]]-VENTAS[[#This Row],[Comisión 10%]]-VENTAS[[#This Row],[Costo SIN Comision]]</f>
        <v>5.21590909090909</v>
      </c>
      <c r="M562" s="35"/>
    </row>
    <row r="563" ht="20" customHeight="1" spans="1:13">
      <c r="A563" s="29" t="s">
        <v>3446</v>
      </c>
      <c r="B563" s="30"/>
      <c r="C563" s="30"/>
      <c r="D563" s="30"/>
      <c r="E563" s="30" t="s">
        <v>915</v>
      </c>
      <c r="F563" s="34" t="str">
        <f>IFERROR(VLOOKUP(VENTAS[[#This Row],[Código del producto Vendido]],STOCK[],5,FALSE),"-")</f>
        <v>Camiseta con Dibujo</v>
      </c>
      <c r="G563" s="34">
        <v>1</v>
      </c>
      <c r="H563" s="35">
        <v>14</v>
      </c>
      <c r="I563" s="35">
        <f>VENTAS[[#This Row],[Cantidad]]*VENTAS[[#This Row],[Precio Venta]]</f>
        <v>14</v>
      </c>
      <c r="J563" s="35">
        <f>IF(VENTAS[[#This Row],[Nombre del Gestor]]&gt;1,VENTAS[[#This Row],[Total]]*10%,0)</f>
        <v>0</v>
      </c>
      <c r="K563" s="35">
        <f>IFERROR(VLOOKUP(VENTAS[[#This Row],[Código del producto Vendido]],STOCK[],16,FALSE)*VENTAS[[#This Row],[Cantidad]]+VLOOKUP(VENTAS[[#This Row],[Código del producto Vendido]],STOCK[],19,FALSE)*VENTAS[[#This Row],[Cantidad]],VENTAS[[#This Row],[Total]])</f>
        <v>10.1622727272727</v>
      </c>
      <c r="L563" s="35">
        <f>VENTAS[[#This Row],[Total]]-VENTAS[[#This Row],[Comisión 10%]]-VENTAS[[#This Row],[Costo SIN Comision]]</f>
        <v>3.83772727272727</v>
      </c>
      <c r="M563" s="35"/>
    </row>
    <row r="564" ht="20" customHeight="1" spans="1:13">
      <c r="A564" s="29" t="s">
        <v>3446</v>
      </c>
      <c r="B564" s="30"/>
      <c r="C564" s="30"/>
      <c r="D564" s="30"/>
      <c r="E564" s="30" t="s">
        <v>943</v>
      </c>
      <c r="F564" s="34" t="str">
        <f>IFERROR(VLOOKUP(VENTAS[[#This Row],[Código del producto Vendido]],STOCK[],5,FALSE),"-")</f>
        <v> Top Básico Business Crema</v>
      </c>
      <c r="G564" s="34">
        <v>1</v>
      </c>
      <c r="H564" s="35">
        <v>12</v>
      </c>
      <c r="I564" s="35">
        <f>VENTAS[[#This Row],[Cantidad]]*VENTAS[[#This Row],[Precio Venta]]</f>
        <v>12</v>
      </c>
      <c r="J564" s="35">
        <f>IF(VENTAS[[#This Row],[Nombre del Gestor]]&gt;1,VENTAS[[#This Row],[Total]]*10%,0)</f>
        <v>0</v>
      </c>
      <c r="K564" s="35">
        <f>IFERROR(VLOOKUP(VENTAS[[#This Row],[Código del producto Vendido]],STOCK[],16,FALSE)*VENTAS[[#This Row],[Cantidad]]+VLOOKUP(VENTAS[[#This Row],[Código del producto Vendido]],STOCK[],19,FALSE)*VENTAS[[#This Row],[Cantidad]],VENTAS[[#This Row],[Total]])</f>
        <v>7.20909090909091</v>
      </c>
      <c r="L564" s="35">
        <f>VENTAS[[#This Row],[Total]]-VENTAS[[#This Row],[Comisión 10%]]-VENTAS[[#This Row],[Costo SIN Comision]]</f>
        <v>4.79090909090909</v>
      </c>
      <c r="M564" s="35"/>
    </row>
    <row r="565" ht="20" customHeight="1" spans="1:13">
      <c r="A565" s="29" t="s">
        <v>3446</v>
      </c>
      <c r="B565" s="30"/>
      <c r="C565" s="30"/>
      <c r="D565" s="30"/>
      <c r="E565" s="30" t="s">
        <v>1058</v>
      </c>
      <c r="F565" s="34" t="str">
        <f>IFERROR(VLOOKUP(VENTAS[[#This Row],[Código del producto Vendido]],STOCK[],5,FALSE),"-")</f>
        <v>Top de cuadros</v>
      </c>
      <c r="G565" s="34">
        <v>1</v>
      </c>
      <c r="H565" s="35">
        <v>9</v>
      </c>
      <c r="I565" s="35">
        <f>VENTAS[[#This Row],[Cantidad]]*VENTAS[[#This Row],[Precio Venta]]</f>
        <v>9</v>
      </c>
      <c r="J565" s="35">
        <f>IF(VENTAS[[#This Row],[Nombre del Gestor]]&gt;1,VENTAS[[#This Row],[Total]]*10%,0)</f>
        <v>0</v>
      </c>
      <c r="K565" s="35">
        <f>IFERROR(VLOOKUP(VENTAS[[#This Row],[Código del producto Vendido]],STOCK[],16,FALSE)*VENTAS[[#This Row],[Cantidad]]+VLOOKUP(VENTAS[[#This Row],[Código del producto Vendido]],STOCK[],19,FALSE)*VENTAS[[#This Row],[Cantidad]],VENTAS[[#This Row],[Total]])</f>
        <v>4.99264705882353</v>
      </c>
      <c r="L565" s="35">
        <f>VENTAS[[#This Row],[Total]]-VENTAS[[#This Row],[Comisión 10%]]-VENTAS[[#This Row],[Costo SIN Comision]]</f>
        <v>4.00735294117647</v>
      </c>
      <c r="M565" s="35"/>
    </row>
    <row r="566" ht="20" customHeight="1" spans="1:13">
      <c r="A566" s="29" t="s">
        <v>3446</v>
      </c>
      <c r="B566" s="30"/>
      <c r="C566" s="30"/>
      <c r="D566" s="30"/>
      <c r="E566" s="30" t="s">
        <v>644</v>
      </c>
      <c r="F566" s="34" t="str">
        <f>IFERROR(VLOOKUP(VENTAS[[#This Row],[Código del producto Vendido]],STOCK[],5,FALSE),"-")</f>
        <v>Vestido con estampado jungla</v>
      </c>
      <c r="G566" s="34">
        <v>2</v>
      </c>
      <c r="H566" s="35">
        <v>15</v>
      </c>
      <c r="I566" s="35">
        <f>VENTAS[[#This Row],[Cantidad]]*VENTAS[[#This Row],[Precio Venta]]</f>
        <v>30</v>
      </c>
      <c r="J566" s="35">
        <f>IF(VENTAS[[#This Row],[Nombre del Gestor]]&gt;1,VENTAS[[#This Row],[Total]]*10%,0)</f>
        <v>0</v>
      </c>
      <c r="K566" s="35">
        <f>IFERROR(VLOOKUP(VENTAS[[#This Row],[Código del producto Vendido]],STOCK[],16,FALSE)*VENTAS[[#This Row],[Cantidad]]+VLOOKUP(VENTAS[[#This Row],[Código del producto Vendido]],STOCK[],19,FALSE)*VENTAS[[#This Row],[Cantidad]],VENTAS[[#This Row],[Total]])</f>
        <v>21.4444444444444</v>
      </c>
      <c r="L566" s="35">
        <f>VENTAS[[#This Row],[Total]]-VENTAS[[#This Row],[Comisión 10%]]-VENTAS[[#This Row],[Costo SIN Comision]]</f>
        <v>8.55555555555556</v>
      </c>
      <c r="M566" s="35"/>
    </row>
    <row r="567" ht="20" customHeight="1" spans="1:13">
      <c r="A567" s="29" t="s">
        <v>3446</v>
      </c>
      <c r="B567" s="30"/>
      <c r="C567" s="30"/>
      <c r="D567" s="30"/>
      <c r="E567" s="30" t="s">
        <v>647</v>
      </c>
      <c r="F567" s="34" t="str">
        <f>IFERROR(VLOOKUP(VENTAS[[#This Row],[Código del producto Vendido]],STOCK[],5,FALSE),"-")</f>
        <v>Vestido con estampado jungla</v>
      </c>
      <c r="G567" s="34">
        <v>2</v>
      </c>
      <c r="H567" s="35">
        <v>15</v>
      </c>
      <c r="I567" s="35">
        <f>VENTAS[[#This Row],[Cantidad]]*VENTAS[[#This Row],[Precio Venta]]</f>
        <v>30</v>
      </c>
      <c r="J567" s="35">
        <f>IF(VENTAS[[#This Row],[Nombre del Gestor]]&gt;1,VENTAS[[#This Row],[Total]]*10%,0)</f>
        <v>0</v>
      </c>
      <c r="K567" s="35">
        <f>IFERROR(VLOOKUP(VENTAS[[#This Row],[Código del producto Vendido]],STOCK[],16,FALSE)*VENTAS[[#This Row],[Cantidad]]+VLOOKUP(VENTAS[[#This Row],[Código del producto Vendido]],STOCK[],19,FALSE)*VENTAS[[#This Row],[Cantidad]],VENTAS[[#This Row],[Total]])</f>
        <v>21.4444444444444</v>
      </c>
      <c r="L567" s="35">
        <f>VENTAS[[#This Row],[Total]]-VENTAS[[#This Row],[Comisión 10%]]-VENTAS[[#This Row],[Costo SIN Comision]]</f>
        <v>8.55555555555556</v>
      </c>
      <c r="M567" s="35"/>
    </row>
    <row r="568" ht="20" customHeight="1" spans="1:13">
      <c r="A568" s="29" t="s">
        <v>3446</v>
      </c>
      <c r="B568" s="30"/>
      <c r="C568" s="30"/>
      <c r="D568" s="30"/>
      <c r="E568" s="30" t="s">
        <v>726</v>
      </c>
      <c r="F568" s="34" t="str">
        <f>IFERROR(VLOOKUP(VENTAS[[#This Row],[Código del producto Vendido]],STOCK[],5,FALSE),"-")</f>
        <v>Top acanalado sin mangas</v>
      </c>
      <c r="G568" s="34">
        <v>1</v>
      </c>
      <c r="H568" s="35">
        <v>9</v>
      </c>
      <c r="I568" s="35">
        <f>VENTAS[[#This Row],[Cantidad]]*VENTAS[[#This Row],[Precio Venta]]</f>
        <v>9</v>
      </c>
      <c r="J568" s="35">
        <f>IF(VENTAS[[#This Row],[Nombre del Gestor]]&gt;1,VENTAS[[#This Row],[Total]]*10%,0)</f>
        <v>0</v>
      </c>
      <c r="K568" s="35">
        <f>IFERROR(VLOOKUP(VENTAS[[#This Row],[Código del producto Vendido]],STOCK[],16,FALSE)*VENTAS[[#This Row],[Cantidad]]+VLOOKUP(VENTAS[[#This Row],[Código del producto Vendido]],STOCK[],19,FALSE)*VENTAS[[#This Row],[Cantidad]],VENTAS[[#This Row],[Total]])</f>
        <v>5.02222222222222</v>
      </c>
      <c r="L568" s="35">
        <f>VENTAS[[#This Row],[Total]]-VENTAS[[#This Row],[Comisión 10%]]-VENTAS[[#This Row],[Costo SIN Comision]]</f>
        <v>3.97777777777778</v>
      </c>
      <c r="M568" s="35"/>
    </row>
    <row r="569" ht="20" customHeight="1" spans="1:13">
      <c r="A569" s="29" t="s">
        <v>3446</v>
      </c>
      <c r="B569" s="30"/>
      <c r="C569" s="30"/>
      <c r="D569" s="30"/>
      <c r="E569" s="30" t="s">
        <v>722</v>
      </c>
      <c r="F569" s="34" t="str">
        <f>IFERROR(VLOOKUP(VENTAS[[#This Row],[Código del producto Vendido]],STOCK[],5,FALSE),"-")</f>
        <v>Top acanalado sin mangas</v>
      </c>
      <c r="G569" s="34">
        <v>1</v>
      </c>
      <c r="H569" s="35">
        <v>9</v>
      </c>
      <c r="I569" s="35">
        <f>VENTAS[[#This Row],[Cantidad]]*VENTAS[[#This Row],[Precio Venta]]</f>
        <v>9</v>
      </c>
      <c r="J569" s="35">
        <f>IF(VENTAS[[#This Row],[Nombre del Gestor]]&gt;1,VENTAS[[#This Row],[Total]]*10%,0)</f>
        <v>0</v>
      </c>
      <c r="K569" s="35">
        <f>IFERROR(VLOOKUP(VENTAS[[#This Row],[Código del producto Vendido]],STOCK[],16,FALSE)*VENTAS[[#This Row],[Cantidad]]+VLOOKUP(VENTAS[[#This Row],[Código del producto Vendido]],STOCK[],19,FALSE)*VENTAS[[#This Row],[Cantidad]],VENTAS[[#This Row],[Total]])</f>
        <v>5.02222222222222</v>
      </c>
      <c r="L569" s="35">
        <f>VENTAS[[#This Row],[Total]]-VENTAS[[#This Row],[Comisión 10%]]-VENTAS[[#This Row],[Costo SIN Comision]]</f>
        <v>3.97777777777778</v>
      </c>
      <c r="M569" s="35"/>
    </row>
    <row r="570" ht="20" customHeight="1" spans="1:13">
      <c r="A570" s="29" t="s">
        <v>3446</v>
      </c>
      <c r="B570" s="30"/>
      <c r="C570" s="30"/>
      <c r="D570" s="30"/>
      <c r="E570" s="30" t="s">
        <v>790</v>
      </c>
      <c r="F570" s="34" t="str">
        <f>IFERROR(VLOOKUP(VENTAS[[#This Row],[Código del producto Vendido]],STOCK[],5,FALSE),"-")</f>
        <v>Bermuda denim</v>
      </c>
      <c r="G570" s="34">
        <v>1</v>
      </c>
      <c r="H570" s="35">
        <v>19</v>
      </c>
      <c r="I570" s="35">
        <f>VENTAS[[#This Row],[Cantidad]]*VENTAS[[#This Row],[Precio Venta]]</f>
        <v>19</v>
      </c>
      <c r="J570" s="35">
        <f>IF(VENTAS[[#This Row],[Nombre del Gestor]]&gt;1,VENTAS[[#This Row],[Total]]*10%,0)</f>
        <v>0</v>
      </c>
      <c r="K570" s="35">
        <f>IFERROR(VLOOKUP(VENTAS[[#This Row],[Código del producto Vendido]],STOCK[],16,FALSE)*VENTAS[[#This Row],[Cantidad]]+VLOOKUP(VENTAS[[#This Row],[Código del producto Vendido]],STOCK[],19,FALSE)*VENTAS[[#This Row],[Cantidad]],VENTAS[[#This Row],[Total]])</f>
        <v>13.0555555555556</v>
      </c>
      <c r="L570" s="35">
        <f>VENTAS[[#This Row],[Total]]-VENTAS[[#This Row],[Comisión 10%]]-VENTAS[[#This Row],[Costo SIN Comision]]</f>
        <v>5.9444444444444</v>
      </c>
      <c r="M570" s="35"/>
    </row>
    <row r="571" ht="20" customHeight="1" spans="1:13">
      <c r="A571" s="29" t="s">
        <v>3446</v>
      </c>
      <c r="B571" s="30"/>
      <c r="C571" s="30"/>
      <c r="D571" s="30"/>
      <c r="E571" s="30" t="s">
        <v>981</v>
      </c>
      <c r="F571" s="34" t="str">
        <f>IFERROR(VLOOKUP(VENTAS[[#This Row],[Código del producto Vendido]],STOCK[],5,FALSE),"-")</f>
        <v> Top Mangas Fruncidas</v>
      </c>
      <c r="G571" s="34">
        <v>1</v>
      </c>
      <c r="H571" s="35">
        <v>12</v>
      </c>
      <c r="I571" s="35">
        <f>VENTAS[[#This Row],[Cantidad]]*VENTAS[[#This Row],[Precio Venta]]</f>
        <v>12</v>
      </c>
      <c r="J571" s="35">
        <f>IF(VENTAS[[#This Row],[Nombre del Gestor]]&gt;1,VENTAS[[#This Row],[Total]]*10%,0)</f>
        <v>0</v>
      </c>
      <c r="K571" s="35">
        <f>IFERROR(VLOOKUP(VENTAS[[#This Row],[Código del producto Vendido]],STOCK[],16,FALSE)*VENTAS[[#This Row],[Cantidad]]+VLOOKUP(VENTAS[[#This Row],[Código del producto Vendido]],STOCK[],19,FALSE)*VENTAS[[#This Row],[Cantidad]],VENTAS[[#This Row],[Total]])</f>
        <v>6.81136363636364</v>
      </c>
      <c r="L571" s="35">
        <f>VENTAS[[#This Row],[Total]]-VENTAS[[#This Row],[Comisión 10%]]-VENTAS[[#This Row],[Costo SIN Comision]]</f>
        <v>5.18863636363636</v>
      </c>
      <c r="M571" s="35"/>
    </row>
    <row r="572" ht="20" customHeight="1" spans="1:13">
      <c r="A572" s="29" t="s">
        <v>3446</v>
      </c>
      <c r="B572" s="30"/>
      <c r="C572" s="30"/>
      <c r="D572" s="30"/>
      <c r="E572" s="30" t="s">
        <v>1013</v>
      </c>
      <c r="F572" s="34" t="str">
        <f>IFERROR(VLOOKUP(VENTAS[[#This Row],[Código del producto Vendido]],STOCK[],5,FALSE),"-")</f>
        <v>Set de sujetador con tira ajustable 2 paquetes</v>
      </c>
      <c r="G572" s="34">
        <v>1</v>
      </c>
      <c r="H572" s="35">
        <v>12</v>
      </c>
      <c r="I572" s="35">
        <f>VENTAS[[#This Row],[Cantidad]]*VENTAS[[#This Row],[Precio Venta]]</f>
        <v>12</v>
      </c>
      <c r="J572" s="35">
        <f>IF(VENTAS[[#This Row],[Nombre del Gestor]]&gt;1,VENTAS[[#This Row],[Total]]*10%,0)</f>
        <v>0</v>
      </c>
      <c r="K572" s="35">
        <f>IFERROR(VLOOKUP(VENTAS[[#This Row],[Código del producto Vendido]],STOCK[],16,FALSE)*VENTAS[[#This Row],[Cantidad]]+VLOOKUP(VENTAS[[#This Row],[Código del producto Vendido]],STOCK[],19,FALSE)*VENTAS[[#This Row],[Cantidad]],VENTAS[[#This Row],[Total]])</f>
        <v>7.69886363636364</v>
      </c>
      <c r="L572" s="35">
        <f>VENTAS[[#This Row],[Total]]-VENTAS[[#This Row],[Comisión 10%]]-VENTAS[[#This Row],[Costo SIN Comision]]</f>
        <v>4.30113636363636</v>
      </c>
      <c r="M572" s="35"/>
    </row>
    <row r="573" ht="20" customHeight="1" spans="1:13">
      <c r="A573" s="29" t="s">
        <v>3446</v>
      </c>
      <c r="B573" s="30"/>
      <c r="C573" s="30"/>
      <c r="D573" s="30"/>
      <c r="E573" s="30" t="s">
        <v>1159</v>
      </c>
      <c r="F573" s="34" t="str">
        <f>IFERROR(VLOOKUP(VENTAS[[#This Row],[Código del producto Vendido]],STOCK[],5,FALSE),"-")</f>
        <v>Pezoneras de silicona</v>
      </c>
      <c r="G573" s="34">
        <v>3</v>
      </c>
      <c r="H573" s="35">
        <v>6</v>
      </c>
      <c r="I573" s="35">
        <f>VENTAS[[#This Row],[Cantidad]]*VENTAS[[#This Row],[Precio Venta]]</f>
        <v>18</v>
      </c>
      <c r="J573" s="35">
        <f>IF(VENTAS[[#This Row],[Nombre del Gestor]]&gt;1,VENTAS[[#This Row],[Total]]*10%,0)</f>
        <v>0</v>
      </c>
      <c r="K573" s="35">
        <f>IFERROR(VLOOKUP(VENTAS[[#This Row],[Código del producto Vendido]],STOCK[],16,FALSE)*VENTAS[[#This Row],[Cantidad]]+VLOOKUP(VENTAS[[#This Row],[Código del producto Vendido]],STOCK[],19,FALSE)*VENTAS[[#This Row],[Cantidad]],VENTAS[[#This Row],[Total]])</f>
        <v>6.09</v>
      </c>
      <c r="L573" s="35">
        <f>VENTAS[[#This Row],[Total]]-VENTAS[[#This Row],[Comisión 10%]]-VENTAS[[#This Row],[Costo SIN Comision]]</f>
        <v>11.91</v>
      </c>
      <c r="M573" s="35"/>
    </row>
    <row r="574" ht="20" customHeight="1" spans="1:13">
      <c r="A574" s="29" t="s">
        <v>3446</v>
      </c>
      <c r="B574" s="30"/>
      <c r="C574" s="30"/>
      <c r="D574" s="30"/>
      <c r="E574" s="30" t="s">
        <v>1198</v>
      </c>
      <c r="F574" s="34" t="str">
        <f>IFERROR(VLOOKUP(VENTAS[[#This Row],[Código del producto Vendido]],STOCK[],5,FALSE),"-")</f>
        <v>Sujetador adhesivo de silicona</v>
      </c>
      <c r="G574" s="34">
        <v>1</v>
      </c>
      <c r="H574" s="35">
        <v>10</v>
      </c>
      <c r="I574" s="35">
        <f>VENTAS[[#This Row],[Cantidad]]*VENTAS[[#This Row],[Precio Venta]]</f>
        <v>10</v>
      </c>
      <c r="J574" s="35">
        <f>IF(VENTAS[[#This Row],[Nombre del Gestor]]&gt;1,VENTAS[[#This Row],[Total]]*10%,0)</f>
        <v>0</v>
      </c>
      <c r="K574" s="35">
        <f>IFERROR(VLOOKUP(VENTAS[[#This Row],[Código del producto Vendido]],STOCK[],16,FALSE)*VENTAS[[#This Row],[Cantidad]]+VLOOKUP(VENTAS[[#This Row],[Código del producto Vendido]],STOCK[],19,FALSE)*VENTAS[[#This Row],[Cantidad]],VENTAS[[#This Row],[Total]])</f>
        <v>5.87</v>
      </c>
      <c r="L574" s="35">
        <f>VENTAS[[#This Row],[Total]]-VENTAS[[#This Row],[Comisión 10%]]-VENTAS[[#This Row],[Costo SIN Comision]]</f>
        <v>4.13</v>
      </c>
      <c r="M574" s="35"/>
    </row>
    <row r="575" ht="20" customHeight="1" spans="1:13">
      <c r="A575" s="29" t="s">
        <v>3446</v>
      </c>
      <c r="B575" s="30"/>
      <c r="C575" s="30"/>
      <c r="D575" s="30"/>
      <c r="E575" s="30" t="s">
        <v>1208</v>
      </c>
      <c r="F575" s="34" t="str">
        <f>IFERROR(VLOOKUP(VENTAS[[#This Row],[Código del producto Vendido]],STOCK[],5,FALSE),"-")</f>
        <v>Pantaloneta roja</v>
      </c>
      <c r="G575" s="34">
        <v>1</v>
      </c>
      <c r="H575" s="35">
        <v>20</v>
      </c>
      <c r="I575" s="35">
        <f>VENTAS[[#This Row],[Cantidad]]*VENTAS[[#This Row],[Precio Venta]]</f>
        <v>20</v>
      </c>
      <c r="J575" s="35">
        <f>IF(VENTAS[[#This Row],[Nombre del Gestor]]&gt;1,VENTAS[[#This Row],[Total]]*10%,0)</f>
        <v>0</v>
      </c>
      <c r="K575" s="35">
        <f>IFERROR(VLOOKUP(VENTAS[[#This Row],[Código del producto Vendido]],STOCK[],16,FALSE)*VENTAS[[#This Row],[Cantidad]]+VLOOKUP(VENTAS[[#This Row],[Código del producto Vendido]],STOCK[],19,FALSE)*VENTAS[[#This Row],[Cantidad]],VENTAS[[#This Row],[Total]])</f>
        <v>13.36</v>
      </c>
      <c r="L575" s="35">
        <f>VENTAS[[#This Row],[Total]]-VENTAS[[#This Row],[Comisión 10%]]-VENTAS[[#This Row],[Costo SIN Comision]]</f>
        <v>6.64</v>
      </c>
      <c r="M575" s="35"/>
    </row>
    <row r="576" ht="20" customHeight="1" spans="1:13">
      <c r="A576" s="29" t="s">
        <v>3446</v>
      </c>
      <c r="B576" s="30"/>
      <c r="C576" s="30"/>
      <c r="D576" s="30"/>
      <c r="E576" s="30" t="s">
        <v>1239</v>
      </c>
      <c r="F576" s="34" t="str">
        <f>IFERROR(VLOOKUP(VENTAS[[#This Row],[Código del producto Vendido]],STOCK[],5,FALSE),"-")</f>
        <v>Cinturón negro con hebilla dorada</v>
      </c>
      <c r="G576" s="34">
        <v>1</v>
      </c>
      <c r="H576" s="35">
        <v>12</v>
      </c>
      <c r="I576" s="35">
        <f>VENTAS[[#This Row],[Cantidad]]*VENTAS[[#This Row],[Precio Venta]]</f>
        <v>12</v>
      </c>
      <c r="J576" s="35">
        <f>IF(VENTAS[[#This Row],[Nombre del Gestor]]&gt;1,VENTAS[[#This Row],[Total]]*10%,0)</f>
        <v>0</v>
      </c>
      <c r="K576" s="35">
        <f>IFERROR(VLOOKUP(VENTAS[[#This Row],[Código del producto Vendido]],STOCK[],16,FALSE)*VENTAS[[#This Row],[Cantidad]]+VLOOKUP(VENTAS[[#This Row],[Código del producto Vendido]],STOCK[],19,FALSE)*VENTAS[[#This Row],[Cantidad]],VENTAS[[#This Row],[Total]])</f>
        <v>4.61</v>
      </c>
      <c r="L576" s="35">
        <f>VENTAS[[#This Row],[Total]]-VENTAS[[#This Row],[Comisión 10%]]-VENTAS[[#This Row],[Costo SIN Comision]]</f>
        <v>7.39</v>
      </c>
      <c r="M576" s="35"/>
    </row>
    <row r="577" ht="20" customHeight="1" spans="1:13">
      <c r="A577" s="29" t="s">
        <v>3449</v>
      </c>
      <c r="B577" s="30" t="str">
        <f>IFERROR(VLOOKUP(VENTAS[[#This Row],[Código del producto Vendido]],STOCK[],25,FALSE),"-")</f>
        <v>Recibido Freddy 24Mayo</v>
      </c>
      <c r="C577" s="30"/>
      <c r="D577" s="30"/>
      <c r="E577" s="30" t="s">
        <v>990</v>
      </c>
      <c r="F577" s="34" t="str">
        <f>IFERROR(VLOOKUP(VENTAS[[#This Row],[Código del producto Vendido]],STOCK[],5,FALSE),"-")</f>
        <v> Top Básico Business Negro</v>
      </c>
      <c r="G577" s="34">
        <v>1</v>
      </c>
      <c r="H577" s="35">
        <v>12</v>
      </c>
      <c r="I577" s="35">
        <f>VENTAS[[#This Row],[Cantidad]]*VENTAS[[#This Row],[Precio Venta]]</f>
        <v>12</v>
      </c>
      <c r="J577" s="35">
        <f>IF(VENTAS[[#This Row],[Nombre del Gestor]]&gt;1,VENTAS[[#This Row],[Total]]*10%,0)</f>
        <v>0</v>
      </c>
      <c r="K577" s="35">
        <f>IFERROR(VLOOKUP(VENTAS[[#This Row],[Código del producto Vendido]],STOCK[],16,FALSE)*VENTAS[[#This Row],[Cantidad]]+VLOOKUP(VENTAS[[#This Row],[Código del producto Vendido]],STOCK[],19,FALSE)*VENTAS[[#This Row],[Cantidad]],VENTAS[[#This Row],[Total]])</f>
        <v>7.37954545454545</v>
      </c>
      <c r="L577" s="35">
        <f>VENTAS[[#This Row],[Total]]-VENTAS[[#This Row],[Comisión 10%]]-VENTAS[[#This Row],[Costo SIN Comision]]</f>
        <v>4.62045454545455</v>
      </c>
      <c r="M577" s="35"/>
    </row>
    <row r="578" ht="20" customHeight="1" spans="1:13">
      <c r="A578" s="29" t="s">
        <v>3449</v>
      </c>
      <c r="B578" s="30" t="str">
        <f>IFERROR(VLOOKUP(VENTAS[[#This Row],[Código del producto Vendido]],STOCK[],25,FALSE),"-")</f>
        <v>-</v>
      </c>
      <c r="C578" s="30"/>
      <c r="D578" s="30"/>
      <c r="E578" s="30" t="s">
        <v>3450</v>
      </c>
      <c r="F578" s="34" t="str">
        <f>IFERROR(VLOOKUP(VENTAS[[#This Row],[Código del producto Vendido]],STOCK[],5,FALSE),"-")</f>
        <v>-</v>
      </c>
      <c r="G578" s="34">
        <v>1</v>
      </c>
      <c r="H578" s="35">
        <v>30</v>
      </c>
      <c r="I578" s="35">
        <f>VENTAS[[#This Row],[Cantidad]]*VENTAS[[#This Row],[Precio Venta]]</f>
        <v>30</v>
      </c>
      <c r="J578" s="35">
        <f>IF(VENTAS[[#This Row],[Nombre del Gestor]]&gt;1,VENTAS[[#This Row],[Total]]*10%,0)</f>
        <v>0</v>
      </c>
      <c r="K578" s="35">
        <f>IFERROR(VLOOKUP(VENTAS[[#This Row],[Código del producto Vendido]],STOCK[],16,FALSE)*VENTAS[[#This Row],[Cantidad]]+VLOOKUP(VENTAS[[#This Row],[Código del producto Vendido]],STOCK[],19,FALSE)*VENTAS[[#This Row],[Cantidad]],VENTAS[[#This Row],[Total]])</f>
        <v>30</v>
      </c>
      <c r="L578" s="35">
        <f>VENTAS[[#This Row],[Total]]-VENTAS[[#This Row],[Comisión 10%]]-VENTAS[[#This Row],[Costo SIN Comision]]</f>
        <v>0</v>
      </c>
      <c r="M578" s="35"/>
    </row>
    <row r="579" ht="20" customHeight="1" spans="1:13">
      <c r="A579" s="29" t="s">
        <v>3449</v>
      </c>
      <c r="B579" s="30" t="str">
        <f>IFERROR(VLOOKUP(VENTAS[[#This Row],[Código del producto Vendido]],STOCK[],25,FALSE),"-")</f>
        <v>Recibido Freddy 12Mayo</v>
      </c>
      <c r="C579" s="30"/>
      <c r="D579" s="30"/>
      <c r="E579" s="30" t="s">
        <v>892</v>
      </c>
      <c r="F579" s="34" t="str">
        <f>IFERROR(VLOOKUP(VENTAS[[#This Row],[Código del producto Vendido]],STOCK[],5,FALSE),"-")</f>
        <v>Top Cisne Blanco</v>
      </c>
      <c r="G579" s="34">
        <v>1</v>
      </c>
      <c r="H579" s="35">
        <v>12</v>
      </c>
      <c r="I579" s="35">
        <f>VENTAS[[#This Row],[Cantidad]]*VENTAS[[#This Row],[Precio Venta]]</f>
        <v>12</v>
      </c>
      <c r="J579" s="35">
        <f>IF(VENTAS[[#This Row],[Nombre del Gestor]]&gt;1,VENTAS[[#This Row],[Total]]*10%,0)</f>
        <v>0</v>
      </c>
      <c r="K579" s="35">
        <f>IFERROR(VLOOKUP(VENTAS[[#This Row],[Código del producto Vendido]],STOCK[],16,FALSE)*VENTAS[[#This Row],[Cantidad]]+VLOOKUP(VENTAS[[#This Row],[Código del producto Vendido]],STOCK[],19,FALSE)*VENTAS[[#This Row],[Cantidad]],VENTAS[[#This Row],[Total]])</f>
        <v>7.97318181818182</v>
      </c>
      <c r="L579" s="35">
        <f>VENTAS[[#This Row],[Total]]-VENTAS[[#This Row],[Comisión 10%]]-VENTAS[[#This Row],[Costo SIN Comision]]</f>
        <v>4.02681818181818</v>
      </c>
      <c r="M579" s="35"/>
    </row>
    <row r="580" ht="20" customHeight="1" spans="1:13">
      <c r="A580" s="29" t="s">
        <v>3449</v>
      </c>
      <c r="B580" s="30">
        <f>IFERROR(VLOOKUP(VENTAS[[#This Row],[Código del producto Vendido]],STOCK[],25,FALSE),"-")</f>
        <v>0</v>
      </c>
      <c r="C580" s="30"/>
      <c r="D580" s="30"/>
      <c r="E580" s="30" t="s">
        <v>153</v>
      </c>
      <c r="F580" s="34" t="str">
        <f>IFERROR(VLOOKUP(VENTAS[[#This Row],[Código del producto Vendido]],STOCK[],5,FALSE),"-")</f>
        <v>Jeans de pierna recta desgarro</v>
      </c>
      <c r="G580" s="34">
        <v>1</v>
      </c>
      <c r="H580" s="35">
        <v>30</v>
      </c>
      <c r="I580" s="35">
        <f>VENTAS[[#This Row],[Cantidad]]*VENTAS[[#This Row],[Precio Venta]]</f>
        <v>30</v>
      </c>
      <c r="J580" s="35">
        <f>IF(VENTAS[[#This Row],[Nombre del Gestor]]&gt;1,VENTAS[[#This Row],[Total]]*10%,0)</f>
        <v>0</v>
      </c>
      <c r="K580" s="35">
        <f>IFERROR(VLOOKUP(VENTAS[[#This Row],[Código del producto Vendido]],STOCK[],16,FALSE)*VENTAS[[#This Row],[Cantidad]]+VLOOKUP(VENTAS[[#This Row],[Código del producto Vendido]],STOCK[],19,FALSE)*VENTAS[[#This Row],[Cantidad]],VENTAS[[#This Row],[Total]])</f>
        <v>18.6866666666667</v>
      </c>
      <c r="L580" s="35">
        <f>VENTAS[[#This Row],[Total]]-VENTAS[[#This Row],[Comisión 10%]]-VENTAS[[#This Row],[Costo SIN Comision]]</f>
        <v>11.3133333333333</v>
      </c>
      <c r="M580" s="35"/>
    </row>
    <row r="581" ht="20" customHeight="1" spans="1:13">
      <c r="A581" s="29" t="s">
        <v>3449</v>
      </c>
      <c r="B581" s="30" t="str">
        <f>IFERROR(VLOOKUP(VENTAS[[#This Row],[Código del producto Vendido]],STOCK[],25,FALSE),"-")</f>
        <v>Yenma 19 Mayo</v>
      </c>
      <c r="C581" s="30"/>
      <c r="D581" s="30"/>
      <c r="E581" s="30" t="s">
        <v>220</v>
      </c>
      <c r="F581" s="34" t="str">
        <f>IFERROR(VLOOKUP(VENTAS[[#This Row],[Código del producto Vendido]],STOCK[],5,FALSE),"-")</f>
        <v>Vestido slip abertura de espalda abierta de cuello desbocado</v>
      </c>
      <c r="G581" s="34">
        <v>1</v>
      </c>
      <c r="H581" s="35">
        <v>30</v>
      </c>
      <c r="I581" s="35">
        <f>VENTAS[[#This Row],[Cantidad]]*VENTAS[[#This Row],[Precio Venta]]</f>
        <v>30</v>
      </c>
      <c r="J581" s="35">
        <f>IF(VENTAS[[#This Row],[Nombre del Gestor]]&gt;1,VENTAS[[#This Row],[Total]]*10%,0)</f>
        <v>0</v>
      </c>
      <c r="K581" s="35">
        <f>IFERROR(VLOOKUP(VENTAS[[#This Row],[Código del producto Vendido]],STOCK[],16,FALSE)*VENTAS[[#This Row],[Cantidad]]+VLOOKUP(VENTAS[[#This Row],[Código del producto Vendido]],STOCK[],19,FALSE)*VENTAS[[#This Row],[Cantidad]],VENTAS[[#This Row],[Total]])</f>
        <v>16.4866666666667</v>
      </c>
      <c r="L581" s="35">
        <f>VENTAS[[#This Row],[Total]]-VENTAS[[#This Row],[Comisión 10%]]-VENTAS[[#This Row],[Costo SIN Comision]]</f>
        <v>13.5133333333333</v>
      </c>
      <c r="M581" s="35"/>
    </row>
    <row r="582" ht="20" customHeight="1" spans="1:13">
      <c r="A582" s="29" t="s">
        <v>3449</v>
      </c>
      <c r="B582" s="30" t="str">
        <f>IFERROR(VLOOKUP(VENTAS[[#This Row],[Código del producto Vendido]],STOCK[],25,FALSE),"-")</f>
        <v>recibido yenma correos 8mayo</v>
      </c>
      <c r="C582" s="30"/>
      <c r="D582" s="30"/>
      <c r="E582" s="30" t="s">
        <v>295</v>
      </c>
      <c r="F582" s="34" t="str">
        <f>IFERROR(VLOOKUP(VENTAS[[#This Row],[Código del producto Vendido]],STOCK[],5,FALSE),"-")</f>
        <v>Conjunto falda y blusa</v>
      </c>
      <c r="G582" s="34">
        <v>1</v>
      </c>
      <c r="H582" s="35">
        <v>45</v>
      </c>
      <c r="I582" s="35">
        <f>VENTAS[[#This Row],[Cantidad]]*VENTAS[[#This Row],[Precio Venta]]</f>
        <v>45</v>
      </c>
      <c r="J582" s="35">
        <f>IF(VENTAS[[#This Row],[Nombre del Gestor]]&gt;1,VENTAS[[#This Row],[Total]]*10%,0)</f>
        <v>0</v>
      </c>
      <c r="K582" s="35">
        <f>IFERROR(VLOOKUP(VENTAS[[#This Row],[Código del producto Vendido]],STOCK[],16,FALSE)*VENTAS[[#This Row],[Cantidad]]+VLOOKUP(VENTAS[[#This Row],[Código del producto Vendido]],STOCK[],19,FALSE)*VENTAS[[#This Row],[Cantidad]],VENTAS[[#This Row],[Total]])</f>
        <v>19.1533333333333</v>
      </c>
      <c r="L582" s="35">
        <f>VENTAS[[#This Row],[Total]]-VENTAS[[#This Row],[Comisión 10%]]-VENTAS[[#This Row],[Costo SIN Comision]]</f>
        <v>25.8466666666667</v>
      </c>
      <c r="M582" s="35"/>
    </row>
    <row r="583" ht="20" customHeight="1" spans="1:13">
      <c r="A583" s="29" t="s">
        <v>3449</v>
      </c>
      <c r="B583" s="30">
        <f>IFERROR(VLOOKUP(VENTAS[[#This Row],[Código del producto Vendido]],STOCK[],25,FALSE),"-")</f>
        <v>0</v>
      </c>
      <c r="C583" s="30"/>
      <c r="D583" s="30"/>
      <c r="E583" s="30" t="s">
        <v>441</v>
      </c>
      <c r="F583" s="34" t="str">
        <f>IFERROR(VLOOKUP(VENTAS[[#This Row],[Código del producto Vendido]],STOCK[],5,FALSE),"-")</f>
        <v>Top corto de cuello cuadrado </v>
      </c>
      <c r="G583" s="34">
        <v>1</v>
      </c>
      <c r="H583" s="35">
        <v>12</v>
      </c>
      <c r="I583" s="35">
        <f>VENTAS[[#This Row],[Cantidad]]*VENTAS[[#This Row],[Precio Venta]]</f>
        <v>12</v>
      </c>
      <c r="J583" s="35">
        <f>IF(VENTAS[[#This Row],[Nombre del Gestor]]&gt;1,VENTAS[[#This Row],[Total]]*10%,0)</f>
        <v>0</v>
      </c>
      <c r="K583" s="35">
        <f>IFERROR(VLOOKUP(VENTAS[[#This Row],[Código del producto Vendido]],STOCK[],16,FALSE)*VENTAS[[#This Row],[Cantidad]]+VLOOKUP(VENTAS[[#This Row],[Código del producto Vendido]],STOCK[],19,FALSE)*VENTAS[[#This Row],[Cantidad]],VENTAS[[#This Row],[Total]])</f>
        <v>7.43444444444444</v>
      </c>
      <c r="L583" s="35">
        <f>VENTAS[[#This Row],[Total]]-VENTAS[[#This Row],[Comisión 10%]]-VENTAS[[#This Row],[Costo SIN Comision]]</f>
        <v>4.56555555555556</v>
      </c>
      <c r="M583" s="35"/>
    </row>
    <row r="584" ht="20" customHeight="1" spans="1:13">
      <c r="A584" s="29" t="s">
        <v>3449</v>
      </c>
      <c r="B584" s="30">
        <f>IFERROR(VLOOKUP(VENTAS[[#This Row],[Código del producto Vendido]],STOCK[],25,FALSE),"-")</f>
        <v>0</v>
      </c>
      <c r="C584" s="30"/>
      <c r="D584" s="30"/>
      <c r="E584" s="30" t="s">
        <v>478</v>
      </c>
      <c r="F584" s="34" t="str">
        <f>IFERROR(VLOOKUP(VENTAS[[#This Row],[Código del producto Vendido]],STOCK[],5,FALSE),"-")</f>
        <v>Bolsa cuadrada mini geométrico </v>
      </c>
      <c r="G584" s="34">
        <v>1</v>
      </c>
      <c r="H584" s="35">
        <v>0</v>
      </c>
      <c r="I584" s="35">
        <f>VENTAS[[#This Row],[Cantidad]]*VENTAS[[#This Row],[Precio Venta]]</f>
        <v>0</v>
      </c>
      <c r="J584" s="35">
        <f>IF(VENTAS[[#This Row],[Nombre del Gestor]]&gt;1,VENTAS[[#This Row],[Total]]*10%,0)</f>
        <v>0</v>
      </c>
      <c r="K584" s="35">
        <f>IFERROR(VLOOKUP(VENTAS[[#This Row],[Código del producto Vendido]],STOCK[],16,FALSE)*VENTAS[[#This Row],[Cantidad]]+VLOOKUP(VENTAS[[#This Row],[Código del producto Vendido]],STOCK[],19,FALSE)*VENTAS[[#This Row],[Cantidad]],VENTAS[[#This Row],[Total]])</f>
        <v>6.33777777777778</v>
      </c>
      <c r="L584" s="35">
        <f>VENTAS[[#This Row],[Total]]-VENTAS[[#This Row],[Comisión 10%]]-VENTAS[[#This Row],[Costo SIN Comision]]</f>
        <v>-6.33777777777778</v>
      </c>
      <c r="M584" s="35"/>
    </row>
    <row r="585" ht="20" customHeight="1" spans="1:13">
      <c r="A585" s="29" t="s">
        <v>3449</v>
      </c>
      <c r="B585" s="30">
        <f>IFERROR(VLOOKUP(VENTAS[[#This Row],[Código del producto Vendido]],STOCK[],25,FALSE),"-")</f>
        <v>0</v>
      </c>
      <c r="C585" s="30"/>
      <c r="D585" s="30"/>
      <c r="E585" s="30" t="s">
        <v>517</v>
      </c>
      <c r="F585" s="34" t="str">
        <f>IFERROR(VLOOKUP(VENTAS[[#This Row],[Código del producto Vendido]],STOCK[],5,FALSE),"-")</f>
        <v>Calcetines unicolor</v>
      </c>
      <c r="G585" s="34">
        <v>8</v>
      </c>
      <c r="H585" s="35">
        <v>1.5</v>
      </c>
      <c r="I585" s="35">
        <f>VENTAS[[#This Row],[Cantidad]]*VENTAS[[#This Row],[Precio Venta]]</f>
        <v>12</v>
      </c>
      <c r="J585" s="35">
        <f>IF(VENTAS[[#This Row],[Nombre del Gestor]]&gt;1,VENTAS[[#This Row],[Total]]*10%,0)</f>
        <v>0</v>
      </c>
      <c r="K585" s="35">
        <f>IFERROR(VLOOKUP(VENTAS[[#This Row],[Código del producto Vendido]],STOCK[],16,FALSE)*VENTAS[[#This Row],[Cantidad]]+VLOOKUP(VENTAS[[#This Row],[Código del producto Vendido]],STOCK[],19,FALSE)*VENTAS[[#This Row],[Cantidad]],VENTAS[[#This Row],[Total]])</f>
        <v>6.75555555555555</v>
      </c>
      <c r="L585" s="35">
        <f>VENTAS[[#This Row],[Total]]-VENTAS[[#This Row],[Comisión 10%]]-VENTAS[[#This Row],[Costo SIN Comision]]</f>
        <v>5.24444444444445</v>
      </c>
      <c r="M585" s="35"/>
    </row>
    <row r="586" ht="20" customHeight="1" spans="1:13">
      <c r="A586" s="29" t="s">
        <v>3449</v>
      </c>
      <c r="B586" s="30">
        <f>IFERROR(VLOOKUP(VENTAS[[#This Row],[Código del producto Vendido]],STOCK[],25,FALSE),"-")</f>
        <v>0</v>
      </c>
      <c r="C586" s="30"/>
      <c r="D586" s="30"/>
      <c r="E586" s="30" t="s">
        <v>626</v>
      </c>
      <c r="F586" s="34" t="str">
        <f>IFERROR(VLOOKUP(VENTAS[[#This Row],[Código del producto Vendido]],STOCK[],5,FALSE),"-")</f>
        <v>Vestido vaporoso</v>
      </c>
      <c r="G586" s="34">
        <v>1</v>
      </c>
      <c r="H586" s="35">
        <v>16</v>
      </c>
      <c r="I586" s="35">
        <f>VENTAS[[#This Row],[Cantidad]]*VENTAS[[#This Row],[Precio Venta]]</f>
        <v>16</v>
      </c>
      <c r="J586" s="35">
        <f>IF(VENTAS[[#This Row],[Nombre del Gestor]]&gt;1,VENTAS[[#This Row],[Total]]*10%,0)</f>
        <v>0</v>
      </c>
      <c r="K586" s="35">
        <f>IFERROR(VLOOKUP(VENTAS[[#This Row],[Código del producto Vendido]],STOCK[],16,FALSE)*VENTAS[[#This Row],[Cantidad]]+VLOOKUP(VENTAS[[#This Row],[Código del producto Vendido]],STOCK[],19,FALSE)*VENTAS[[#This Row],[Cantidad]],VENTAS[[#This Row],[Total]])</f>
        <v>10.7222222222222</v>
      </c>
      <c r="L586" s="35">
        <f>VENTAS[[#This Row],[Total]]-VENTAS[[#This Row],[Comisión 10%]]-VENTAS[[#This Row],[Costo SIN Comision]]</f>
        <v>5.27777777777778</v>
      </c>
      <c r="M586" s="35"/>
    </row>
    <row r="587" ht="20" customHeight="1" spans="1:13">
      <c r="A587" s="29" t="s">
        <v>3449</v>
      </c>
      <c r="B587" s="30">
        <f>IFERROR(VLOOKUP(VENTAS[[#This Row],[Código del producto Vendido]],STOCK[],25,FALSE),"-")</f>
        <v>0</v>
      </c>
      <c r="C587" s="30"/>
      <c r="D587" s="30"/>
      <c r="E587" s="30" t="s">
        <v>726</v>
      </c>
      <c r="F587" s="34" t="str">
        <f>IFERROR(VLOOKUP(VENTAS[[#This Row],[Código del producto Vendido]],STOCK[],5,FALSE),"-")</f>
        <v>Top acanalado sin mangas</v>
      </c>
      <c r="G587" s="34">
        <v>1</v>
      </c>
      <c r="H587" s="35">
        <v>12</v>
      </c>
      <c r="I587" s="35">
        <f>VENTAS[[#This Row],[Cantidad]]*VENTAS[[#This Row],[Precio Venta]]</f>
        <v>12</v>
      </c>
      <c r="J587" s="35">
        <f>IF(VENTAS[[#This Row],[Nombre del Gestor]]&gt;1,VENTAS[[#This Row],[Total]]*10%,0)</f>
        <v>0</v>
      </c>
      <c r="K587" s="35">
        <f>IFERROR(VLOOKUP(VENTAS[[#This Row],[Código del producto Vendido]],STOCK[],16,FALSE)*VENTAS[[#This Row],[Cantidad]]+VLOOKUP(VENTAS[[#This Row],[Código del producto Vendido]],STOCK[],19,FALSE)*VENTAS[[#This Row],[Cantidad]],VENTAS[[#This Row],[Total]])</f>
        <v>5.02222222222222</v>
      </c>
      <c r="L587" s="35">
        <f>VENTAS[[#This Row],[Total]]-VENTAS[[#This Row],[Comisión 10%]]-VENTAS[[#This Row],[Costo SIN Comision]]</f>
        <v>6.97777777777778</v>
      </c>
      <c r="M587" s="35"/>
    </row>
    <row r="588" ht="20" customHeight="1" spans="1:13">
      <c r="A588" s="29" t="s">
        <v>3449</v>
      </c>
      <c r="B588" s="30">
        <f>IFERROR(VLOOKUP(VENTAS[[#This Row],[Código del producto Vendido]],STOCK[],25,FALSE),"-")</f>
        <v>0</v>
      </c>
      <c r="C588" s="30"/>
      <c r="D588" s="30"/>
      <c r="E588" s="30" t="s">
        <v>736</v>
      </c>
      <c r="F588" s="34" t="str">
        <f>IFERROR(VLOOKUP(VENTAS[[#This Row],[Código del producto Vendido]],STOCK[],5,FALSE),"-")</f>
        <v>Sostén Push-up</v>
      </c>
      <c r="G588" s="34">
        <v>1</v>
      </c>
      <c r="H588" s="35">
        <v>12</v>
      </c>
      <c r="I588" s="35">
        <f>VENTAS[[#This Row],[Cantidad]]*VENTAS[[#This Row],[Precio Venta]]</f>
        <v>12</v>
      </c>
      <c r="J588" s="35">
        <f>IF(VENTAS[[#This Row],[Nombre del Gestor]]&gt;1,VENTAS[[#This Row],[Total]]*10%,0)</f>
        <v>0</v>
      </c>
      <c r="K588" s="35">
        <f>IFERROR(VLOOKUP(VENTAS[[#This Row],[Código del producto Vendido]],STOCK[],16,FALSE)*VENTAS[[#This Row],[Cantidad]]+VLOOKUP(VENTAS[[#This Row],[Código del producto Vendido]],STOCK[],19,FALSE)*VENTAS[[#This Row],[Cantidad]],VENTAS[[#This Row],[Total]])</f>
        <v>11.1333333333333</v>
      </c>
      <c r="L588" s="35">
        <f>VENTAS[[#This Row],[Total]]-VENTAS[[#This Row],[Comisión 10%]]-VENTAS[[#This Row],[Costo SIN Comision]]</f>
        <v>0.866666666666699</v>
      </c>
      <c r="M588" s="35"/>
    </row>
    <row r="589" ht="20" customHeight="1" spans="1:13">
      <c r="A589" s="29" t="s">
        <v>3449</v>
      </c>
      <c r="B589" s="30">
        <f>IFERROR(VLOOKUP(VENTAS[[#This Row],[Código del producto Vendido]],STOCK[],25,FALSE),"-")</f>
        <v>0</v>
      </c>
      <c r="C589" s="30"/>
      <c r="D589" s="30"/>
      <c r="E589" s="30" t="s">
        <v>832</v>
      </c>
      <c r="F589" s="34" t="str">
        <f>IFERROR(VLOOKUP(VENTAS[[#This Row],[Código del producto Vendido]],STOCK[],5,FALSE),"-")</f>
        <v>Rubor rosa</v>
      </c>
      <c r="G589" s="34">
        <v>1</v>
      </c>
      <c r="H589" s="35">
        <v>0</v>
      </c>
      <c r="I589" s="35">
        <f>VENTAS[[#This Row],[Cantidad]]*VENTAS[[#This Row],[Precio Venta]]</f>
        <v>0</v>
      </c>
      <c r="J589" s="35">
        <f>IF(VENTAS[[#This Row],[Nombre del Gestor]]&gt;1,VENTAS[[#This Row],[Total]]*10%,0)</f>
        <v>0</v>
      </c>
      <c r="K589" s="35">
        <f>IFERROR(VLOOKUP(VENTAS[[#This Row],[Código del producto Vendido]],STOCK[],16,FALSE)*VENTAS[[#This Row],[Cantidad]]+VLOOKUP(VENTAS[[#This Row],[Código del producto Vendido]],STOCK[],19,FALSE)*VENTAS[[#This Row],[Cantidad]],VENTAS[[#This Row],[Total]])</f>
        <v>4.33333333333333</v>
      </c>
      <c r="L589" s="35">
        <f>VENTAS[[#This Row],[Total]]-VENTAS[[#This Row],[Comisión 10%]]-VENTAS[[#This Row],[Costo SIN Comision]]</f>
        <v>-4.33333333333333</v>
      </c>
      <c r="M589" s="35"/>
    </row>
    <row r="590" ht="20" customHeight="1" spans="1:13">
      <c r="A590" s="29" t="s">
        <v>3449</v>
      </c>
      <c r="B590" s="30">
        <f>IFERROR(VLOOKUP(VENTAS[[#This Row],[Código del producto Vendido]],STOCK[],25,FALSE),"-")</f>
        <v>0</v>
      </c>
      <c r="C590" s="30"/>
      <c r="D590" s="30"/>
      <c r="E590" s="30" t="s">
        <v>835</v>
      </c>
      <c r="F590" s="34" t="str">
        <f>IFERROR(VLOOKUP(VENTAS[[#This Row],[Código del producto Vendido]],STOCK[],5,FALSE),"-")</f>
        <v>Vestido pasión</v>
      </c>
      <c r="G590" s="34">
        <v>1</v>
      </c>
      <c r="H590" s="35">
        <v>35</v>
      </c>
      <c r="I590" s="35">
        <f>VENTAS[[#This Row],[Cantidad]]*VENTAS[[#This Row],[Precio Venta]]</f>
        <v>35</v>
      </c>
      <c r="J590" s="35">
        <f>IF(VENTAS[[#This Row],[Nombre del Gestor]]&gt;1,VENTAS[[#This Row],[Total]]*10%,0)</f>
        <v>0</v>
      </c>
      <c r="K590" s="35">
        <f>IFERROR(VLOOKUP(VENTAS[[#This Row],[Código del producto Vendido]],STOCK[],16,FALSE)*VENTAS[[#This Row],[Cantidad]]+VLOOKUP(VENTAS[[#This Row],[Código del producto Vendido]],STOCK[],19,FALSE)*VENTAS[[#This Row],[Cantidad]],VENTAS[[#This Row],[Total]])</f>
        <v>26.3888888888889</v>
      </c>
      <c r="L590" s="35">
        <f>VENTAS[[#This Row],[Total]]-VENTAS[[#This Row],[Comisión 10%]]-VENTAS[[#This Row],[Costo SIN Comision]]</f>
        <v>8.6111111111111</v>
      </c>
      <c r="M590" s="35"/>
    </row>
    <row r="591" ht="20" customHeight="1" spans="1:13">
      <c r="A591" s="29" t="s">
        <v>3449</v>
      </c>
      <c r="B591" s="30">
        <f>IFERROR(VLOOKUP(VENTAS[[#This Row],[Código del producto Vendido]],STOCK[],25,FALSE),"-")</f>
        <v>0</v>
      </c>
      <c r="C591" s="30"/>
      <c r="D591" s="30"/>
      <c r="E591" s="30" t="s">
        <v>875</v>
      </c>
      <c r="F591" s="34" t="str">
        <f>IFERROR(VLOOKUP(VENTAS[[#This Row],[Código del producto Vendido]],STOCK[],5,FALSE),"-")</f>
        <v>Brasier de encaje_Negro Unitalla</v>
      </c>
      <c r="G591" s="34">
        <v>1</v>
      </c>
      <c r="H591" s="35">
        <v>7</v>
      </c>
      <c r="I591" s="35">
        <f>VENTAS[[#This Row],[Cantidad]]*VENTAS[[#This Row],[Precio Venta]]</f>
        <v>7</v>
      </c>
      <c r="J591" s="35">
        <f>IF(VENTAS[[#This Row],[Nombre del Gestor]]&gt;1,VENTAS[[#This Row],[Total]]*10%,0)</f>
        <v>0</v>
      </c>
      <c r="K591" s="35">
        <f>IFERROR(VLOOKUP(VENTAS[[#This Row],[Código del producto Vendido]],STOCK[],16,FALSE)*VENTAS[[#This Row],[Cantidad]]+VLOOKUP(VENTAS[[#This Row],[Código del producto Vendido]],STOCK[],19,FALSE)*VENTAS[[#This Row],[Cantidad]],VENTAS[[#This Row],[Total]])</f>
        <v>3.71111111111111</v>
      </c>
      <c r="L591" s="35">
        <f>VENTAS[[#This Row],[Total]]-VENTAS[[#This Row],[Comisión 10%]]-VENTAS[[#This Row],[Costo SIN Comision]]</f>
        <v>3.28888888888889</v>
      </c>
      <c r="M591" s="35"/>
    </row>
    <row r="592" ht="20" customHeight="1" spans="1:13">
      <c r="A592" s="29" t="s">
        <v>3449</v>
      </c>
      <c r="B592" s="30">
        <f>IFERROR(VLOOKUP(VENTAS[[#This Row],[Código del producto Vendido]],STOCK[],25,FALSE),"-")</f>
        <v>0</v>
      </c>
      <c r="C592" s="30"/>
      <c r="D592" s="30"/>
      <c r="E592" s="30" t="s">
        <v>931</v>
      </c>
      <c r="F592" s="34" t="str">
        <f>IFERROR(VLOOKUP(VENTAS[[#This Row],[Código del producto Vendido]],STOCK[],5,FALSE),"-")</f>
        <v>Falda de trabajo</v>
      </c>
      <c r="G592" s="34">
        <v>1</v>
      </c>
      <c r="H592" s="35">
        <v>15</v>
      </c>
      <c r="I592" s="35">
        <f>VENTAS[[#This Row],[Cantidad]]*VENTAS[[#This Row],[Precio Venta]]</f>
        <v>15</v>
      </c>
      <c r="J592" s="35">
        <f>IF(VENTAS[[#This Row],[Nombre del Gestor]]&gt;1,VENTAS[[#This Row],[Total]]*10%,0)</f>
        <v>0</v>
      </c>
      <c r="K592" s="35">
        <f>IFERROR(VLOOKUP(VENTAS[[#This Row],[Código del producto Vendido]],STOCK[],16,FALSE)*VENTAS[[#This Row],[Cantidad]]+VLOOKUP(VENTAS[[#This Row],[Código del producto Vendido]],STOCK[],19,FALSE)*VENTAS[[#This Row],[Cantidad]],VENTAS[[#This Row],[Total]])</f>
        <v>7.74863636363636</v>
      </c>
      <c r="L592" s="35">
        <f>VENTAS[[#This Row],[Total]]-VENTAS[[#This Row],[Comisión 10%]]-VENTAS[[#This Row],[Costo SIN Comision]]</f>
        <v>7.25136363636364</v>
      </c>
      <c r="M592" s="35"/>
    </row>
    <row r="593" ht="20" customHeight="1" spans="1:13">
      <c r="A593" s="29" t="s">
        <v>3449</v>
      </c>
      <c r="B593" s="30">
        <f>IFERROR(VLOOKUP(VENTAS[[#This Row],[Código del producto Vendido]],STOCK[],25,FALSE),"-")</f>
        <v>0</v>
      </c>
      <c r="C593" s="30"/>
      <c r="D593" s="30"/>
      <c r="E593" s="30" t="s">
        <v>962</v>
      </c>
      <c r="F593" s="34" t="str">
        <f>IFERROR(VLOOKUP(VENTAS[[#This Row],[Código del producto Vendido]],STOCK[],5,FALSE),"-")</f>
        <v>Pantalón business básico</v>
      </c>
      <c r="G593" s="34">
        <v>1</v>
      </c>
      <c r="H593" s="35">
        <v>30</v>
      </c>
      <c r="I593" s="35">
        <f>VENTAS[[#This Row],[Cantidad]]*VENTAS[[#This Row],[Precio Venta]]</f>
        <v>30</v>
      </c>
      <c r="J593" s="35">
        <f>IF(VENTAS[[#This Row],[Nombre del Gestor]]&gt;1,VENTAS[[#This Row],[Total]]*10%,0)</f>
        <v>0</v>
      </c>
      <c r="K593" s="35">
        <f>IFERROR(VLOOKUP(VENTAS[[#This Row],[Código del producto Vendido]],STOCK[],16,FALSE)*VENTAS[[#This Row],[Cantidad]]+VLOOKUP(VENTAS[[#This Row],[Código del producto Vendido]],STOCK[],19,FALSE)*VENTAS[[#This Row],[Cantidad]],VENTAS[[#This Row],[Total]])</f>
        <v>21.3722727272727</v>
      </c>
      <c r="L593" s="35">
        <f>VENTAS[[#This Row],[Total]]-VENTAS[[#This Row],[Comisión 10%]]-VENTAS[[#This Row],[Costo SIN Comision]]</f>
        <v>8.6277272727273</v>
      </c>
      <c r="M593" s="35"/>
    </row>
    <row r="594" ht="20" customHeight="1" spans="1:13">
      <c r="A594" s="29" t="s">
        <v>3449</v>
      </c>
      <c r="B594" s="30" t="str">
        <f>IFERROR(VLOOKUP(VENTAS[[#This Row],[Código del producto Vendido]],STOCK[],25,FALSE),"-")</f>
        <v>Recibido Freddy 24Mayo</v>
      </c>
      <c r="C594" s="30"/>
      <c r="D594" s="30"/>
      <c r="E594" s="30" t="s">
        <v>1013</v>
      </c>
      <c r="F594" s="34" t="str">
        <f>IFERROR(VLOOKUP(VENTAS[[#This Row],[Código del producto Vendido]],STOCK[],5,FALSE),"-")</f>
        <v>Set de sujetador con tira ajustable 2 paquetes</v>
      </c>
      <c r="G594" s="34">
        <v>1</v>
      </c>
      <c r="H594" s="35">
        <v>15</v>
      </c>
      <c r="I594" s="35">
        <f>VENTAS[[#This Row],[Cantidad]]*VENTAS[[#This Row],[Precio Venta]]</f>
        <v>15</v>
      </c>
      <c r="J594" s="35">
        <f>IF(VENTAS[[#This Row],[Nombre del Gestor]]&gt;1,VENTAS[[#This Row],[Total]]*10%,0)</f>
        <v>0</v>
      </c>
      <c r="K594" s="35">
        <f>IFERROR(VLOOKUP(VENTAS[[#This Row],[Código del producto Vendido]],STOCK[],16,FALSE)*VENTAS[[#This Row],[Cantidad]]+VLOOKUP(VENTAS[[#This Row],[Código del producto Vendido]],STOCK[],19,FALSE)*VENTAS[[#This Row],[Cantidad]],VENTAS[[#This Row],[Total]])</f>
        <v>7.69886363636364</v>
      </c>
      <c r="L594" s="35">
        <f>VENTAS[[#This Row],[Total]]-VENTAS[[#This Row],[Comisión 10%]]-VENTAS[[#This Row],[Costo SIN Comision]]</f>
        <v>7.30113636363636</v>
      </c>
      <c r="M594" s="35"/>
    </row>
    <row r="595" ht="20" customHeight="1" spans="1:13">
      <c r="A595" s="29" t="s">
        <v>3449</v>
      </c>
      <c r="B595" s="30" t="str">
        <f>IFERROR(VLOOKUP(VENTAS[[#This Row],[Código del producto Vendido]],STOCK[],25,FALSE),"-")</f>
        <v>Recibido Freddy 12Mayo</v>
      </c>
      <c r="C595" s="30"/>
      <c r="D595" s="30"/>
      <c r="E595" s="30" t="s">
        <v>1030</v>
      </c>
      <c r="F595" s="34" t="str">
        <f>IFERROR(VLOOKUP(VENTAS[[#This Row],[Código del producto Vendido]],STOCK[],5,FALSE),"-")</f>
        <v>Sujetador Básico</v>
      </c>
      <c r="G595" s="34">
        <v>1</v>
      </c>
      <c r="H595" s="35">
        <v>12</v>
      </c>
      <c r="I595" s="35">
        <f>VENTAS[[#This Row],[Cantidad]]*VENTAS[[#This Row],[Precio Venta]]</f>
        <v>12</v>
      </c>
      <c r="J595" s="35">
        <f>IF(VENTAS[[#This Row],[Nombre del Gestor]]&gt;1,VENTAS[[#This Row],[Total]]*10%,0)</f>
        <v>0</v>
      </c>
      <c r="K595" s="35">
        <f>IFERROR(VLOOKUP(VENTAS[[#This Row],[Código del producto Vendido]],STOCK[],16,FALSE)*VENTAS[[#This Row],[Cantidad]]+VLOOKUP(VENTAS[[#This Row],[Código del producto Vendido]],STOCK[],19,FALSE)*VENTAS[[#This Row],[Cantidad]],VENTAS[[#This Row],[Total]])</f>
        <v>3.80340909090909</v>
      </c>
      <c r="L595" s="35">
        <f>VENTAS[[#This Row],[Total]]-VENTAS[[#This Row],[Comisión 10%]]-VENTAS[[#This Row],[Costo SIN Comision]]</f>
        <v>8.19659090909091</v>
      </c>
      <c r="M595" s="35"/>
    </row>
    <row r="596" ht="20" customHeight="1" spans="1:13">
      <c r="A596" s="29" t="s">
        <v>3449</v>
      </c>
      <c r="B596" s="30">
        <f>IFERROR(VLOOKUP(VENTAS[[#This Row],[Código del producto Vendido]],STOCK[],25,FALSE),"-")</f>
        <v>0</v>
      </c>
      <c r="C596" s="30"/>
      <c r="D596" s="30"/>
      <c r="E596" s="30" t="s">
        <v>1050</v>
      </c>
      <c r="F596" s="34" t="str">
        <f>IFERROR(VLOOKUP(VENTAS[[#This Row],[Código del producto Vendido]],STOCK[],5,FALSE),"-")</f>
        <v>Pantaloneta Camel</v>
      </c>
      <c r="G596" s="34">
        <v>1</v>
      </c>
      <c r="H596" s="35">
        <v>30</v>
      </c>
      <c r="I596" s="35">
        <f>VENTAS[[#This Row],[Cantidad]]*VENTAS[[#This Row],[Precio Venta]]</f>
        <v>30</v>
      </c>
      <c r="J596" s="35">
        <f>IF(VENTAS[[#This Row],[Nombre del Gestor]]&gt;1,VENTAS[[#This Row],[Total]]*10%,0)</f>
        <v>0</v>
      </c>
      <c r="K596" s="35">
        <f>IFERROR(VLOOKUP(VENTAS[[#This Row],[Código del producto Vendido]],STOCK[],16,FALSE)*VENTAS[[#This Row],[Cantidad]]+VLOOKUP(VENTAS[[#This Row],[Código del producto Vendido]],STOCK[],19,FALSE)*VENTAS[[#This Row],[Cantidad]],VENTAS[[#This Row],[Total]])</f>
        <v>18.6477272727273</v>
      </c>
      <c r="L596" s="35">
        <f>VENTAS[[#This Row],[Total]]-VENTAS[[#This Row],[Comisión 10%]]-VENTAS[[#This Row],[Costo SIN Comision]]</f>
        <v>11.3522727272727</v>
      </c>
      <c r="M596" s="35"/>
    </row>
    <row r="597" ht="20" customHeight="1" spans="1:13">
      <c r="A597" s="29" t="s">
        <v>3449</v>
      </c>
      <c r="B597" s="30">
        <f>IFERROR(VLOOKUP(VENTAS[[#This Row],[Código del producto Vendido]],STOCK[],25,FALSE),"-")</f>
        <v>0</v>
      </c>
      <c r="C597" s="30"/>
      <c r="D597" s="30"/>
      <c r="E597" s="30" t="s">
        <v>1313</v>
      </c>
      <c r="F597" s="34" t="str">
        <f>IFERROR(VLOOKUP(VENTAS[[#This Row],[Código del producto Vendido]],STOCK[],5,FALSE),"-")</f>
        <v>Blazer Crema</v>
      </c>
      <c r="G597" s="34">
        <v>1</v>
      </c>
      <c r="H597" s="35">
        <v>40</v>
      </c>
      <c r="I597" s="35">
        <f>VENTAS[[#This Row],[Cantidad]]*VENTAS[[#This Row],[Precio Venta]]</f>
        <v>40</v>
      </c>
      <c r="J597" s="35">
        <f>IF(VENTAS[[#This Row],[Nombre del Gestor]]&gt;1,VENTAS[[#This Row],[Total]]*10%,0)</f>
        <v>0</v>
      </c>
      <c r="K597" s="35">
        <f>IFERROR(VLOOKUP(VENTAS[[#This Row],[Código del producto Vendido]],STOCK[],16,FALSE)*VENTAS[[#This Row],[Cantidad]]+VLOOKUP(VENTAS[[#This Row],[Código del producto Vendido]],STOCK[],19,FALSE)*VENTAS[[#This Row],[Cantidad]],VENTAS[[#This Row],[Total]])</f>
        <v>30</v>
      </c>
      <c r="L597" s="35">
        <f>VENTAS[[#This Row],[Total]]-VENTAS[[#This Row],[Comisión 10%]]-VENTAS[[#This Row],[Costo SIN Comision]]</f>
        <v>10</v>
      </c>
      <c r="M597" s="35"/>
    </row>
    <row r="598" ht="20" customHeight="1" spans="1:13">
      <c r="A598" s="29" t="s">
        <v>3449</v>
      </c>
      <c r="B598" s="30">
        <f>IFERROR(VLOOKUP(VENTAS[[#This Row],[Código del producto Vendido]],STOCK[],25,FALSE),"-")</f>
        <v>0</v>
      </c>
      <c r="C598" s="30"/>
      <c r="D598" s="30"/>
      <c r="E598" s="30" t="s">
        <v>1346</v>
      </c>
      <c r="F598" s="34" t="str">
        <f>IFERROR(VLOOKUP(VENTAS[[#This Row],[Código del producto Vendido]],STOCK[],5,FALSE),"-")</f>
        <v>Cardigan Amarillo</v>
      </c>
      <c r="G598" s="34">
        <v>1</v>
      </c>
      <c r="H598" s="35">
        <v>22</v>
      </c>
      <c r="I598" s="35">
        <f>VENTAS[[#This Row],[Cantidad]]*VENTAS[[#This Row],[Precio Venta]]</f>
        <v>22</v>
      </c>
      <c r="J598" s="35">
        <f>IF(VENTAS[[#This Row],[Nombre del Gestor]]&gt;1,VENTAS[[#This Row],[Total]]*10%,0)</f>
        <v>0</v>
      </c>
      <c r="K598" s="35">
        <f>IFERROR(VLOOKUP(VENTAS[[#This Row],[Código del producto Vendido]],STOCK[],16,FALSE)*VENTAS[[#This Row],[Cantidad]]+VLOOKUP(VENTAS[[#This Row],[Código del producto Vendido]],STOCK[],19,FALSE)*VENTAS[[#This Row],[Cantidad]],VENTAS[[#This Row],[Total]])</f>
        <v>15</v>
      </c>
      <c r="L598" s="35">
        <f>VENTAS[[#This Row],[Total]]-VENTAS[[#This Row],[Comisión 10%]]-VENTAS[[#This Row],[Costo SIN Comision]]</f>
        <v>7</v>
      </c>
      <c r="M598" s="35"/>
    </row>
    <row r="599" ht="20" customHeight="1" spans="1:13">
      <c r="A599" s="29" t="s">
        <v>3449</v>
      </c>
      <c r="B599" s="30">
        <f>IFERROR(VLOOKUP(VENTAS[[#This Row],[Código del producto Vendido]],STOCK[],25,FALSE),"-")</f>
        <v>0</v>
      </c>
      <c r="C599" s="30"/>
      <c r="D599" s="30"/>
      <c r="E599" s="30" t="s">
        <v>1348</v>
      </c>
      <c r="F599" s="34" t="str">
        <f>IFERROR(VLOOKUP(VENTAS[[#This Row],[Código del producto Vendido]],STOCK[],5,FALSE),"-")</f>
        <v>Cardigan Amarillo</v>
      </c>
      <c r="G599" s="34">
        <v>1</v>
      </c>
      <c r="H599" s="35">
        <v>22</v>
      </c>
      <c r="I599" s="35">
        <f>VENTAS[[#This Row],[Cantidad]]*VENTAS[[#This Row],[Precio Venta]]</f>
        <v>22</v>
      </c>
      <c r="J599" s="35">
        <f>IF(VENTAS[[#This Row],[Nombre del Gestor]]&gt;1,VENTAS[[#This Row],[Total]]*10%,0)</f>
        <v>0</v>
      </c>
      <c r="K599" s="35">
        <f>IFERROR(VLOOKUP(VENTAS[[#This Row],[Código del producto Vendido]],STOCK[],16,FALSE)*VENTAS[[#This Row],[Cantidad]]+VLOOKUP(VENTAS[[#This Row],[Código del producto Vendido]],STOCK[],19,FALSE)*VENTAS[[#This Row],[Cantidad]],VENTAS[[#This Row],[Total]])</f>
        <v>15</v>
      </c>
      <c r="L599" s="35">
        <f>VENTAS[[#This Row],[Total]]-VENTAS[[#This Row],[Comisión 10%]]-VENTAS[[#This Row],[Costo SIN Comision]]</f>
        <v>7</v>
      </c>
      <c r="M599" s="35"/>
    </row>
    <row r="600" ht="20" customHeight="1" spans="1:13">
      <c r="A600" s="29" t="s">
        <v>3449</v>
      </c>
      <c r="B600" s="30">
        <f>IFERROR(VLOOKUP(VENTAS[[#This Row],[Código del producto Vendido]],STOCK[],25,FALSE),"-")</f>
        <v>0</v>
      </c>
      <c r="C600" s="30"/>
      <c r="D600" s="30"/>
      <c r="E600" s="30" t="s">
        <v>1351</v>
      </c>
      <c r="F600" s="34" t="str">
        <f>IFERROR(VLOOKUP(VENTAS[[#This Row],[Código del producto Vendido]],STOCK[],5,FALSE),"-")</f>
        <v>Sweater rosa con mangas abiertas</v>
      </c>
      <c r="G600" s="34">
        <v>2</v>
      </c>
      <c r="H600" s="35">
        <v>22</v>
      </c>
      <c r="I600" s="35">
        <f>VENTAS[[#This Row],[Cantidad]]*VENTAS[[#This Row],[Precio Venta]]</f>
        <v>44</v>
      </c>
      <c r="J600" s="35">
        <f>IF(VENTAS[[#This Row],[Nombre del Gestor]]&gt;1,VENTAS[[#This Row],[Total]]*10%,0)</f>
        <v>0</v>
      </c>
      <c r="K600" s="35">
        <f>IFERROR(VLOOKUP(VENTAS[[#This Row],[Código del producto Vendido]],STOCK[],16,FALSE)*VENTAS[[#This Row],[Cantidad]]+VLOOKUP(VENTAS[[#This Row],[Código del producto Vendido]],STOCK[],19,FALSE)*VENTAS[[#This Row],[Cantidad]],VENTAS[[#This Row],[Total]])</f>
        <v>40</v>
      </c>
      <c r="L600" s="35">
        <f>VENTAS[[#This Row],[Total]]-VENTAS[[#This Row],[Comisión 10%]]-VENTAS[[#This Row],[Costo SIN Comision]]</f>
        <v>4</v>
      </c>
      <c r="M600" s="35"/>
    </row>
    <row r="601" ht="20" customHeight="1" spans="1:13">
      <c r="A601" s="29" t="s">
        <v>3449</v>
      </c>
      <c r="B601" s="30">
        <f>IFERROR(VLOOKUP(VENTAS[[#This Row],[Código del producto Vendido]],STOCK[],25,FALSE),"-")</f>
        <v>0</v>
      </c>
      <c r="C601" s="30"/>
      <c r="D601" s="30"/>
      <c r="E601" s="30" t="s">
        <v>1566</v>
      </c>
      <c r="F601" s="34" t="str">
        <f>IFERROR(VLOOKUP(VENTAS[[#This Row],[Código del producto Vendido]],STOCK[],5,FALSE),"-")</f>
        <v>Blazer azul Rey</v>
      </c>
      <c r="G601" s="34">
        <v>1</v>
      </c>
      <c r="H601" s="35">
        <v>40</v>
      </c>
      <c r="I601" s="35">
        <f>VENTAS[[#This Row],[Cantidad]]*VENTAS[[#This Row],[Precio Venta]]</f>
        <v>40</v>
      </c>
      <c r="J601" s="35">
        <f>IF(VENTAS[[#This Row],[Nombre del Gestor]]&gt;1,VENTAS[[#This Row],[Total]]*10%,0)</f>
        <v>0</v>
      </c>
      <c r="K601" s="35">
        <f>IFERROR(VLOOKUP(VENTAS[[#This Row],[Código del producto Vendido]],STOCK[],16,FALSE)*VENTAS[[#This Row],[Cantidad]]+VLOOKUP(VENTAS[[#This Row],[Código del producto Vendido]],STOCK[],19,FALSE)*VENTAS[[#This Row],[Cantidad]],VENTAS[[#This Row],[Total]])</f>
        <v>20</v>
      </c>
      <c r="L601" s="35">
        <f>VENTAS[[#This Row],[Total]]-VENTAS[[#This Row],[Comisión 10%]]-VENTAS[[#This Row],[Costo SIN Comision]]</f>
        <v>20</v>
      </c>
      <c r="M601" s="35"/>
    </row>
    <row r="602" ht="20" customHeight="1" spans="1:13">
      <c r="A602" s="29" t="s">
        <v>3449</v>
      </c>
      <c r="B602" s="30" t="str">
        <f>IFERROR(VLOOKUP(VENTAS[[#This Row],[Código del producto Vendido]],STOCK[],25,FALSE),"-")</f>
        <v>COMPRA F21</v>
      </c>
      <c r="C602" s="30"/>
      <c r="D602" s="30"/>
      <c r="E602" s="30" t="s">
        <v>1444</v>
      </c>
      <c r="F602" s="34" t="str">
        <f>IFERROR(VLOOKUP(VENTAS[[#This Row],[Código del producto Vendido]],STOCK[],5,FALSE),"-")</f>
        <v>Mocasín con herrajes</v>
      </c>
      <c r="G602" s="34">
        <v>1</v>
      </c>
      <c r="H602" s="35">
        <v>43</v>
      </c>
      <c r="I602" s="35">
        <f>VENTAS[[#This Row],[Cantidad]]*VENTAS[[#This Row],[Precio Venta]]</f>
        <v>43</v>
      </c>
      <c r="J602" s="35">
        <f>IF(VENTAS[[#This Row],[Nombre del Gestor]]&gt;1,VENTAS[[#This Row],[Total]]*10%,0)</f>
        <v>0</v>
      </c>
      <c r="K602" s="35">
        <f>IFERROR(VLOOKUP(VENTAS[[#This Row],[Código del producto Vendido]],STOCK[],16,FALSE)*VENTAS[[#This Row],[Cantidad]]+VLOOKUP(VENTAS[[#This Row],[Código del producto Vendido]],STOCK[],19,FALSE)*VENTAS[[#This Row],[Cantidad]],VENTAS[[#This Row],[Total]])</f>
        <v>27.49</v>
      </c>
      <c r="L602" s="35">
        <f>VENTAS[[#This Row],[Total]]-VENTAS[[#This Row],[Comisión 10%]]-VENTAS[[#This Row],[Costo SIN Comision]]</f>
        <v>15.51</v>
      </c>
      <c r="M602" s="35"/>
    </row>
    <row r="603" ht="20" customHeight="1" spans="1:13">
      <c r="A603" s="29" t="s">
        <v>3449</v>
      </c>
      <c r="B603" s="30" t="str">
        <f>IFERROR(VLOOKUP(VENTAS[[#This Row],[Código del producto Vendido]],STOCK[],25,FALSE),"-")</f>
        <v>COMPRA F21</v>
      </c>
      <c r="C603" s="30"/>
      <c r="D603" s="30"/>
      <c r="E603" s="30" t="s">
        <v>1447</v>
      </c>
      <c r="F603" s="34" t="str">
        <f>IFERROR(VLOOKUP(VENTAS[[#This Row],[Código del producto Vendido]],STOCK[],5,FALSE),"-")</f>
        <v>Mocasín con herrajes</v>
      </c>
      <c r="G603" s="34">
        <v>1</v>
      </c>
      <c r="H603" s="35">
        <v>43</v>
      </c>
      <c r="I603" s="35">
        <f>VENTAS[[#This Row],[Cantidad]]*VENTAS[[#This Row],[Precio Venta]]</f>
        <v>43</v>
      </c>
      <c r="J603" s="35">
        <f>IF(VENTAS[[#This Row],[Nombre del Gestor]]&gt;1,VENTAS[[#This Row],[Total]]*10%,0)</f>
        <v>0</v>
      </c>
      <c r="K603" s="35">
        <f>IFERROR(VLOOKUP(VENTAS[[#This Row],[Código del producto Vendido]],STOCK[],16,FALSE)*VENTAS[[#This Row],[Cantidad]]+VLOOKUP(VENTAS[[#This Row],[Código del producto Vendido]],STOCK[],19,FALSE)*VENTAS[[#This Row],[Cantidad]],VENTAS[[#This Row],[Total]])</f>
        <v>27.49</v>
      </c>
      <c r="L603" s="35">
        <f>VENTAS[[#This Row],[Total]]-VENTAS[[#This Row],[Comisión 10%]]-VENTAS[[#This Row],[Costo SIN Comision]]</f>
        <v>15.51</v>
      </c>
      <c r="M603" s="35"/>
    </row>
    <row r="604" ht="20" customHeight="1" spans="1:13">
      <c r="A604" s="29" t="s">
        <v>3449</v>
      </c>
      <c r="B604" s="30" t="str">
        <f>IFERROR(VLOOKUP(VENTAS[[#This Row],[Código del producto Vendido]],STOCK[],25,FALSE),"-")</f>
        <v>COMPRA F21</v>
      </c>
      <c r="C604" s="30"/>
      <c r="D604" s="30"/>
      <c r="E604" s="30" t="s">
        <v>1448</v>
      </c>
      <c r="F604" s="34" t="str">
        <f>IFERROR(VLOOKUP(VENTAS[[#This Row],[Código del producto Vendido]],STOCK[],5,FALSE),"-")</f>
        <v>Sandalias minimalistas de plataforma</v>
      </c>
      <c r="G604" s="34">
        <v>1</v>
      </c>
      <c r="H604" s="35">
        <v>30</v>
      </c>
      <c r="I604" s="35">
        <f>VENTAS[[#This Row],[Cantidad]]*VENTAS[[#This Row],[Precio Venta]]</f>
        <v>30</v>
      </c>
      <c r="J604" s="35">
        <f>IF(VENTAS[[#This Row],[Nombre del Gestor]]&gt;1,VENTAS[[#This Row],[Total]]*10%,0)</f>
        <v>0</v>
      </c>
      <c r="K604" s="35">
        <f>IFERROR(VLOOKUP(VENTAS[[#This Row],[Código del producto Vendido]],STOCK[],16,FALSE)*VENTAS[[#This Row],[Cantidad]]+VLOOKUP(VENTAS[[#This Row],[Código del producto Vendido]],STOCK[],19,FALSE)*VENTAS[[#This Row],[Cantidad]],VENTAS[[#This Row],[Total]])</f>
        <v>22.49</v>
      </c>
      <c r="L604" s="35">
        <f>VENTAS[[#This Row],[Total]]-VENTAS[[#This Row],[Comisión 10%]]-VENTAS[[#This Row],[Costo SIN Comision]]</f>
        <v>7.51</v>
      </c>
      <c r="M604" s="35"/>
    </row>
    <row r="605" ht="20" customHeight="1" spans="1:13">
      <c r="A605" s="29" t="s">
        <v>3449</v>
      </c>
      <c r="B605" s="30">
        <f>IFERROR(VLOOKUP(VENTAS[[#This Row],[Código del producto Vendido]],STOCK[],25,FALSE),"-")</f>
        <v>0</v>
      </c>
      <c r="C605" s="30"/>
      <c r="D605" s="30"/>
      <c r="E605" s="30" t="s">
        <v>750</v>
      </c>
      <c r="F605" s="34" t="str">
        <f>IFERROR(VLOOKUP(VENTAS[[#This Row],[Código del producto Vendido]],STOCK[],5,FALSE),"-")</f>
        <v>Sandalias trenzadas</v>
      </c>
      <c r="G605" s="34">
        <v>1</v>
      </c>
      <c r="H605" s="35">
        <v>35</v>
      </c>
      <c r="I605" s="35">
        <f>VENTAS[[#This Row],[Cantidad]]*VENTAS[[#This Row],[Precio Venta]]</f>
        <v>35</v>
      </c>
      <c r="J605" s="35">
        <f>IF(VENTAS[[#This Row],[Nombre del Gestor]]&gt;1,VENTAS[[#This Row],[Total]]*10%,0)</f>
        <v>0</v>
      </c>
      <c r="K605" s="35">
        <f>IFERROR(VLOOKUP(VENTAS[[#This Row],[Código del producto Vendido]],STOCK[],16,FALSE)*VENTAS[[#This Row],[Cantidad]]+VLOOKUP(VENTAS[[#This Row],[Código del producto Vendido]],STOCK[],19,FALSE)*VENTAS[[#This Row],[Cantidad]],VENTAS[[#This Row],[Total]])</f>
        <v>27</v>
      </c>
      <c r="L605" s="35">
        <f>VENTAS[[#This Row],[Total]]-VENTAS[[#This Row],[Comisión 10%]]-VENTAS[[#This Row],[Costo SIN Comision]]</f>
        <v>8</v>
      </c>
      <c r="M605" s="35"/>
    </row>
    <row r="606" ht="20" customHeight="1" spans="1:13">
      <c r="A606" s="29" t="s">
        <v>3449</v>
      </c>
      <c r="B606" s="30">
        <f>IFERROR(VLOOKUP(VENTAS[[#This Row],[Código del producto Vendido]],STOCK[],25,FALSE),"-")</f>
        <v>0</v>
      </c>
      <c r="C606" s="30"/>
      <c r="D606" s="30"/>
      <c r="E606" s="30" t="s">
        <v>726</v>
      </c>
      <c r="F606" s="34" t="str">
        <f>IFERROR(VLOOKUP(VENTAS[[#This Row],[Código del producto Vendido]],STOCK[],5,FALSE),"-")</f>
        <v>Top acanalado sin mangas</v>
      </c>
      <c r="G606" s="34">
        <v>1</v>
      </c>
      <c r="H606" s="35">
        <v>10</v>
      </c>
      <c r="I606" s="35">
        <f>VENTAS[[#This Row],[Cantidad]]*VENTAS[[#This Row],[Precio Venta]]</f>
        <v>10</v>
      </c>
      <c r="J606" s="35">
        <f>IF(VENTAS[[#This Row],[Nombre del Gestor]]&gt;1,VENTAS[[#This Row],[Total]]*10%,0)</f>
        <v>0</v>
      </c>
      <c r="K606" s="35">
        <f>IFERROR(VLOOKUP(VENTAS[[#This Row],[Código del producto Vendido]],STOCK[],16,FALSE)*VENTAS[[#This Row],[Cantidad]]+VLOOKUP(VENTAS[[#This Row],[Código del producto Vendido]],STOCK[],19,FALSE)*VENTAS[[#This Row],[Cantidad]],VENTAS[[#This Row],[Total]])</f>
        <v>5.02222222222222</v>
      </c>
      <c r="L606" s="35">
        <f>VENTAS[[#This Row],[Total]]-VENTAS[[#This Row],[Comisión 10%]]-VENTAS[[#This Row],[Costo SIN Comision]]</f>
        <v>4.97777777777778</v>
      </c>
      <c r="M606" s="35"/>
    </row>
    <row r="607" ht="20" customHeight="1" spans="1:13">
      <c r="A607" s="29" t="s">
        <v>3449</v>
      </c>
      <c r="B607" s="30" t="str">
        <f>IFERROR(VLOOKUP(VENTAS[[#This Row],[Código del producto Vendido]],STOCK[],25,FALSE),"-")</f>
        <v>-</v>
      </c>
      <c r="C607" s="30"/>
      <c r="D607" s="30"/>
      <c r="E607" s="30" t="s">
        <v>3451</v>
      </c>
      <c r="F607" s="34" t="str">
        <f>IFERROR(VLOOKUP(VENTAS[[#This Row],[Código del producto Vendido]],STOCK[],5,FALSE),"-")</f>
        <v>-</v>
      </c>
      <c r="G607" s="34">
        <v>1</v>
      </c>
      <c r="H607" s="35">
        <v>23</v>
      </c>
      <c r="I607" s="35">
        <f>VENTAS[[#This Row],[Cantidad]]*VENTAS[[#This Row],[Precio Venta]]</f>
        <v>23</v>
      </c>
      <c r="J607" s="35">
        <f>IF(VENTAS[[#This Row],[Nombre del Gestor]]&gt;1,VENTAS[[#This Row],[Total]]*10%,0)</f>
        <v>0</v>
      </c>
      <c r="K607" s="35">
        <f>IFERROR(VLOOKUP(VENTAS[[#This Row],[Código del producto Vendido]],STOCK[],16,FALSE)*VENTAS[[#This Row],[Cantidad]]+VLOOKUP(VENTAS[[#This Row],[Código del producto Vendido]],STOCK[],19,FALSE)*VENTAS[[#This Row],[Cantidad]],VENTAS[[#This Row],[Total]])</f>
        <v>23</v>
      </c>
      <c r="L607" s="35">
        <f>VENTAS[[#This Row],[Total]]-VENTAS[[#This Row],[Comisión 10%]]-VENTAS[[#This Row],[Costo SIN Comision]]</f>
        <v>0</v>
      </c>
      <c r="M607" s="35"/>
    </row>
    <row r="608" ht="20" customHeight="1" spans="1:13">
      <c r="A608" s="29" t="s">
        <v>3449</v>
      </c>
      <c r="B608" s="30">
        <f>IFERROR(VLOOKUP(VENTAS[[#This Row],[Código del producto Vendido]],STOCK[],25,FALSE),"-")</f>
        <v>0</v>
      </c>
      <c r="C608" s="30"/>
      <c r="D608" s="30"/>
      <c r="E608" s="30" t="s">
        <v>1554</v>
      </c>
      <c r="F608" s="34" t="str">
        <f>IFERROR(VLOOKUP(VENTAS[[#This Row],[Código del producto Vendido]],STOCK[],5,FALSE),"-")</f>
        <v>Botas Chalsesa</v>
      </c>
      <c r="G608" s="34">
        <v>1</v>
      </c>
      <c r="H608" s="35">
        <v>90</v>
      </c>
      <c r="I608" s="35">
        <f>VENTAS[[#This Row],[Cantidad]]*VENTAS[[#This Row],[Precio Venta]]</f>
        <v>90</v>
      </c>
      <c r="J608" s="35">
        <f>IF(VENTAS[[#This Row],[Nombre del Gestor]]&gt;1,VENTAS[[#This Row],[Total]]*10%,0)</f>
        <v>0</v>
      </c>
      <c r="K608" s="35">
        <f>IFERROR(VLOOKUP(VENTAS[[#This Row],[Código del producto Vendido]],STOCK[],16,FALSE)*VENTAS[[#This Row],[Cantidad]]+VLOOKUP(VENTAS[[#This Row],[Código del producto Vendido]],STOCK[],19,FALSE)*VENTAS[[#This Row],[Cantidad]],VENTAS[[#This Row],[Total]])</f>
        <v>78</v>
      </c>
      <c r="L608" s="35">
        <f>VENTAS[[#This Row],[Total]]-VENTAS[[#This Row],[Comisión 10%]]-VENTAS[[#This Row],[Costo SIN Comision]]</f>
        <v>12</v>
      </c>
      <c r="M608" s="35"/>
    </row>
    <row r="609" ht="20" customHeight="1" spans="1:13">
      <c r="A609" s="29" t="s">
        <v>3449</v>
      </c>
      <c r="B609" s="30">
        <f>IFERROR(VLOOKUP(VENTAS[[#This Row],[Código del producto Vendido]],STOCK[],25,FALSE),"-")</f>
        <v>0</v>
      </c>
      <c r="C609" s="30"/>
      <c r="D609" s="30"/>
      <c r="E609" s="30" t="s">
        <v>1566</v>
      </c>
      <c r="F609" s="34" t="str">
        <f>IFERROR(VLOOKUP(VENTAS[[#This Row],[Código del producto Vendido]],STOCK[],5,FALSE),"-")</f>
        <v>Blazer azul Rey</v>
      </c>
      <c r="G609" s="34">
        <v>1</v>
      </c>
      <c r="H609" s="35">
        <v>40</v>
      </c>
      <c r="I609" s="35">
        <f>VENTAS[[#This Row],[Cantidad]]*VENTAS[[#This Row],[Precio Venta]]</f>
        <v>40</v>
      </c>
      <c r="J609" s="35">
        <f>IF(VENTAS[[#This Row],[Nombre del Gestor]]&gt;1,VENTAS[[#This Row],[Total]]*10%,0)</f>
        <v>0</v>
      </c>
      <c r="K609" s="35">
        <f>IFERROR(VLOOKUP(VENTAS[[#This Row],[Código del producto Vendido]],STOCK[],16,FALSE)*VENTAS[[#This Row],[Cantidad]]+VLOOKUP(VENTAS[[#This Row],[Código del producto Vendido]],STOCK[],19,FALSE)*VENTAS[[#This Row],[Cantidad]],VENTAS[[#This Row],[Total]])</f>
        <v>20</v>
      </c>
      <c r="L609" s="35">
        <f>VENTAS[[#This Row],[Total]]-VENTAS[[#This Row],[Comisión 10%]]-VENTAS[[#This Row],[Costo SIN Comision]]</f>
        <v>20</v>
      </c>
      <c r="M609" s="35"/>
    </row>
    <row r="610" ht="20" customHeight="1" spans="1:13">
      <c r="A610" s="29" t="s">
        <v>3449</v>
      </c>
      <c r="B610" s="30">
        <f>IFERROR(VLOOKUP(VENTAS[[#This Row],[Código del producto Vendido]],STOCK[],25,FALSE),"-")</f>
        <v>0</v>
      </c>
      <c r="C610" s="30"/>
      <c r="D610" s="30"/>
      <c r="E610" s="30" t="s">
        <v>726</v>
      </c>
      <c r="F610" s="34" t="str">
        <f>IFERROR(VLOOKUP(VENTAS[[#This Row],[Código del producto Vendido]],STOCK[],5,FALSE),"-")</f>
        <v>Top acanalado sin mangas</v>
      </c>
      <c r="G610" s="34">
        <v>1</v>
      </c>
      <c r="H610" s="35">
        <v>10</v>
      </c>
      <c r="I610" s="35">
        <f>VENTAS[[#This Row],[Cantidad]]*VENTAS[[#This Row],[Precio Venta]]</f>
        <v>10</v>
      </c>
      <c r="J610" s="35">
        <f>IF(VENTAS[[#This Row],[Nombre del Gestor]]&gt;1,VENTAS[[#This Row],[Total]]*10%,0)</f>
        <v>0</v>
      </c>
      <c r="K610" s="35">
        <f>IFERROR(VLOOKUP(VENTAS[[#This Row],[Código del producto Vendido]],STOCK[],16,FALSE)*VENTAS[[#This Row],[Cantidad]]+VLOOKUP(VENTAS[[#This Row],[Código del producto Vendido]],STOCK[],19,FALSE)*VENTAS[[#This Row],[Cantidad]],VENTAS[[#This Row],[Total]])</f>
        <v>5.02222222222222</v>
      </c>
      <c r="L610" s="35">
        <f>VENTAS[[#This Row],[Total]]-VENTAS[[#This Row],[Comisión 10%]]-VENTAS[[#This Row],[Costo SIN Comision]]</f>
        <v>4.97777777777778</v>
      </c>
      <c r="M610" s="35"/>
    </row>
    <row r="611" ht="20" customHeight="1" spans="1:13">
      <c r="A611" s="29" t="s">
        <v>3452</v>
      </c>
      <c r="B611" s="30">
        <f>IFERROR(VLOOKUP(VENTAS[[#This Row],[Código del producto Vendido]],STOCK[],25,FALSE),"-")</f>
        <v>0</v>
      </c>
      <c r="C611" s="30"/>
      <c r="D611" s="30"/>
      <c r="E611" s="30" t="s">
        <v>361</v>
      </c>
      <c r="F611" s="34" t="str">
        <f>IFERROR(VLOOKUP(VENTAS[[#This Row],[Código del producto Vendido]],STOCK[],5,FALSE),"-")</f>
        <v>Pantalones tejido de rayas </v>
      </c>
      <c r="G611" s="34">
        <v>1</v>
      </c>
      <c r="H611" s="35">
        <v>30</v>
      </c>
      <c r="I611" s="35">
        <f>VENTAS[[#This Row],[Cantidad]]*VENTAS[[#This Row],[Precio Venta]]</f>
        <v>30</v>
      </c>
      <c r="J611" s="35">
        <f>IF(VENTAS[[#This Row],[Nombre del Gestor]]&gt;1,VENTAS[[#This Row],[Total]]*10%,0)</f>
        <v>0</v>
      </c>
      <c r="K611" s="35">
        <f>IFERROR(VLOOKUP(VENTAS[[#This Row],[Código del producto Vendido]],STOCK[],16,FALSE)*VENTAS[[#This Row],[Cantidad]]+VLOOKUP(VENTAS[[#This Row],[Código del producto Vendido]],STOCK[],19,FALSE)*VENTAS[[#This Row],[Cantidad]],VENTAS[[#This Row],[Total]])</f>
        <v>12.8833333333333</v>
      </c>
      <c r="L611" s="35">
        <f>VENTAS[[#This Row],[Total]]-VENTAS[[#This Row],[Comisión 10%]]-VENTAS[[#This Row],[Costo SIN Comision]]</f>
        <v>17.1166666666667</v>
      </c>
      <c r="M611" s="35"/>
    </row>
    <row r="612" ht="20" customHeight="1" spans="1:13">
      <c r="A612" s="29" t="s">
        <v>3452</v>
      </c>
      <c r="B612" s="30">
        <f>IFERROR(VLOOKUP(VENTAS[[#This Row],[Código del producto Vendido]],STOCK[],25,FALSE),"-")</f>
        <v>0</v>
      </c>
      <c r="C612" s="30"/>
      <c r="D612" s="30" t="s">
        <v>3453</v>
      </c>
      <c r="E612" s="30" t="s">
        <v>153</v>
      </c>
      <c r="F612" s="34" t="str">
        <f>IFERROR(VLOOKUP(VENTAS[[#This Row],[Código del producto Vendido]],STOCK[],5,FALSE),"-")</f>
        <v>Jeans de pierna recta desgarro</v>
      </c>
      <c r="G612" s="34">
        <v>1</v>
      </c>
      <c r="H612" s="35">
        <v>30</v>
      </c>
      <c r="I612" s="35">
        <f>VENTAS[[#This Row],[Cantidad]]*VENTAS[[#This Row],[Precio Venta]]</f>
        <v>30</v>
      </c>
      <c r="J612" s="35">
        <f>IF(VENTAS[[#This Row],[Nombre del Gestor]]&gt;1,VENTAS[[#This Row],[Total]]*10%,0)</f>
        <v>3</v>
      </c>
      <c r="K612" s="35">
        <f>IFERROR(VLOOKUP(VENTAS[[#This Row],[Código del producto Vendido]],STOCK[],16,FALSE)*VENTAS[[#This Row],[Cantidad]]+VLOOKUP(VENTAS[[#This Row],[Código del producto Vendido]],STOCK[],19,FALSE)*VENTAS[[#This Row],[Cantidad]],VENTAS[[#This Row],[Total]])</f>
        <v>18.6866666666667</v>
      </c>
      <c r="L612" s="35">
        <f>VENTAS[[#This Row],[Total]]-VENTAS[[#This Row],[Comisión 10%]]-VENTAS[[#This Row],[Costo SIN Comision]]</f>
        <v>8.31333333333333</v>
      </c>
      <c r="M612" s="35"/>
    </row>
    <row r="613" ht="20" customHeight="1" spans="1:13">
      <c r="A613" s="29" t="s">
        <v>3452</v>
      </c>
      <c r="B613" s="30">
        <f>IFERROR(VLOOKUP(VENTAS[[#This Row],[Código del producto Vendido]],STOCK[],25,FALSE),"-")</f>
        <v>0</v>
      </c>
      <c r="C613" s="30"/>
      <c r="D613" s="30"/>
      <c r="E613" s="30" t="s">
        <v>153</v>
      </c>
      <c r="F613" s="34" t="str">
        <f>IFERROR(VLOOKUP(VENTAS[[#This Row],[Código del producto Vendido]],STOCK[],5,FALSE),"-")</f>
        <v>Jeans de pierna recta desgarro</v>
      </c>
      <c r="G613" s="34">
        <v>1</v>
      </c>
      <c r="H613" s="35">
        <v>30</v>
      </c>
      <c r="I613" s="35">
        <f>VENTAS[[#This Row],[Cantidad]]*VENTAS[[#This Row],[Precio Venta]]</f>
        <v>30</v>
      </c>
      <c r="J613" s="35">
        <f>IF(VENTAS[[#This Row],[Nombre del Gestor]]&gt;1,VENTAS[[#This Row],[Total]]*10%,0)</f>
        <v>0</v>
      </c>
      <c r="K613" s="35">
        <f>IFERROR(VLOOKUP(VENTAS[[#This Row],[Código del producto Vendido]],STOCK[],16,FALSE)*VENTAS[[#This Row],[Cantidad]]+VLOOKUP(VENTAS[[#This Row],[Código del producto Vendido]],STOCK[],19,FALSE)*VENTAS[[#This Row],[Cantidad]],VENTAS[[#This Row],[Total]])</f>
        <v>18.6866666666667</v>
      </c>
      <c r="L613" s="35">
        <f>VENTAS[[#This Row],[Total]]-VENTAS[[#This Row],[Comisión 10%]]-VENTAS[[#This Row],[Costo SIN Comision]]</f>
        <v>11.3133333333333</v>
      </c>
      <c r="M613" s="35"/>
    </row>
    <row r="614" ht="20" customHeight="1" spans="1:13">
      <c r="A614" s="29" t="s">
        <v>3452</v>
      </c>
      <c r="B614" s="30" t="str">
        <f>IFERROR(VLOOKUP(VENTAS[[#This Row],[Código del producto Vendido]],STOCK[],25,FALSE),"-")</f>
        <v>Yenma 19 Mayo</v>
      </c>
      <c r="C614" s="30"/>
      <c r="D614" s="30" t="s">
        <v>3453</v>
      </c>
      <c r="E614" s="30" t="s">
        <v>263</v>
      </c>
      <c r="F614" s="34" t="str">
        <f>IFERROR(VLOOKUP(VENTAS[[#This Row],[Código del producto Vendido]],STOCK[],5,FALSE),"-")</f>
        <v>Blusas Botón Floral Casual</v>
      </c>
      <c r="G614" s="34">
        <v>1</v>
      </c>
      <c r="H614" s="35">
        <v>14</v>
      </c>
      <c r="I614" s="35">
        <f>VENTAS[[#This Row],[Cantidad]]*VENTAS[[#This Row],[Precio Venta]]</f>
        <v>14</v>
      </c>
      <c r="J614" s="35">
        <f>IF(VENTAS[[#This Row],[Nombre del Gestor]]&gt;1,VENTAS[[#This Row],[Total]]*10%,0)</f>
        <v>1.4</v>
      </c>
      <c r="K614" s="35">
        <f>IFERROR(VLOOKUP(VENTAS[[#This Row],[Código del producto Vendido]],STOCK[],16,FALSE)*VENTAS[[#This Row],[Cantidad]]+VLOOKUP(VENTAS[[#This Row],[Código del producto Vendido]],STOCK[],19,FALSE)*VENTAS[[#This Row],[Cantidad]],VENTAS[[#This Row],[Total]])</f>
        <v>8.26222222222222</v>
      </c>
      <c r="L614" s="35">
        <f>VENTAS[[#This Row],[Total]]-VENTAS[[#This Row],[Comisión 10%]]-VENTAS[[#This Row],[Costo SIN Comision]]</f>
        <v>4.33777777777778</v>
      </c>
      <c r="M614" s="35"/>
    </row>
    <row r="615" ht="20" customHeight="1" spans="1:13">
      <c r="A615" s="29" t="s">
        <v>3452</v>
      </c>
      <c r="B615" s="30" t="str">
        <f>IFERROR(VLOOKUP(VENTAS[[#This Row],[Código del producto Vendido]],STOCK[],25,FALSE),"-")</f>
        <v>Recibido Freddy 12Mayo</v>
      </c>
      <c r="C615" s="30"/>
      <c r="D615" s="30"/>
      <c r="E615" s="30" t="s">
        <v>902</v>
      </c>
      <c r="F615" s="34" t="str">
        <f>IFERROR(VLOOKUP(VENTAS[[#This Row],[Código del producto Vendido]],STOCK[],5,FALSE),"-")</f>
        <v>Maxi Vestido Fruncido</v>
      </c>
      <c r="G615" s="34">
        <v>1</v>
      </c>
      <c r="H615" s="35">
        <v>35</v>
      </c>
      <c r="I615" s="35">
        <f>VENTAS[[#This Row],[Cantidad]]*VENTAS[[#This Row],[Precio Venta]]</f>
        <v>35</v>
      </c>
      <c r="J615" s="35">
        <f>IF(VENTAS[[#This Row],[Nombre del Gestor]]&gt;1,VENTAS[[#This Row],[Total]]*10%,0)</f>
        <v>0</v>
      </c>
      <c r="K615" s="35">
        <f>IFERROR(VLOOKUP(VENTAS[[#This Row],[Código del producto Vendido]],STOCK[],16,FALSE)*VENTAS[[#This Row],[Cantidad]]+VLOOKUP(VENTAS[[#This Row],[Código del producto Vendido]],STOCK[],19,FALSE)*VENTAS[[#This Row],[Cantidad]],VENTAS[[#This Row],[Total]])</f>
        <v>21.4563636363636</v>
      </c>
      <c r="L615" s="35">
        <f>VENTAS[[#This Row],[Total]]-VENTAS[[#This Row],[Comisión 10%]]-VENTAS[[#This Row],[Costo SIN Comision]]</f>
        <v>13.5436363636364</v>
      </c>
      <c r="M615" s="35"/>
    </row>
    <row r="616" ht="20" customHeight="1" spans="1:13">
      <c r="A616" s="29" t="s">
        <v>3452</v>
      </c>
      <c r="B616" s="30">
        <f>IFERROR(VLOOKUP(VENTAS[[#This Row],[Código del producto Vendido]],STOCK[],25,FALSE),"-")</f>
        <v>0</v>
      </c>
      <c r="C616" s="30"/>
      <c r="D616" s="30"/>
      <c r="E616" s="30" t="s">
        <v>962</v>
      </c>
      <c r="F616" s="34" t="str">
        <f>IFERROR(VLOOKUP(VENTAS[[#This Row],[Código del producto Vendido]],STOCK[],5,FALSE),"-")</f>
        <v>Pantalón business básico</v>
      </c>
      <c r="G616" s="34">
        <v>1</v>
      </c>
      <c r="H616" s="35">
        <v>28</v>
      </c>
      <c r="I616" s="35">
        <f>VENTAS[[#This Row],[Cantidad]]*VENTAS[[#This Row],[Precio Venta]]</f>
        <v>28</v>
      </c>
      <c r="J616" s="35">
        <f>IF(VENTAS[[#This Row],[Nombre del Gestor]]&gt;1,VENTAS[[#This Row],[Total]]*10%,0)</f>
        <v>0</v>
      </c>
      <c r="K616" s="35">
        <f>IFERROR(VLOOKUP(VENTAS[[#This Row],[Código del producto Vendido]],STOCK[],16,FALSE)*VENTAS[[#This Row],[Cantidad]]+VLOOKUP(VENTAS[[#This Row],[Código del producto Vendido]],STOCK[],19,FALSE)*VENTAS[[#This Row],[Cantidad]],VENTAS[[#This Row],[Total]])</f>
        <v>21.3722727272727</v>
      </c>
      <c r="L616" s="35">
        <f>VENTAS[[#This Row],[Total]]-VENTAS[[#This Row],[Comisión 10%]]-VENTAS[[#This Row],[Costo SIN Comision]]</f>
        <v>6.6277272727273</v>
      </c>
      <c r="M616" s="35"/>
    </row>
    <row r="617" ht="20" customHeight="1" spans="1:13">
      <c r="A617" s="29" t="s">
        <v>3452</v>
      </c>
      <c r="B617" s="30" t="str">
        <f>IFERROR(VLOOKUP(VENTAS[[#This Row],[Código del producto Vendido]],STOCK[],25,FALSE),"-")</f>
        <v>Recibido Freddy 12 junio</v>
      </c>
      <c r="C617" s="30"/>
      <c r="D617" s="30"/>
      <c r="E617" s="30" t="s">
        <v>1083</v>
      </c>
      <c r="F617" s="34" t="str">
        <f>IFERROR(VLOOKUP(VENTAS[[#This Row],[Código del producto Vendido]],STOCK[],5,FALSE),"-")</f>
        <v>Camisero blanco con pinzas</v>
      </c>
      <c r="G617" s="34">
        <v>1</v>
      </c>
      <c r="H617" s="35">
        <v>25</v>
      </c>
      <c r="I617" s="35">
        <f>VENTAS[[#This Row],[Cantidad]]*VENTAS[[#This Row],[Precio Venta]]</f>
        <v>25</v>
      </c>
      <c r="J617" s="35">
        <f>IF(VENTAS[[#This Row],[Nombre del Gestor]]&gt;1,VENTAS[[#This Row],[Total]]*10%,0)</f>
        <v>0</v>
      </c>
      <c r="K617" s="35">
        <f>IFERROR(VLOOKUP(VENTAS[[#This Row],[Código del producto Vendido]],STOCK[],16,FALSE)*VENTAS[[#This Row],[Cantidad]]+VLOOKUP(VENTAS[[#This Row],[Código del producto Vendido]],STOCK[],19,FALSE)*VENTAS[[#This Row],[Cantidad]],VENTAS[[#This Row],[Total]])</f>
        <v>16.8</v>
      </c>
      <c r="L617" s="35">
        <f>VENTAS[[#This Row],[Total]]-VENTAS[[#This Row],[Comisión 10%]]-VENTAS[[#This Row],[Costo SIN Comision]]</f>
        <v>8.2</v>
      </c>
      <c r="M617" s="35"/>
    </row>
    <row r="618" ht="20" customHeight="1" spans="1:13">
      <c r="A618" s="29" t="s">
        <v>3452</v>
      </c>
      <c r="B618" s="30" t="str">
        <f>IFERROR(VLOOKUP(VENTAS[[#This Row],[Código del producto Vendido]],STOCK[],25,FALSE),"-")</f>
        <v>Viaje Agosto</v>
      </c>
      <c r="C618" s="30"/>
      <c r="D618" s="30"/>
      <c r="E618" s="30" t="s">
        <v>1209</v>
      </c>
      <c r="F618" s="34" t="str">
        <f>IFERROR(VLOOKUP(VENTAS[[#This Row],[Código del producto Vendido]],STOCK[],5,FALSE),"-")</f>
        <v>Falda negra con flores y abertura</v>
      </c>
      <c r="G618" s="34">
        <v>1</v>
      </c>
      <c r="H618" s="35">
        <v>19</v>
      </c>
      <c r="I618" s="35">
        <f>VENTAS[[#This Row],[Cantidad]]*VENTAS[[#This Row],[Precio Venta]]</f>
        <v>19</v>
      </c>
      <c r="J618" s="35">
        <f>IF(VENTAS[[#This Row],[Nombre del Gestor]]&gt;1,VENTAS[[#This Row],[Total]]*10%,0)</f>
        <v>0</v>
      </c>
      <c r="K618" s="35">
        <f>IFERROR(VLOOKUP(VENTAS[[#This Row],[Código del producto Vendido]],STOCK[],16,FALSE)*VENTAS[[#This Row],[Cantidad]]+VLOOKUP(VENTAS[[#This Row],[Código del producto Vendido]],STOCK[],19,FALSE)*VENTAS[[#This Row],[Cantidad]],VENTAS[[#This Row],[Total]])</f>
        <v>10.77</v>
      </c>
      <c r="L618" s="35">
        <f>VENTAS[[#This Row],[Total]]-VENTAS[[#This Row],[Comisión 10%]]-VENTAS[[#This Row],[Costo SIN Comision]]</f>
        <v>8.23</v>
      </c>
      <c r="M618" s="35"/>
    </row>
    <row r="619" ht="20" customHeight="1" spans="1:13">
      <c r="A619" s="29" t="s">
        <v>3452</v>
      </c>
      <c r="B619" s="30" t="str">
        <f>IFERROR(VLOOKUP(VENTAS[[#This Row],[Código del producto Vendido]],STOCK[],25,FALSE),"-")</f>
        <v>Recibido Freddy 24Mayo</v>
      </c>
      <c r="C619" s="30"/>
      <c r="D619" s="30"/>
      <c r="E619" s="30" t="s">
        <v>1017</v>
      </c>
      <c r="F619" s="34" t="str">
        <f>IFERROR(VLOOKUP(VENTAS[[#This Row],[Código del producto Vendido]],STOCK[],5,FALSE),"-")</f>
        <v>Top Dreamer Negro</v>
      </c>
      <c r="G619" s="34">
        <v>1</v>
      </c>
      <c r="H619" s="35">
        <v>12</v>
      </c>
      <c r="I619" s="35">
        <f>VENTAS[[#This Row],[Cantidad]]*VENTAS[[#This Row],[Precio Venta]]</f>
        <v>12</v>
      </c>
      <c r="J619" s="35">
        <f>IF(VENTAS[[#This Row],[Nombre del Gestor]]&gt;1,VENTAS[[#This Row],[Total]]*10%,0)</f>
        <v>0</v>
      </c>
      <c r="K619" s="35">
        <f>IFERROR(VLOOKUP(VENTAS[[#This Row],[Código del producto Vendido]],STOCK[],16,FALSE)*VENTAS[[#This Row],[Cantidad]]+VLOOKUP(VENTAS[[#This Row],[Código del producto Vendido]],STOCK[],19,FALSE)*VENTAS[[#This Row],[Cantidad]],VENTAS[[#This Row],[Total]])</f>
        <v>7.15681818181818</v>
      </c>
      <c r="L619" s="35">
        <f>VENTAS[[#This Row],[Total]]-VENTAS[[#This Row],[Comisión 10%]]-VENTAS[[#This Row],[Costo SIN Comision]]</f>
        <v>4.84318181818182</v>
      </c>
      <c r="M619" s="35"/>
    </row>
    <row r="620" ht="20" customHeight="1" spans="1:13">
      <c r="A620" s="29" t="s">
        <v>3452</v>
      </c>
      <c r="B620" s="30" t="str">
        <f>IFERROR(VLOOKUP(VENTAS[[#This Row],[Código del producto Vendido]],STOCK[],25,FALSE),"-")</f>
        <v>Viaje Agosto</v>
      </c>
      <c r="C620" s="30"/>
      <c r="D620" s="30"/>
      <c r="E620" s="30" t="s">
        <v>1262</v>
      </c>
      <c r="F620" s="34" t="str">
        <f>IFERROR(VLOOKUP(VENTAS[[#This Row],[Código del producto Vendido]],STOCK[],5,FALSE),"-")</f>
        <v>Maxi vestido playero naranja quemada</v>
      </c>
      <c r="G620" s="34">
        <v>2</v>
      </c>
      <c r="H620" s="35">
        <v>35</v>
      </c>
      <c r="I620" s="35">
        <f>VENTAS[[#This Row],[Cantidad]]*VENTAS[[#This Row],[Precio Venta]]</f>
        <v>70</v>
      </c>
      <c r="J620" s="35">
        <f>IF(VENTAS[[#This Row],[Nombre del Gestor]]&gt;1,VENTAS[[#This Row],[Total]]*10%,0)</f>
        <v>0</v>
      </c>
      <c r="K620" s="35">
        <f>IFERROR(VLOOKUP(VENTAS[[#This Row],[Código del producto Vendido]],STOCK[],16,FALSE)*VENTAS[[#This Row],[Cantidad]]+VLOOKUP(VENTAS[[#This Row],[Código del producto Vendido]],STOCK[],19,FALSE)*VENTAS[[#This Row],[Cantidad]],VENTAS[[#This Row],[Total]])</f>
        <v>47.9</v>
      </c>
      <c r="L620" s="35">
        <f>VENTAS[[#This Row],[Total]]-VENTAS[[#This Row],[Comisión 10%]]-VENTAS[[#This Row],[Costo SIN Comision]]</f>
        <v>22.1</v>
      </c>
      <c r="M620" s="35"/>
    </row>
    <row r="621" ht="20" customHeight="1" spans="1:13">
      <c r="A621" s="29" t="s">
        <v>3452</v>
      </c>
      <c r="B621" s="30">
        <f>IFERROR(VLOOKUP(VENTAS[[#This Row],[Código del producto Vendido]],STOCK[],25,FALSE),"-")</f>
        <v>0</v>
      </c>
      <c r="C621" s="30"/>
      <c r="D621" s="30"/>
      <c r="E621" s="30" t="s">
        <v>1313</v>
      </c>
      <c r="F621" s="34" t="str">
        <f>IFERROR(VLOOKUP(VENTAS[[#This Row],[Código del producto Vendido]],STOCK[],5,FALSE),"-")</f>
        <v>Blazer Crema</v>
      </c>
      <c r="G621" s="34">
        <v>1</v>
      </c>
      <c r="H621" s="35">
        <v>40</v>
      </c>
      <c r="I621" s="35">
        <f>VENTAS[[#This Row],[Cantidad]]*VENTAS[[#This Row],[Precio Venta]]</f>
        <v>40</v>
      </c>
      <c r="J621" s="35">
        <f>IF(VENTAS[[#This Row],[Nombre del Gestor]]&gt;1,VENTAS[[#This Row],[Total]]*10%,0)</f>
        <v>0</v>
      </c>
      <c r="K621" s="35">
        <f>IFERROR(VLOOKUP(VENTAS[[#This Row],[Código del producto Vendido]],STOCK[],16,FALSE)*VENTAS[[#This Row],[Cantidad]]+VLOOKUP(VENTAS[[#This Row],[Código del producto Vendido]],STOCK[],19,FALSE)*VENTAS[[#This Row],[Cantidad]],VENTAS[[#This Row],[Total]])</f>
        <v>30</v>
      </c>
      <c r="L621" s="35">
        <f>VENTAS[[#This Row],[Total]]-VENTAS[[#This Row],[Comisión 10%]]-VENTAS[[#This Row],[Costo SIN Comision]]</f>
        <v>10</v>
      </c>
      <c r="M621" s="35"/>
    </row>
    <row r="622" ht="20" customHeight="1" spans="1:13">
      <c r="A622" s="29" t="s">
        <v>3452</v>
      </c>
      <c r="B622" s="30">
        <f>IFERROR(VLOOKUP(VENTAS[[#This Row],[Código del producto Vendido]],STOCK[],25,FALSE),"-")</f>
        <v>0</v>
      </c>
      <c r="C622" s="30"/>
      <c r="D622" s="30"/>
      <c r="E622" s="30" t="s">
        <v>1324</v>
      </c>
      <c r="F622" s="34" t="str">
        <f>IFERROR(VLOOKUP(VENTAS[[#This Row],[Código del producto Vendido]],STOCK[],5,FALSE),"-")</f>
        <v>Camisa Blanca </v>
      </c>
      <c r="G622" s="34">
        <v>1</v>
      </c>
      <c r="H622" s="35">
        <v>25</v>
      </c>
      <c r="I622" s="35">
        <f>VENTAS[[#This Row],[Cantidad]]*VENTAS[[#This Row],[Precio Venta]]</f>
        <v>25</v>
      </c>
      <c r="J622" s="35">
        <f>IF(VENTAS[[#This Row],[Nombre del Gestor]]&gt;1,VENTAS[[#This Row],[Total]]*10%,0)</f>
        <v>0</v>
      </c>
      <c r="K622" s="35">
        <f>IFERROR(VLOOKUP(VENTAS[[#This Row],[Código del producto Vendido]],STOCK[],16,FALSE)*VENTAS[[#This Row],[Cantidad]]+VLOOKUP(VENTAS[[#This Row],[Código del producto Vendido]],STOCK[],19,FALSE)*VENTAS[[#This Row],[Cantidad]],VENTAS[[#This Row],[Total]])</f>
        <v>19</v>
      </c>
      <c r="L622" s="35">
        <f>VENTAS[[#This Row],[Total]]-VENTAS[[#This Row],[Comisión 10%]]-VENTAS[[#This Row],[Costo SIN Comision]]</f>
        <v>6</v>
      </c>
      <c r="M622" s="35"/>
    </row>
    <row r="623" ht="20" customHeight="1" spans="1:13">
      <c r="A623" s="29" t="s">
        <v>3452</v>
      </c>
      <c r="B623" s="30">
        <f>IFERROR(VLOOKUP(VENTAS[[#This Row],[Código del producto Vendido]],STOCK[],25,FALSE),"-")</f>
        <v>0</v>
      </c>
      <c r="C623" s="30"/>
      <c r="D623" s="30"/>
      <c r="E623" s="30" t="s">
        <v>1335</v>
      </c>
      <c r="F623" s="34" t="str">
        <f>IFERROR(VLOOKUP(VENTAS[[#This Row],[Código del producto Vendido]],STOCK[],5,FALSE),"-")</f>
        <v>Blusa Camisa de puño largo</v>
      </c>
      <c r="G623" s="34">
        <v>2</v>
      </c>
      <c r="H623" s="35">
        <v>25</v>
      </c>
      <c r="I623" s="35">
        <f>VENTAS[[#This Row],[Cantidad]]*VENTAS[[#This Row],[Precio Venta]]</f>
        <v>50</v>
      </c>
      <c r="J623" s="35">
        <f>IF(VENTAS[[#This Row],[Nombre del Gestor]]&gt;1,VENTAS[[#This Row],[Total]]*10%,0)</f>
        <v>0</v>
      </c>
      <c r="K623" s="35">
        <f>IFERROR(VLOOKUP(VENTAS[[#This Row],[Código del producto Vendido]],STOCK[],16,FALSE)*VENTAS[[#This Row],[Cantidad]]+VLOOKUP(VENTAS[[#This Row],[Código del producto Vendido]],STOCK[],19,FALSE)*VENTAS[[#This Row],[Cantidad]],VENTAS[[#This Row],[Total]])</f>
        <v>32.74</v>
      </c>
      <c r="L623" s="35">
        <f>VENTAS[[#This Row],[Total]]-VENTAS[[#This Row],[Comisión 10%]]-VENTAS[[#This Row],[Costo SIN Comision]]</f>
        <v>17.26</v>
      </c>
      <c r="M623" s="35"/>
    </row>
    <row r="624" ht="20" customHeight="1" spans="1:13">
      <c r="A624" s="29" t="s">
        <v>3452</v>
      </c>
      <c r="B624" s="30">
        <f>IFERROR(VLOOKUP(VENTAS[[#This Row],[Código del producto Vendido]],STOCK[],25,FALSE),"-")</f>
        <v>0</v>
      </c>
      <c r="C624" s="30"/>
      <c r="D624" s="30"/>
      <c r="E624" s="30" t="s">
        <v>1337</v>
      </c>
      <c r="F624" s="34" t="str">
        <f>IFERROR(VLOOKUP(VENTAS[[#This Row],[Código del producto Vendido]],STOCK[],5,FALSE),"-")</f>
        <v>Blusa camisa de puño largo</v>
      </c>
      <c r="G624" s="34">
        <v>1</v>
      </c>
      <c r="H624" s="35">
        <v>25</v>
      </c>
      <c r="I624" s="35">
        <f>VENTAS[[#This Row],[Cantidad]]*VENTAS[[#This Row],[Precio Venta]]</f>
        <v>25</v>
      </c>
      <c r="J624" s="35">
        <f>IF(VENTAS[[#This Row],[Nombre del Gestor]]&gt;1,VENTAS[[#This Row],[Total]]*10%,0)</f>
        <v>0</v>
      </c>
      <c r="K624" s="35">
        <f>IFERROR(VLOOKUP(VENTAS[[#This Row],[Código del producto Vendido]],STOCK[],16,FALSE)*VENTAS[[#This Row],[Cantidad]]+VLOOKUP(VENTAS[[#This Row],[Código del producto Vendido]],STOCK[],19,FALSE)*VENTAS[[#This Row],[Cantidad]],VENTAS[[#This Row],[Total]])</f>
        <v>16.37</v>
      </c>
      <c r="L624" s="35">
        <f>VENTAS[[#This Row],[Total]]-VENTAS[[#This Row],[Comisión 10%]]-VENTAS[[#This Row],[Costo SIN Comision]]</f>
        <v>8.63</v>
      </c>
      <c r="M624" s="35"/>
    </row>
    <row r="625" ht="20" customHeight="1" spans="1:13">
      <c r="A625" s="29" t="s">
        <v>3452</v>
      </c>
      <c r="B625" s="30">
        <f>IFERROR(VLOOKUP(VENTAS[[#This Row],[Código del producto Vendido]],STOCK[],25,FALSE),"-")</f>
        <v>0</v>
      </c>
      <c r="C625" s="30"/>
      <c r="D625" s="30"/>
      <c r="E625" s="30" t="s">
        <v>1339</v>
      </c>
      <c r="F625" s="34" t="str">
        <f>IFERROR(VLOOKUP(VENTAS[[#This Row],[Código del producto Vendido]],STOCK[],5,FALSE),"-")</f>
        <v>Camisa entallada dazy</v>
      </c>
      <c r="G625" s="34">
        <v>2</v>
      </c>
      <c r="H625" s="35">
        <v>25</v>
      </c>
      <c r="I625" s="35">
        <f>VENTAS[[#This Row],[Cantidad]]*VENTAS[[#This Row],[Precio Venta]]</f>
        <v>50</v>
      </c>
      <c r="J625" s="35">
        <f>IF(VENTAS[[#This Row],[Nombre del Gestor]]&gt;1,VENTAS[[#This Row],[Total]]*10%,0)</f>
        <v>0</v>
      </c>
      <c r="K625" s="35">
        <f>IFERROR(VLOOKUP(VENTAS[[#This Row],[Código del producto Vendido]],STOCK[],16,FALSE)*VENTAS[[#This Row],[Cantidad]]+VLOOKUP(VENTAS[[#This Row],[Código del producto Vendido]],STOCK[],19,FALSE)*VENTAS[[#This Row],[Cantidad]],VENTAS[[#This Row],[Total]])</f>
        <v>31.3</v>
      </c>
      <c r="L625" s="35">
        <f>VENTAS[[#This Row],[Total]]-VENTAS[[#This Row],[Comisión 10%]]-VENTAS[[#This Row],[Costo SIN Comision]]</f>
        <v>18.7</v>
      </c>
      <c r="M625" s="35"/>
    </row>
    <row r="626" ht="20" customHeight="1" spans="1:13">
      <c r="A626" s="29" t="s">
        <v>3452</v>
      </c>
      <c r="B626" s="30">
        <f>IFERROR(VLOOKUP(VENTAS[[#This Row],[Código del producto Vendido]],STOCK[],25,FALSE),"-")</f>
        <v>0</v>
      </c>
      <c r="C626" s="30"/>
      <c r="D626" s="30"/>
      <c r="E626" s="30" t="s">
        <v>1341</v>
      </c>
      <c r="F626" s="34" t="str">
        <f>IFERROR(VLOOKUP(VENTAS[[#This Row],[Código del producto Vendido]],STOCK[],5,FALSE),"-")</f>
        <v>Camisa entallada dazy</v>
      </c>
      <c r="G626" s="34">
        <v>2</v>
      </c>
      <c r="H626" s="35">
        <v>25</v>
      </c>
      <c r="I626" s="35">
        <f>VENTAS[[#This Row],[Cantidad]]*VENTAS[[#This Row],[Precio Venta]]</f>
        <v>50</v>
      </c>
      <c r="J626" s="35">
        <f>IF(VENTAS[[#This Row],[Nombre del Gestor]]&gt;1,VENTAS[[#This Row],[Total]]*10%,0)</f>
        <v>0</v>
      </c>
      <c r="K626" s="35">
        <f>IFERROR(VLOOKUP(VENTAS[[#This Row],[Código del producto Vendido]],STOCK[],16,FALSE)*VENTAS[[#This Row],[Cantidad]]+VLOOKUP(VENTAS[[#This Row],[Código del producto Vendido]],STOCK[],19,FALSE)*VENTAS[[#This Row],[Cantidad]],VENTAS[[#This Row],[Total]])</f>
        <v>31.3</v>
      </c>
      <c r="L626" s="35">
        <f>VENTAS[[#This Row],[Total]]-VENTAS[[#This Row],[Comisión 10%]]-VENTAS[[#This Row],[Costo SIN Comision]]</f>
        <v>18.7</v>
      </c>
      <c r="M626" s="35"/>
    </row>
    <row r="627" ht="20" customHeight="1" spans="1:13">
      <c r="A627" s="29" t="s">
        <v>3452</v>
      </c>
      <c r="B627" s="30">
        <f>IFERROR(VLOOKUP(VENTAS[[#This Row],[Código del producto Vendido]],STOCK[],25,FALSE),"-")</f>
        <v>0</v>
      </c>
      <c r="C627" s="30"/>
      <c r="D627" s="30"/>
      <c r="E627" s="30" t="s">
        <v>1388</v>
      </c>
      <c r="F627" s="34" t="str">
        <f>IFERROR(VLOOKUP(VENTAS[[#This Row],[Código del producto Vendido]],STOCK[],5,FALSE),"-")</f>
        <v>Playera negra de cuello cisne</v>
      </c>
      <c r="G627" s="34">
        <v>1</v>
      </c>
      <c r="H627" s="35">
        <v>18</v>
      </c>
      <c r="I627" s="35">
        <f>VENTAS[[#This Row],[Cantidad]]*VENTAS[[#This Row],[Precio Venta]]</f>
        <v>18</v>
      </c>
      <c r="J627" s="35">
        <f>IF(VENTAS[[#This Row],[Nombre del Gestor]]&gt;1,VENTAS[[#This Row],[Total]]*10%,0)</f>
        <v>0</v>
      </c>
      <c r="K627" s="35">
        <f>IFERROR(VLOOKUP(VENTAS[[#This Row],[Código del producto Vendido]],STOCK[],16,FALSE)*VENTAS[[#This Row],[Cantidad]]+VLOOKUP(VENTAS[[#This Row],[Código del producto Vendido]],STOCK[],19,FALSE)*VENTAS[[#This Row],[Cantidad]],VENTAS[[#This Row],[Total]])</f>
        <v>11.32</v>
      </c>
      <c r="L627" s="35">
        <f>VENTAS[[#This Row],[Total]]-VENTAS[[#This Row],[Comisión 10%]]-VENTAS[[#This Row],[Costo SIN Comision]]</f>
        <v>6.68</v>
      </c>
      <c r="M627" s="35"/>
    </row>
    <row r="628" ht="20" customHeight="1" spans="1:13">
      <c r="A628" s="29" t="s">
        <v>3452</v>
      </c>
      <c r="B628" s="30">
        <f>IFERROR(VLOOKUP(VENTAS[[#This Row],[Código del producto Vendido]],STOCK[],25,FALSE),"-")</f>
        <v>0</v>
      </c>
      <c r="C628" s="30"/>
      <c r="D628" s="30"/>
      <c r="E628" s="30" t="s">
        <v>1392</v>
      </c>
      <c r="F628" s="34" t="str">
        <f>IFERROR(VLOOKUP(VENTAS[[#This Row],[Código del producto Vendido]],STOCK[],5,FALSE),"-")</f>
        <v>Playera negra de cuello cisne</v>
      </c>
      <c r="G628" s="34">
        <v>1</v>
      </c>
      <c r="H628" s="35">
        <v>18</v>
      </c>
      <c r="I628" s="35">
        <f>VENTAS[[#This Row],[Cantidad]]*VENTAS[[#This Row],[Precio Venta]]</f>
        <v>18</v>
      </c>
      <c r="J628" s="35">
        <f>IF(VENTAS[[#This Row],[Nombre del Gestor]]&gt;1,VENTAS[[#This Row],[Total]]*10%,0)</f>
        <v>0</v>
      </c>
      <c r="K628" s="35">
        <f>IFERROR(VLOOKUP(VENTAS[[#This Row],[Código del producto Vendido]],STOCK[],16,FALSE)*VENTAS[[#This Row],[Cantidad]]+VLOOKUP(VENTAS[[#This Row],[Código del producto Vendido]],STOCK[],19,FALSE)*VENTAS[[#This Row],[Cantidad]],VENTAS[[#This Row],[Total]])</f>
        <v>11.32</v>
      </c>
      <c r="L628" s="35">
        <f>VENTAS[[#This Row],[Total]]-VENTAS[[#This Row],[Comisión 10%]]-VENTAS[[#This Row],[Costo SIN Comision]]</f>
        <v>6.68</v>
      </c>
      <c r="M628" s="35"/>
    </row>
    <row r="629" ht="20" customHeight="1" spans="1:13">
      <c r="A629" s="29" t="s">
        <v>3452</v>
      </c>
      <c r="B629" s="30" t="str">
        <f>IFERROR(VLOOKUP(VENTAS[[#This Row],[Código del producto Vendido]],STOCK[],25,FALSE),"-")</f>
        <v>Compra 11 dic 2023</v>
      </c>
      <c r="C629" s="30"/>
      <c r="D629" s="30"/>
      <c r="E629" s="30" t="s">
        <v>1402</v>
      </c>
      <c r="F629" s="34" t="str">
        <f>IFERROR(VLOOKUP(VENTAS[[#This Row],[Código del producto Vendido]],STOCK[],5,FALSE),"-")</f>
        <v>Top bustier corsetero</v>
      </c>
      <c r="G629" s="34">
        <v>1</v>
      </c>
      <c r="H629" s="35">
        <v>22</v>
      </c>
      <c r="I629" s="35">
        <f>VENTAS[[#This Row],[Cantidad]]*VENTAS[[#This Row],[Precio Venta]]</f>
        <v>22</v>
      </c>
      <c r="J629" s="35">
        <f>IF(VENTAS[[#This Row],[Nombre del Gestor]]&gt;1,VENTAS[[#This Row],[Total]]*10%,0)</f>
        <v>0</v>
      </c>
      <c r="K629" s="35">
        <f>IFERROR(VLOOKUP(VENTAS[[#This Row],[Código del producto Vendido]],STOCK[],16,FALSE)*VENTAS[[#This Row],[Cantidad]]+VLOOKUP(VENTAS[[#This Row],[Código del producto Vendido]],STOCK[],19,FALSE)*VENTAS[[#This Row],[Cantidad]],VENTAS[[#This Row],[Total]])</f>
        <v>5.5</v>
      </c>
      <c r="L629" s="35">
        <f>VENTAS[[#This Row],[Total]]-VENTAS[[#This Row],[Comisión 10%]]-VENTAS[[#This Row],[Costo SIN Comision]]</f>
        <v>16.5</v>
      </c>
      <c r="M629" s="35"/>
    </row>
    <row r="630" ht="20" customHeight="1" spans="1:13">
      <c r="A630" s="29" t="s">
        <v>3452</v>
      </c>
      <c r="B630" s="30">
        <f>IFERROR(VLOOKUP(VENTAS[[#This Row],[Código del producto Vendido]],STOCK[],25,FALSE),"-")</f>
        <v>0</v>
      </c>
      <c r="C630" s="30"/>
      <c r="D630" s="30"/>
      <c r="E630" s="30" t="s">
        <v>1418</v>
      </c>
      <c r="F630" s="34" t="str">
        <f>IFERROR(VLOOKUP(VENTAS[[#This Row],[Código del producto Vendido]],STOCK[],5,FALSE),"-")</f>
        <v>Vestido acanalado cruzado color crema</v>
      </c>
      <c r="G630" s="34">
        <v>2</v>
      </c>
      <c r="H630" s="35">
        <v>28</v>
      </c>
      <c r="I630" s="35">
        <f>VENTAS[[#This Row],[Cantidad]]*VENTAS[[#This Row],[Precio Venta]]</f>
        <v>56</v>
      </c>
      <c r="J630" s="35">
        <f>IF(VENTAS[[#This Row],[Nombre del Gestor]]&gt;1,VENTAS[[#This Row],[Total]]*10%,0)</f>
        <v>0</v>
      </c>
      <c r="K630" s="35">
        <f>IFERROR(VLOOKUP(VENTAS[[#This Row],[Código del producto Vendido]],STOCK[],16,FALSE)*VENTAS[[#This Row],[Cantidad]]+VLOOKUP(VENTAS[[#This Row],[Código del producto Vendido]],STOCK[],19,FALSE)*VENTAS[[#This Row],[Cantidad]],VENTAS[[#This Row],[Total]])</f>
        <v>49.18</v>
      </c>
      <c r="L630" s="35">
        <f>VENTAS[[#This Row],[Total]]-VENTAS[[#This Row],[Comisión 10%]]-VENTAS[[#This Row],[Costo SIN Comision]]</f>
        <v>6.82</v>
      </c>
      <c r="M630" s="35"/>
    </row>
    <row r="631" ht="20" customHeight="1" spans="1:13">
      <c r="A631" s="29" t="s">
        <v>3452</v>
      </c>
      <c r="B631" s="30">
        <f>IFERROR(VLOOKUP(VENTAS[[#This Row],[Código del producto Vendido]],STOCK[],25,FALSE),"-")</f>
        <v>0</v>
      </c>
      <c r="C631" s="30"/>
      <c r="D631" s="30"/>
      <c r="E631" s="30" t="s">
        <v>1419</v>
      </c>
      <c r="F631" s="34" t="str">
        <f>IFERROR(VLOOKUP(VENTAS[[#This Row],[Código del producto Vendido]],STOCK[],5,FALSE),"-")</f>
        <v>Short de tela suave con cinturón</v>
      </c>
      <c r="G631" s="34">
        <v>1</v>
      </c>
      <c r="H631" s="35">
        <v>20</v>
      </c>
      <c r="I631" s="35">
        <f>VENTAS[[#This Row],[Cantidad]]*VENTAS[[#This Row],[Precio Venta]]</f>
        <v>20</v>
      </c>
      <c r="J631" s="35">
        <f>IF(VENTAS[[#This Row],[Nombre del Gestor]]&gt;1,VENTAS[[#This Row],[Total]]*10%,0)</f>
        <v>0</v>
      </c>
      <c r="K631" s="35">
        <f>IFERROR(VLOOKUP(VENTAS[[#This Row],[Código del producto Vendido]],STOCK[],16,FALSE)*VENTAS[[#This Row],[Cantidad]]+VLOOKUP(VENTAS[[#This Row],[Código del producto Vendido]],STOCK[],19,FALSE)*VENTAS[[#This Row],[Cantidad]],VENTAS[[#This Row],[Total]])</f>
        <v>12.99</v>
      </c>
      <c r="L631" s="35">
        <f>VENTAS[[#This Row],[Total]]-VENTAS[[#This Row],[Comisión 10%]]-VENTAS[[#This Row],[Costo SIN Comision]]</f>
        <v>7.01</v>
      </c>
      <c r="M631" s="35"/>
    </row>
    <row r="632" ht="20" customHeight="1" spans="1:13">
      <c r="A632" s="29" t="s">
        <v>3452</v>
      </c>
      <c r="B632" s="30" t="str">
        <f>IFERROR(VLOOKUP(VENTAS[[#This Row],[Código del producto Vendido]],STOCK[],25,FALSE),"-")</f>
        <v>Yenma 19 Mayo</v>
      </c>
      <c r="C632" s="30"/>
      <c r="D632" s="30"/>
      <c r="E632" s="30" t="s">
        <v>205</v>
      </c>
      <c r="F632" s="34" t="str">
        <f>IFERROR(VLOOKUP(VENTAS[[#This Row],[Código del producto Vendido]],STOCK[],5,FALSE),"-")</f>
        <v>Vestido de satén ajustado de tirantes fruncido</v>
      </c>
      <c r="G632" s="34">
        <v>1</v>
      </c>
      <c r="H632" s="35">
        <v>25</v>
      </c>
      <c r="I632" s="35">
        <f>VENTAS[[#This Row],[Cantidad]]*VENTAS[[#This Row],[Precio Venta]]</f>
        <v>25</v>
      </c>
      <c r="J632" s="35">
        <f>IF(VENTAS[[#This Row],[Nombre del Gestor]]&gt;1,VENTAS[[#This Row],[Total]]*10%,0)</f>
        <v>0</v>
      </c>
      <c r="K632" s="35">
        <f>IFERROR(VLOOKUP(VENTAS[[#This Row],[Código del producto Vendido]],STOCK[],16,FALSE)*VENTAS[[#This Row],[Cantidad]]+VLOOKUP(VENTAS[[#This Row],[Código del producto Vendido]],STOCK[],19,FALSE)*VENTAS[[#This Row],[Cantidad]],VENTAS[[#This Row],[Total]])</f>
        <v>12.8755555555556</v>
      </c>
      <c r="L632" s="35">
        <f>VENTAS[[#This Row],[Total]]-VENTAS[[#This Row],[Comisión 10%]]-VENTAS[[#This Row],[Costo SIN Comision]]</f>
        <v>12.1244444444444</v>
      </c>
      <c r="M632" s="35"/>
    </row>
    <row r="633" ht="20" customHeight="1" spans="1:13">
      <c r="A633" s="29" t="s">
        <v>3452</v>
      </c>
      <c r="B633" s="30">
        <f>IFERROR(VLOOKUP(VENTAS[[#This Row],[Código del producto Vendido]],STOCK[],25,FALSE),"-")</f>
        <v>0</v>
      </c>
      <c r="C633" s="30"/>
      <c r="D633" s="30"/>
      <c r="E633" s="30" t="s">
        <v>646</v>
      </c>
      <c r="F633" s="34" t="str">
        <f>IFERROR(VLOOKUP(VENTAS[[#This Row],[Código del producto Vendido]],STOCK[],5,FALSE),"-")</f>
        <v>Vestido con estampado jungla</v>
      </c>
      <c r="G633" s="34">
        <v>1</v>
      </c>
      <c r="H633" s="35">
        <v>16</v>
      </c>
      <c r="I633" s="35">
        <f>VENTAS[[#This Row],[Cantidad]]*VENTAS[[#This Row],[Precio Venta]]</f>
        <v>16</v>
      </c>
      <c r="J633" s="35">
        <f>IF(VENTAS[[#This Row],[Nombre del Gestor]]&gt;1,VENTAS[[#This Row],[Total]]*10%,0)</f>
        <v>0</v>
      </c>
      <c r="K633" s="35">
        <f>IFERROR(VLOOKUP(VENTAS[[#This Row],[Código del producto Vendido]],STOCK[],16,FALSE)*VENTAS[[#This Row],[Cantidad]]+VLOOKUP(VENTAS[[#This Row],[Código del producto Vendido]],STOCK[],19,FALSE)*VENTAS[[#This Row],[Cantidad]],VENTAS[[#This Row],[Total]])</f>
        <v>10.7222222222222</v>
      </c>
      <c r="L633" s="35">
        <f>VENTAS[[#This Row],[Total]]-VENTAS[[#This Row],[Comisión 10%]]-VENTAS[[#This Row],[Costo SIN Comision]]</f>
        <v>5.27777777777778</v>
      </c>
      <c r="M633" s="35"/>
    </row>
    <row r="634" ht="20" customHeight="1" spans="1:13">
      <c r="A634" s="29" t="s">
        <v>3452</v>
      </c>
      <c r="B634" s="30" t="str">
        <f>IFERROR(VLOOKUP(VENTAS[[#This Row],[Código del producto Vendido]],STOCK[],25,FALSE),"-")</f>
        <v>Compra 7/12/2023</v>
      </c>
      <c r="C634" s="30"/>
      <c r="D634" s="30"/>
      <c r="E634" s="30" t="s">
        <v>1525</v>
      </c>
      <c r="F634" s="34" t="str">
        <f>IFERROR(VLOOKUP(VENTAS[[#This Row],[Código del producto Vendido]],STOCK[],5,FALSE),"-")</f>
        <v>Top Bustier encaje</v>
      </c>
      <c r="G634" s="34">
        <v>1</v>
      </c>
      <c r="H634" s="35">
        <v>22</v>
      </c>
      <c r="I634" s="35">
        <f>VENTAS[[#This Row],[Cantidad]]*VENTAS[[#This Row],[Precio Venta]]</f>
        <v>22</v>
      </c>
      <c r="J634" s="35">
        <f>IF(VENTAS[[#This Row],[Nombre del Gestor]]&gt;1,VENTAS[[#This Row],[Total]]*10%,0)</f>
        <v>0</v>
      </c>
      <c r="K634" s="35">
        <f>IFERROR(VLOOKUP(VENTAS[[#This Row],[Código del producto Vendido]],STOCK[],16,FALSE)*VENTAS[[#This Row],[Cantidad]]+VLOOKUP(VENTAS[[#This Row],[Código del producto Vendido]],STOCK[],19,FALSE)*VENTAS[[#This Row],[Cantidad]],VENTAS[[#This Row],[Total]])</f>
        <v>14.7</v>
      </c>
      <c r="L634" s="35">
        <f>VENTAS[[#This Row],[Total]]-VENTAS[[#This Row],[Comisión 10%]]-VENTAS[[#This Row],[Costo SIN Comision]]</f>
        <v>7.3</v>
      </c>
      <c r="M634" s="35"/>
    </row>
    <row r="635" ht="20" customHeight="1" spans="1:13">
      <c r="A635" s="29" t="s">
        <v>3452</v>
      </c>
      <c r="B635" s="30" t="str">
        <f>IFERROR(VLOOKUP(VENTAS[[#This Row],[Código del producto Vendido]],STOCK[],25,FALSE),"-")</f>
        <v>Compra 7/12/2023</v>
      </c>
      <c r="C635" s="30"/>
      <c r="D635" s="30"/>
      <c r="E635" s="30" t="s">
        <v>1544</v>
      </c>
      <c r="F635" s="34" t="str">
        <f>IFERROR(VLOOKUP(VENTAS[[#This Row],[Código del producto Vendido]],STOCK[],5,FALSE),"-")</f>
        <v>Gafas de sol Dama</v>
      </c>
      <c r="G635" s="34">
        <v>1</v>
      </c>
      <c r="H635" s="35">
        <v>9</v>
      </c>
      <c r="I635" s="35">
        <f>VENTAS[[#This Row],[Cantidad]]*VENTAS[[#This Row],[Precio Venta]]</f>
        <v>9</v>
      </c>
      <c r="J635" s="35">
        <f>IF(VENTAS[[#This Row],[Nombre del Gestor]]&gt;1,VENTAS[[#This Row],[Total]]*10%,0)</f>
        <v>0</v>
      </c>
      <c r="K635" s="35">
        <f>IFERROR(VLOOKUP(VENTAS[[#This Row],[Código del producto Vendido]],STOCK[],16,FALSE)*VENTAS[[#This Row],[Cantidad]]+VLOOKUP(VENTAS[[#This Row],[Código del producto Vendido]],STOCK[],19,FALSE)*VENTAS[[#This Row],[Cantidad]],VENTAS[[#This Row],[Total]])</f>
        <v>6.05</v>
      </c>
      <c r="L635" s="35">
        <f>VENTAS[[#This Row],[Total]]-VENTAS[[#This Row],[Comisión 10%]]-VENTAS[[#This Row],[Costo SIN Comision]]</f>
        <v>2.95</v>
      </c>
      <c r="M635" s="35"/>
    </row>
    <row r="636" ht="20" customHeight="1" spans="1:13">
      <c r="A636" s="29" t="s">
        <v>3452</v>
      </c>
      <c r="B636" s="30" t="str">
        <f>IFERROR(VLOOKUP(VENTAS[[#This Row],[Código del producto Vendido]],STOCK[],25,FALSE),"-")</f>
        <v>Compra 9/12/2023</v>
      </c>
      <c r="C636" s="30"/>
      <c r="D636" s="30"/>
      <c r="E636" s="30" t="s">
        <v>1677</v>
      </c>
      <c r="F636" s="34" t="str">
        <f>IFERROR(VLOOKUP(VENTAS[[#This Row],[Código del producto Vendido]],STOCK[],5,FALSE),"-")</f>
        <v>Botas negras de zíper</v>
      </c>
      <c r="G636" s="34">
        <v>1</v>
      </c>
      <c r="H636" s="35">
        <v>40</v>
      </c>
      <c r="I636" s="35">
        <f>VENTAS[[#This Row],[Cantidad]]*VENTAS[[#This Row],[Precio Venta]]</f>
        <v>40</v>
      </c>
      <c r="J636" s="35">
        <f>IF(VENTAS[[#This Row],[Nombre del Gestor]]&gt;1,VENTAS[[#This Row],[Total]]*10%,0)</f>
        <v>0</v>
      </c>
      <c r="K636" s="35">
        <f>IFERROR(VLOOKUP(VENTAS[[#This Row],[Código del producto Vendido]],STOCK[],16,FALSE)*VENTAS[[#This Row],[Cantidad]]+VLOOKUP(VENTAS[[#This Row],[Código del producto Vendido]],STOCK[],19,FALSE)*VENTAS[[#This Row],[Cantidad]],VENTAS[[#This Row],[Total]])</f>
        <v>22.42</v>
      </c>
      <c r="L636" s="35">
        <f>VENTAS[[#This Row],[Total]]-VENTAS[[#This Row],[Comisión 10%]]-VENTAS[[#This Row],[Costo SIN Comision]]</f>
        <v>17.58</v>
      </c>
      <c r="M636" s="35"/>
    </row>
    <row r="637" ht="20" customHeight="1" spans="1:13">
      <c r="A637" s="29" t="s">
        <v>3452</v>
      </c>
      <c r="B637" s="30" t="str">
        <f>IFERROR(VLOOKUP(VENTAS[[#This Row],[Código del producto Vendido]],STOCK[],25,FALSE),"-")</f>
        <v>Compra 7/12/2023</v>
      </c>
      <c r="C637" s="30" t="s">
        <v>3454</v>
      </c>
      <c r="D637" s="30" t="s">
        <v>3455</v>
      </c>
      <c r="E637" s="30" t="s">
        <v>1521</v>
      </c>
      <c r="F637" s="34" t="str">
        <f>IFERROR(VLOOKUP(VENTAS[[#This Row],[Código del producto Vendido]],STOCK[],5,FALSE),"-")</f>
        <v>Sandalias Albaricoque</v>
      </c>
      <c r="G637" s="34">
        <v>1</v>
      </c>
      <c r="H637" s="35">
        <v>40</v>
      </c>
      <c r="I637" s="35">
        <f>VENTAS[[#This Row],[Cantidad]]*VENTAS[[#This Row],[Precio Venta]]</f>
        <v>40</v>
      </c>
      <c r="J637" s="35">
        <f>IF(VENTAS[[#This Row],[Nombre del Gestor]]&gt;1,VENTAS[[#This Row],[Total]]*10%,0)</f>
        <v>4</v>
      </c>
      <c r="K637" s="35">
        <f>IFERROR(VLOOKUP(VENTAS[[#This Row],[Código del producto Vendido]],STOCK[],16,FALSE)*VENTAS[[#This Row],[Cantidad]]+VLOOKUP(VENTAS[[#This Row],[Código del producto Vendido]],STOCK[],19,FALSE)*VENTAS[[#This Row],[Cantidad]],VENTAS[[#This Row],[Total]])</f>
        <v>23</v>
      </c>
      <c r="L637" s="35">
        <f>VENTAS[[#This Row],[Total]]-VENTAS[[#This Row],[Comisión 10%]]-VENTAS[[#This Row],[Costo SIN Comision]]</f>
        <v>13</v>
      </c>
      <c r="M637" s="35"/>
    </row>
    <row r="638" ht="20" customHeight="1" spans="1:13">
      <c r="A638" s="29" t="s">
        <v>3452</v>
      </c>
      <c r="B638" s="30" t="str">
        <f>IFERROR(VLOOKUP(VENTAS[[#This Row],[Código del producto Vendido]],STOCK[],25,FALSE),"-")</f>
        <v>Compra 7/12/2023</v>
      </c>
      <c r="C638" s="30"/>
      <c r="D638" s="30" t="s">
        <v>3456</v>
      </c>
      <c r="E638" s="30" t="s">
        <v>1536</v>
      </c>
      <c r="F638" s="34" t="str">
        <f>IFERROR(VLOOKUP(VENTAS[[#This Row],[Código del producto Vendido]],STOCK[],5,FALSE),"-")</f>
        <v>Falda de mezclilla negra a la cintura</v>
      </c>
      <c r="G638" s="34">
        <v>1</v>
      </c>
      <c r="H638" s="35">
        <v>0</v>
      </c>
      <c r="I638" s="35">
        <f>VENTAS[[#This Row],[Cantidad]]*VENTAS[[#This Row],[Precio Venta]]</f>
        <v>0</v>
      </c>
      <c r="J638" s="35">
        <f>IF(VENTAS[[#This Row],[Nombre del Gestor]]&gt;1,VENTAS[[#This Row],[Total]]*10%,0)</f>
        <v>0</v>
      </c>
      <c r="K638" s="35">
        <f>IFERROR(VLOOKUP(VENTAS[[#This Row],[Código del producto Vendido]],STOCK[],16,FALSE)*VENTAS[[#This Row],[Cantidad]]+VLOOKUP(VENTAS[[#This Row],[Código del producto Vendido]],STOCK[],19,FALSE)*VENTAS[[#This Row],[Cantidad]],VENTAS[[#This Row],[Total]])</f>
        <v>15</v>
      </c>
      <c r="L638" s="35">
        <f>VENTAS[[#This Row],[Total]]-VENTAS[[#This Row],[Comisión 10%]]-VENTAS[[#This Row],[Costo SIN Comision]]</f>
        <v>-15</v>
      </c>
      <c r="M638" s="35"/>
    </row>
    <row r="639" ht="20" customHeight="1" spans="1:13">
      <c r="A639" s="29" t="s">
        <v>3452</v>
      </c>
      <c r="B639" s="30" t="str">
        <f>IFERROR(VLOOKUP(VENTAS[[#This Row],[Código del producto Vendido]],STOCK[],25,FALSE),"-")</f>
        <v>Compra 7/12/2023</v>
      </c>
      <c r="C639" s="30"/>
      <c r="D639" s="30" t="s">
        <v>3457</v>
      </c>
      <c r="E639" s="30" t="s">
        <v>1504</v>
      </c>
      <c r="F639" s="34" t="str">
        <f>IFERROR(VLOOKUP(VENTAS[[#This Row],[Código del producto Vendido]],STOCK[],5,FALSE),"-")</f>
        <v>Vestido Frenchy Ajustado</v>
      </c>
      <c r="G639" s="34">
        <v>1</v>
      </c>
      <c r="H639" s="35">
        <v>25</v>
      </c>
      <c r="I639" s="35">
        <f>VENTAS[[#This Row],[Cantidad]]*VENTAS[[#This Row],[Precio Venta]]</f>
        <v>25</v>
      </c>
      <c r="J639" s="35">
        <f>IF(VENTAS[[#This Row],[Nombre del Gestor]]&gt;1,VENTAS[[#This Row],[Total]]*10%,0)</f>
        <v>2.5</v>
      </c>
      <c r="K639" s="35">
        <f>IFERROR(VLOOKUP(VENTAS[[#This Row],[Código del producto Vendido]],STOCK[],16,FALSE)*VENTAS[[#This Row],[Cantidad]]+VLOOKUP(VENTAS[[#This Row],[Código del producto Vendido]],STOCK[],19,FALSE)*VENTAS[[#This Row],[Cantidad]],VENTAS[[#This Row],[Total]])</f>
        <v>11.5</v>
      </c>
      <c r="L639" s="35">
        <f>VENTAS[[#This Row],[Total]]-VENTAS[[#This Row],[Comisión 10%]]-VENTAS[[#This Row],[Costo SIN Comision]]</f>
        <v>11</v>
      </c>
      <c r="M639" s="35"/>
    </row>
    <row r="640" ht="20" customHeight="1" spans="1:13">
      <c r="A640" s="29" t="s">
        <v>3452</v>
      </c>
      <c r="B640" s="30" t="str">
        <f>IFERROR(VLOOKUP(VENTAS[[#This Row],[Código del producto Vendido]],STOCK[],25,FALSE),"-")</f>
        <v>Compra 7/12/2023</v>
      </c>
      <c r="C640" s="30"/>
      <c r="D640" s="30" t="s">
        <v>3453</v>
      </c>
      <c r="E640" s="30" t="s">
        <v>1510</v>
      </c>
      <c r="F640" s="34" t="str">
        <f>IFERROR(VLOOKUP(VENTAS[[#This Row],[Código del producto Vendido]],STOCK[],5,FALSE),"-")</f>
        <v>Pantalón Negro Acampanado</v>
      </c>
      <c r="G640" s="34">
        <v>1</v>
      </c>
      <c r="H640" s="35">
        <v>28</v>
      </c>
      <c r="I640" s="35">
        <f>VENTAS[[#This Row],[Cantidad]]*VENTAS[[#This Row],[Precio Venta]]</f>
        <v>28</v>
      </c>
      <c r="J640" s="35">
        <f>IF(VENTAS[[#This Row],[Nombre del Gestor]]&gt;1,VENTAS[[#This Row],[Total]]*10%,0)</f>
        <v>2.8</v>
      </c>
      <c r="K640" s="35">
        <f>IFERROR(VLOOKUP(VENTAS[[#This Row],[Código del producto Vendido]],STOCK[],16,FALSE)*VENTAS[[#This Row],[Cantidad]]+VLOOKUP(VENTAS[[#This Row],[Código del producto Vendido]],STOCK[],19,FALSE)*VENTAS[[#This Row],[Cantidad]],VENTAS[[#This Row],[Total]])</f>
        <v>16.5</v>
      </c>
      <c r="L640" s="35">
        <f>VENTAS[[#This Row],[Total]]-VENTAS[[#This Row],[Comisión 10%]]-VENTAS[[#This Row],[Costo SIN Comision]]</f>
        <v>8.7</v>
      </c>
      <c r="M640" s="35"/>
    </row>
    <row r="641" ht="20" customHeight="1" spans="1:13">
      <c r="A641" s="29" t="s">
        <v>3452</v>
      </c>
      <c r="B641" s="30" t="str">
        <f>IFERROR(VLOOKUP(VENTAS[[#This Row],[Código del producto Vendido]],STOCK[],25,FALSE),"-")</f>
        <v>-</v>
      </c>
      <c r="C641" s="30"/>
      <c r="D641" s="30" t="s">
        <v>3457</v>
      </c>
      <c r="E641" s="30" t="s">
        <v>3458</v>
      </c>
      <c r="F641" s="34" t="str">
        <f>IFERROR(VLOOKUP(VENTAS[[#This Row],[Código del producto Vendido]],STOCK[],5,FALSE),"-")</f>
        <v>-</v>
      </c>
      <c r="G641" s="34">
        <v>1</v>
      </c>
      <c r="H641" s="35">
        <v>13</v>
      </c>
      <c r="I641" s="35">
        <f>VENTAS[[#This Row],[Cantidad]]*VENTAS[[#This Row],[Precio Venta]]</f>
        <v>13</v>
      </c>
      <c r="J641" s="35">
        <f>IF(VENTAS[[#This Row],[Nombre del Gestor]]&gt;1,VENTAS[[#This Row],[Total]]*10%,0)</f>
        <v>1.3</v>
      </c>
      <c r="K641" s="35">
        <f>IFERROR(VLOOKUP(VENTAS[[#This Row],[Código del producto Vendido]],STOCK[],16,FALSE)*VENTAS[[#This Row],[Cantidad]]+VLOOKUP(VENTAS[[#This Row],[Código del producto Vendido]],STOCK[],19,FALSE)*VENTAS[[#This Row],[Cantidad]],VENTAS[[#This Row],[Total]])</f>
        <v>13</v>
      </c>
      <c r="L641" s="35">
        <f>VENTAS[[#This Row],[Total]]-VENTAS[[#This Row],[Comisión 10%]]-VENTAS[[#This Row],[Costo SIN Comision]]</f>
        <v>-1.3</v>
      </c>
      <c r="M641" s="35"/>
    </row>
    <row r="642" ht="20" customHeight="1" spans="1:13">
      <c r="A642" s="29" t="s">
        <v>3452</v>
      </c>
      <c r="B642" s="30" t="str">
        <f>IFERROR(VLOOKUP(VENTAS[[#This Row],[Código del producto Vendido]],STOCK[],25,FALSE),"-")</f>
        <v>Compra 7/12/2023</v>
      </c>
      <c r="C642" s="30"/>
      <c r="D642" s="30" t="s">
        <v>3457</v>
      </c>
      <c r="E642" s="30" t="s">
        <v>1503</v>
      </c>
      <c r="F642" s="34" t="str">
        <f>IFERROR(VLOOKUP(VENTAS[[#This Row],[Código del producto Vendido]],STOCK[],5,FALSE),"-")</f>
        <v>Pullover Dazy cuello redondo Blanco</v>
      </c>
      <c r="G642" s="34">
        <v>1</v>
      </c>
      <c r="H642" s="35">
        <v>13</v>
      </c>
      <c r="I642" s="35">
        <f>VENTAS[[#This Row],[Cantidad]]*VENTAS[[#This Row],[Precio Venta]]</f>
        <v>13</v>
      </c>
      <c r="J642" s="35">
        <f>IF(VENTAS[[#This Row],[Nombre del Gestor]]&gt;1,VENTAS[[#This Row],[Total]]*10%,0)</f>
        <v>1.3</v>
      </c>
      <c r="K642" s="35">
        <f>IFERROR(VLOOKUP(VENTAS[[#This Row],[Código del producto Vendido]],STOCK[],16,FALSE)*VENTAS[[#This Row],[Cantidad]]+VLOOKUP(VENTAS[[#This Row],[Código del producto Vendido]],STOCK[],19,FALSE)*VENTAS[[#This Row],[Cantidad]],VENTAS[[#This Row],[Total]])</f>
        <v>7.5</v>
      </c>
      <c r="L642" s="35">
        <f>VENTAS[[#This Row],[Total]]-VENTAS[[#This Row],[Comisión 10%]]-VENTAS[[#This Row],[Costo SIN Comision]]</f>
        <v>4.2</v>
      </c>
      <c r="M642" s="35"/>
    </row>
    <row r="643" ht="20" customHeight="1" spans="1:13">
      <c r="A643" s="29" t="s">
        <v>3452</v>
      </c>
      <c r="B643" s="30" t="str">
        <f>IFERROR(VLOOKUP(VENTAS[[#This Row],[Código del producto Vendido]],STOCK[],25,FALSE),"-")</f>
        <v>Recibido Freddy 24Mayo</v>
      </c>
      <c r="C643" s="30"/>
      <c r="D643" s="30" t="s">
        <v>3457</v>
      </c>
      <c r="E643" s="30" t="s">
        <v>1018</v>
      </c>
      <c r="F643" s="34" t="str">
        <f>IFERROR(VLOOKUP(VENTAS[[#This Row],[Código del producto Vendido]],STOCK[],5,FALSE),"-")</f>
        <v>Top Dreamer Negro</v>
      </c>
      <c r="G643" s="34">
        <v>1</v>
      </c>
      <c r="H643" s="35">
        <v>12</v>
      </c>
      <c r="I643" s="35">
        <f>VENTAS[[#This Row],[Cantidad]]*VENTAS[[#This Row],[Precio Venta]]</f>
        <v>12</v>
      </c>
      <c r="J643" s="35">
        <f>IF(VENTAS[[#This Row],[Nombre del Gestor]]&gt;1,VENTAS[[#This Row],[Total]]*10%,0)</f>
        <v>1.2</v>
      </c>
      <c r="K643" s="35">
        <f>IFERROR(VLOOKUP(VENTAS[[#This Row],[Código del producto Vendido]],STOCK[],16,FALSE)*VENTAS[[#This Row],[Cantidad]]+VLOOKUP(VENTAS[[#This Row],[Código del producto Vendido]],STOCK[],19,FALSE)*VENTAS[[#This Row],[Cantidad]],VENTAS[[#This Row],[Total]])</f>
        <v>7.15681818181818</v>
      </c>
      <c r="L643" s="35">
        <f>VENTAS[[#This Row],[Total]]-VENTAS[[#This Row],[Comisión 10%]]-VENTAS[[#This Row],[Costo SIN Comision]]</f>
        <v>3.64318181818182</v>
      </c>
      <c r="M643" s="35"/>
    </row>
    <row r="644" ht="20" customHeight="1" spans="1:13">
      <c r="A644" s="29" t="s">
        <v>3452</v>
      </c>
      <c r="B644" s="30" t="str">
        <f>IFERROR(VLOOKUP(VENTAS[[#This Row],[Código del producto Vendido]],STOCK[],25,FALSE),"-")</f>
        <v>Viaje Agosto</v>
      </c>
      <c r="C644" s="30"/>
      <c r="D644" s="30" t="s">
        <v>3457</v>
      </c>
      <c r="E644" s="30" t="s">
        <v>1155</v>
      </c>
      <c r="F644" s="34" t="str">
        <f>IFERROR(VLOOKUP(VENTAS[[#This Row],[Código del producto Vendido]],STOCK[],5,FALSE),"-")</f>
        <v>Pullover negro cuello redondo</v>
      </c>
      <c r="G644" s="34">
        <v>1</v>
      </c>
      <c r="H644" s="35">
        <v>12</v>
      </c>
      <c r="I644" s="35">
        <f>VENTAS[[#This Row],[Cantidad]]*VENTAS[[#This Row],[Precio Venta]]</f>
        <v>12</v>
      </c>
      <c r="J644" s="35">
        <f>IF(VENTAS[[#This Row],[Nombre del Gestor]]&gt;1,VENTAS[[#This Row],[Total]]*10%,0)</f>
        <v>1.2</v>
      </c>
      <c r="K644" s="35">
        <f>IFERROR(VLOOKUP(VENTAS[[#This Row],[Código del producto Vendido]],STOCK[],16,FALSE)*VENTAS[[#This Row],[Cantidad]]+VLOOKUP(VENTAS[[#This Row],[Código del producto Vendido]],STOCK[],19,FALSE)*VENTAS[[#This Row],[Cantidad]],VENTAS[[#This Row],[Total]])</f>
        <v>8.53</v>
      </c>
      <c r="L644" s="35">
        <f>VENTAS[[#This Row],[Total]]-VENTAS[[#This Row],[Comisión 10%]]-VENTAS[[#This Row],[Costo SIN Comision]]</f>
        <v>2.27</v>
      </c>
      <c r="M644" s="35"/>
    </row>
    <row r="645" ht="20" customHeight="1" spans="1:13">
      <c r="A645" s="29" t="s">
        <v>3452</v>
      </c>
      <c r="B645" s="30" t="str">
        <f>IFERROR(VLOOKUP(VENTAS[[#This Row],[Código del producto Vendido]],STOCK[],25,FALSE),"-")</f>
        <v>Compra 7/12/2023</v>
      </c>
      <c r="C645" s="30"/>
      <c r="D645" s="30"/>
      <c r="E645" s="30" t="s">
        <v>1475</v>
      </c>
      <c r="F645" s="34" t="str">
        <f>IFERROR(VLOOKUP(VENTAS[[#This Row],[Código del producto Vendido]],STOCK[],5,FALSE),"-")</f>
        <v>Camiseta Dazy Blanco</v>
      </c>
      <c r="G645" s="34">
        <v>1</v>
      </c>
      <c r="H645" s="35">
        <v>13</v>
      </c>
      <c r="I645" s="35">
        <f>VENTAS[[#This Row],[Cantidad]]*VENTAS[[#This Row],[Precio Venta]]</f>
        <v>13</v>
      </c>
      <c r="J645" s="35">
        <f>IF(VENTAS[[#This Row],[Nombre del Gestor]]&gt;1,VENTAS[[#This Row],[Total]]*10%,0)</f>
        <v>0</v>
      </c>
      <c r="K645" s="35">
        <f>IFERROR(VLOOKUP(VENTAS[[#This Row],[Código del producto Vendido]],STOCK[],16,FALSE)*VENTAS[[#This Row],[Cantidad]]+VLOOKUP(VENTAS[[#This Row],[Código del producto Vendido]],STOCK[],19,FALSE)*VENTAS[[#This Row],[Cantidad]],VENTAS[[#This Row],[Total]])</f>
        <v>11</v>
      </c>
      <c r="L645" s="35">
        <f>VENTAS[[#This Row],[Total]]-VENTAS[[#This Row],[Comisión 10%]]-VENTAS[[#This Row],[Costo SIN Comision]]</f>
        <v>2</v>
      </c>
      <c r="M645" s="35"/>
    </row>
    <row r="646" ht="20" customHeight="1" spans="1:13">
      <c r="A646" s="29" t="s">
        <v>3452</v>
      </c>
      <c r="B646" s="30" t="str">
        <f>IFERROR(VLOOKUP(VENTAS[[#This Row],[Código del producto Vendido]],STOCK[],25,FALSE),"-")</f>
        <v>Compra 7/12/2023</v>
      </c>
      <c r="C646" s="30"/>
      <c r="D646" s="30"/>
      <c r="E646" s="30" t="s">
        <v>1477</v>
      </c>
      <c r="F646" s="34" t="str">
        <f>IFERROR(VLOOKUP(VENTAS[[#This Row],[Código del producto Vendido]],STOCK[],5,FALSE),"-")</f>
        <v>Pantalón negro acampanado</v>
      </c>
      <c r="G646" s="34">
        <v>1</v>
      </c>
      <c r="H646" s="35">
        <v>28</v>
      </c>
      <c r="I646" s="35">
        <f>VENTAS[[#This Row],[Cantidad]]*VENTAS[[#This Row],[Precio Venta]]</f>
        <v>28</v>
      </c>
      <c r="J646" s="35">
        <f>IF(VENTAS[[#This Row],[Nombre del Gestor]]&gt;1,VENTAS[[#This Row],[Total]]*10%,0)</f>
        <v>0</v>
      </c>
      <c r="K646" s="35">
        <f>IFERROR(VLOOKUP(VENTAS[[#This Row],[Código del producto Vendido]],STOCK[],16,FALSE)*VENTAS[[#This Row],[Cantidad]]+VLOOKUP(VENTAS[[#This Row],[Código del producto Vendido]],STOCK[],19,FALSE)*VENTAS[[#This Row],[Cantidad]],VENTAS[[#This Row],[Total]])</f>
        <v>18.5</v>
      </c>
      <c r="L646" s="35">
        <f>VENTAS[[#This Row],[Total]]-VENTAS[[#This Row],[Comisión 10%]]-VENTAS[[#This Row],[Costo SIN Comision]]</f>
        <v>9.5</v>
      </c>
      <c r="M646" s="35"/>
    </row>
    <row r="647" ht="20" customHeight="1" spans="1:13">
      <c r="A647" s="29" t="s">
        <v>3452</v>
      </c>
      <c r="B647" s="30" t="str">
        <f>IFERROR(VLOOKUP(VENTAS[[#This Row],[Código del producto Vendido]],STOCK[],25,FALSE),"-")</f>
        <v>Compra 7/12/2023</v>
      </c>
      <c r="C647" s="30"/>
      <c r="D647" s="30" t="s">
        <v>3459</v>
      </c>
      <c r="E647" s="30" t="s">
        <v>1485</v>
      </c>
      <c r="F647" s="34" t="str">
        <f>IFERROR(VLOOKUP(VENTAS[[#This Row],[Código del producto Vendido]],STOCK[],5,FALSE),"-")</f>
        <v>Vestido Camisero flores</v>
      </c>
      <c r="G647" s="34">
        <v>1</v>
      </c>
      <c r="H647" s="35">
        <v>35</v>
      </c>
      <c r="I647" s="35">
        <f>VENTAS[[#This Row],[Cantidad]]*VENTAS[[#This Row],[Precio Venta]]</f>
        <v>35</v>
      </c>
      <c r="J647" s="35">
        <f>IF(VENTAS[[#This Row],[Nombre del Gestor]]&gt;1,VENTAS[[#This Row],[Total]]*10%,0)</f>
        <v>3.5</v>
      </c>
      <c r="K647" s="35">
        <f>IFERROR(VLOOKUP(VENTAS[[#This Row],[Código del producto Vendido]],STOCK[],16,FALSE)*VENTAS[[#This Row],[Cantidad]]+VLOOKUP(VENTAS[[#This Row],[Código del producto Vendido]],STOCK[],19,FALSE)*VENTAS[[#This Row],[Cantidad]],VENTAS[[#This Row],[Total]])</f>
        <v>20.6</v>
      </c>
      <c r="L647" s="35">
        <f>VENTAS[[#This Row],[Total]]-VENTAS[[#This Row],[Comisión 10%]]-VENTAS[[#This Row],[Costo SIN Comision]]</f>
        <v>10.9</v>
      </c>
      <c r="M647" s="35"/>
    </row>
    <row r="648" ht="20" customHeight="1" spans="1:13">
      <c r="A648" s="29" t="s">
        <v>3452</v>
      </c>
      <c r="B648" s="30" t="str">
        <f>IFERROR(VLOOKUP(VENTAS[[#This Row],[Código del producto Vendido]],STOCK[],25,FALSE),"-")</f>
        <v>Compra 7/12/2023</v>
      </c>
      <c r="C648" s="30"/>
      <c r="D648" s="30"/>
      <c r="E648" s="30" t="s">
        <v>1500</v>
      </c>
      <c r="F648" s="34" t="str">
        <f>IFERROR(VLOOKUP(VENTAS[[#This Row],[Código del producto Vendido]],STOCK[],5,FALSE),"-")</f>
        <v>Chaleco blanco botones</v>
      </c>
      <c r="G648" s="34">
        <v>1</v>
      </c>
      <c r="H648" s="35">
        <v>25</v>
      </c>
      <c r="I648" s="35">
        <f>VENTAS[[#This Row],[Cantidad]]*VENTAS[[#This Row],[Precio Venta]]</f>
        <v>25</v>
      </c>
      <c r="J648" s="35">
        <f>IF(VENTAS[[#This Row],[Nombre del Gestor]]&gt;1,VENTAS[[#This Row],[Total]]*10%,0)</f>
        <v>0</v>
      </c>
      <c r="K648" s="35">
        <f>IFERROR(VLOOKUP(VENTAS[[#This Row],[Código del producto Vendido]],STOCK[],16,FALSE)*VENTAS[[#This Row],[Cantidad]]+VLOOKUP(VENTAS[[#This Row],[Código del producto Vendido]],STOCK[],19,FALSE)*VENTAS[[#This Row],[Cantidad]],VENTAS[[#This Row],[Total]])</f>
        <v>13.5</v>
      </c>
      <c r="L648" s="35">
        <f>VENTAS[[#This Row],[Total]]-VENTAS[[#This Row],[Comisión 10%]]-VENTAS[[#This Row],[Costo SIN Comision]]</f>
        <v>11.5</v>
      </c>
      <c r="M648" s="35"/>
    </row>
    <row r="649" ht="20" customHeight="1" spans="1:13">
      <c r="A649" s="29" t="s">
        <v>3452</v>
      </c>
      <c r="B649" s="30" t="str">
        <f>IFERROR(VLOOKUP(VENTAS[[#This Row],[Código del producto Vendido]],STOCK[],25,FALSE),"-")</f>
        <v>Compra 7/12/2023</v>
      </c>
      <c r="C649" s="30"/>
      <c r="D649" s="30"/>
      <c r="E649" s="30" t="s">
        <v>1516</v>
      </c>
      <c r="F649" s="34" t="str">
        <f>IFERROR(VLOOKUP(VENTAS[[#This Row],[Código del producto Vendido]],STOCK[],5,FALSE),"-")</f>
        <v>Chaleco de traje</v>
      </c>
      <c r="G649" s="34">
        <v>1</v>
      </c>
      <c r="H649" s="35">
        <v>25</v>
      </c>
      <c r="I649" s="35">
        <f>VENTAS[[#This Row],[Cantidad]]*VENTAS[[#This Row],[Precio Venta]]</f>
        <v>25</v>
      </c>
      <c r="J649" s="35">
        <f>IF(VENTAS[[#This Row],[Nombre del Gestor]]&gt;1,VENTAS[[#This Row],[Total]]*10%,0)</f>
        <v>0</v>
      </c>
      <c r="K649" s="35">
        <f>IFERROR(VLOOKUP(VENTAS[[#This Row],[Código del producto Vendido]],STOCK[],16,FALSE)*VENTAS[[#This Row],[Cantidad]]+VLOOKUP(VENTAS[[#This Row],[Código del producto Vendido]],STOCK[],19,FALSE)*VENTAS[[#This Row],[Cantidad]],VENTAS[[#This Row],[Total]])</f>
        <v>13.5</v>
      </c>
      <c r="L649" s="35">
        <f>VENTAS[[#This Row],[Total]]-VENTAS[[#This Row],[Comisión 10%]]-VENTAS[[#This Row],[Costo SIN Comision]]</f>
        <v>11.5</v>
      </c>
      <c r="M649" s="35"/>
    </row>
    <row r="650" ht="20" customHeight="1" spans="1:13">
      <c r="A650" s="29" t="s">
        <v>3452</v>
      </c>
      <c r="B650" s="30" t="str">
        <f>IFERROR(VLOOKUP(VENTAS[[#This Row],[Código del producto Vendido]],STOCK[],25,FALSE),"-")</f>
        <v>Compra 7/12/2023</v>
      </c>
      <c r="C650" s="30"/>
      <c r="D650" s="30"/>
      <c r="E650" s="30" t="s">
        <v>1518</v>
      </c>
      <c r="F650" s="34" t="str">
        <f>IFERROR(VLOOKUP(VENTAS[[#This Row],[Código del producto Vendido]],STOCK[],5,FALSE),"-")</f>
        <v>Chaleco de traje</v>
      </c>
      <c r="G650" s="34">
        <v>1</v>
      </c>
      <c r="H650" s="35">
        <v>25</v>
      </c>
      <c r="I650" s="35">
        <f>VENTAS[[#This Row],[Cantidad]]*VENTAS[[#This Row],[Precio Venta]]</f>
        <v>25</v>
      </c>
      <c r="J650" s="35">
        <f>IF(VENTAS[[#This Row],[Nombre del Gestor]]&gt;1,VENTAS[[#This Row],[Total]]*10%,0)</f>
        <v>0</v>
      </c>
      <c r="K650" s="35">
        <f>IFERROR(VLOOKUP(VENTAS[[#This Row],[Código del producto Vendido]],STOCK[],16,FALSE)*VENTAS[[#This Row],[Cantidad]]+VLOOKUP(VENTAS[[#This Row],[Código del producto Vendido]],STOCK[],19,FALSE)*VENTAS[[#This Row],[Cantidad]],VENTAS[[#This Row],[Total]])</f>
        <v>13.5</v>
      </c>
      <c r="L650" s="35">
        <f>VENTAS[[#This Row],[Total]]-VENTAS[[#This Row],[Comisión 10%]]-VENTAS[[#This Row],[Costo SIN Comision]]</f>
        <v>11.5</v>
      </c>
      <c r="M650" s="35"/>
    </row>
    <row r="651" ht="20" customHeight="1" spans="1:13">
      <c r="A651" s="29" t="s">
        <v>3452</v>
      </c>
      <c r="B651" s="30" t="str">
        <f>IFERROR(VLOOKUP(VENTAS[[#This Row],[Código del producto Vendido]],STOCK[],25,FALSE),"-")</f>
        <v>Compra 7/12/2023</v>
      </c>
      <c r="C651" s="30"/>
      <c r="D651" s="30"/>
      <c r="E651" s="30" t="s">
        <v>1533</v>
      </c>
      <c r="F651" s="34" t="str">
        <f>IFERROR(VLOOKUP(VENTAS[[#This Row],[Código del producto Vendido]],STOCK[],5,FALSE),"-")</f>
        <v>Top de encaje</v>
      </c>
      <c r="G651" s="34">
        <v>1</v>
      </c>
      <c r="H651" s="35">
        <v>22</v>
      </c>
      <c r="I651" s="35">
        <f>VENTAS[[#This Row],[Cantidad]]*VENTAS[[#This Row],[Precio Venta]]</f>
        <v>22</v>
      </c>
      <c r="J651" s="35">
        <f>IF(VENTAS[[#This Row],[Nombre del Gestor]]&gt;1,VENTAS[[#This Row],[Total]]*10%,0)</f>
        <v>0</v>
      </c>
      <c r="K651" s="35">
        <f>IFERROR(VLOOKUP(VENTAS[[#This Row],[Código del producto Vendido]],STOCK[],16,FALSE)*VENTAS[[#This Row],[Cantidad]]+VLOOKUP(VENTAS[[#This Row],[Código del producto Vendido]],STOCK[],19,FALSE)*VENTAS[[#This Row],[Cantidad]],VENTAS[[#This Row],[Total]])</f>
        <v>14.7</v>
      </c>
      <c r="L651" s="35">
        <f>VENTAS[[#This Row],[Total]]-VENTAS[[#This Row],[Comisión 10%]]-VENTAS[[#This Row],[Costo SIN Comision]]</f>
        <v>7.3</v>
      </c>
      <c r="M651" s="35"/>
    </row>
    <row r="652" ht="20" customHeight="1" spans="1:13">
      <c r="A652" s="29" t="s">
        <v>3452</v>
      </c>
      <c r="B652" s="30" t="str">
        <f>IFERROR(VLOOKUP(VENTAS[[#This Row],[Código del producto Vendido]],STOCK[],25,FALSE),"-")</f>
        <v>Compra 7/12/2023</v>
      </c>
      <c r="C652" s="30"/>
      <c r="D652" s="30"/>
      <c r="E652" s="30" t="s">
        <v>1471</v>
      </c>
      <c r="F652" s="34" t="str">
        <f>IFERROR(VLOOKUP(VENTAS[[#This Row],[Código del producto Vendido]],STOCK[],5,FALSE),"-")</f>
        <v>Camiseta Dazy Negro</v>
      </c>
      <c r="G652" s="34">
        <v>1</v>
      </c>
      <c r="H652" s="35">
        <v>13</v>
      </c>
      <c r="I652" s="35">
        <f>VENTAS[[#This Row],[Cantidad]]*VENTAS[[#This Row],[Precio Venta]]</f>
        <v>13</v>
      </c>
      <c r="J652" s="35">
        <f>IF(VENTAS[[#This Row],[Nombre del Gestor]]&gt;1,VENTAS[[#This Row],[Total]]*10%,0)</f>
        <v>0</v>
      </c>
      <c r="K652" s="35">
        <f>IFERROR(VLOOKUP(VENTAS[[#This Row],[Código del producto Vendido]],STOCK[],16,FALSE)*VENTAS[[#This Row],[Cantidad]]+VLOOKUP(VENTAS[[#This Row],[Código del producto Vendido]],STOCK[],19,FALSE)*VENTAS[[#This Row],[Cantidad]],VENTAS[[#This Row],[Total]])</f>
        <v>11</v>
      </c>
      <c r="L652" s="35">
        <f>VENTAS[[#This Row],[Total]]-VENTAS[[#This Row],[Comisión 10%]]-VENTAS[[#This Row],[Costo SIN Comision]]</f>
        <v>2</v>
      </c>
      <c r="M652" s="35"/>
    </row>
    <row r="653" ht="20" customHeight="1" spans="1:13">
      <c r="A653" s="29" t="s">
        <v>3452</v>
      </c>
      <c r="B653" s="30" t="str">
        <f>IFERROR(VLOOKUP(VENTAS[[#This Row],[Código del producto Vendido]],STOCK[],25,FALSE),"-")</f>
        <v>Compra 7/12/2023</v>
      </c>
      <c r="C653" s="30"/>
      <c r="D653" s="30" t="s">
        <v>3457</v>
      </c>
      <c r="E653" s="30" t="s">
        <v>1506</v>
      </c>
      <c r="F653" s="34" t="str">
        <f>IFERROR(VLOOKUP(VENTAS[[#This Row],[Código del producto Vendido]],STOCK[],5,FALSE),"-")</f>
        <v>Camiseta Dazy Blanco</v>
      </c>
      <c r="G653" s="34">
        <v>1</v>
      </c>
      <c r="H653" s="35">
        <v>13</v>
      </c>
      <c r="I653" s="35">
        <f>VENTAS[[#This Row],[Cantidad]]*VENTAS[[#This Row],[Precio Venta]]</f>
        <v>13</v>
      </c>
      <c r="J653" s="35">
        <f>IF(VENTAS[[#This Row],[Nombre del Gestor]]&gt;1,VENTAS[[#This Row],[Total]]*10%,0)</f>
        <v>1.3</v>
      </c>
      <c r="K653" s="35">
        <f>IFERROR(VLOOKUP(VENTAS[[#This Row],[Código del producto Vendido]],STOCK[],16,FALSE)*VENTAS[[#This Row],[Cantidad]]+VLOOKUP(VENTAS[[#This Row],[Código del producto Vendido]],STOCK[],19,FALSE)*VENTAS[[#This Row],[Cantidad]],VENTAS[[#This Row],[Total]])</f>
        <v>1.5</v>
      </c>
      <c r="L653" s="35">
        <f>VENTAS[[#This Row],[Total]]-VENTAS[[#This Row],[Comisión 10%]]-VENTAS[[#This Row],[Costo SIN Comision]]</f>
        <v>10.2</v>
      </c>
      <c r="M653" s="35"/>
    </row>
    <row r="654" ht="20" customHeight="1" spans="1:13">
      <c r="A654" s="29" t="s">
        <v>3452</v>
      </c>
      <c r="B654" s="30" t="str">
        <f>IFERROR(VLOOKUP(VENTAS[[#This Row],[Código del producto Vendido]],STOCK[],25,FALSE),"-")</f>
        <v>COMPRA F21</v>
      </c>
      <c r="C654" s="30"/>
      <c r="D654" s="30"/>
      <c r="E654" s="30" t="s">
        <v>1450</v>
      </c>
      <c r="F654" s="34" t="str">
        <f>IFERROR(VLOOKUP(VENTAS[[#This Row],[Código del producto Vendido]],STOCK[],5,FALSE),"-")</f>
        <v>Sandalias minimalistas de plataforma</v>
      </c>
      <c r="G654" s="34">
        <v>1</v>
      </c>
      <c r="H654" s="35">
        <v>30</v>
      </c>
      <c r="I654" s="35">
        <f>VENTAS[[#This Row],[Cantidad]]*VENTAS[[#This Row],[Precio Venta]]</f>
        <v>30</v>
      </c>
      <c r="J654" s="35">
        <f>IF(VENTAS[[#This Row],[Nombre del Gestor]]&gt;1,VENTAS[[#This Row],[Total]]*10%,0)</f>
        <v>0</v>
      </c>
      <c r="K654" s="35">
        <f>IFERROR(VLOOKUP(VENTAS[[#This Row],[Código del producto Vendido]],STOCK[],16,FALSE)*VENTAS[[#This Row],[Cantidad]]+VLOOKUP(VENTAS[[#This Row],[Código del producto Vendido]],STOCK[],19,FALSE)*VENTAS[[#This Row],[Cantidad]],VENTAS[[#This Row],[Total]])</f>
        <v>22.49</v>
      </c>
      <c r="L654" s="35">
        <f>VENTAS[[#This Row],[Total]]-VENTAS[[#This Row],[Comisión 10%]]-VENTAS[[#This Row],[Costo SIN Comision]]</f>
        <v>7.51</v>
      </c>
      <c r="M654" s="35"/>
    </row>
    <row r="655" ht="20" customHeight="1" spans="1:13">
      <c r="A655" s="29" t="s">
        <v>3452</v>
      </c>
      <c r="B655" s="30" t="str">
        <f>IFERROR(VLOOKUP(VENTAS[[#This Row],[Código del producto Vendido]],STOCK[],25,FALSE),"-")</f>
        <v>COMPRA F21</v>
      </c>
      <c r="C655" s="30"/>
      <c r="D655" s="30"/>
      <c r="E655" s="30" t="s">
        <v>1452</v>
      </c>
      <c r="F655" s="34" t="str">
        <f>IFERROR(VLOOKUP(VENTAS[[#This Row],[Código del producto Vendido]],STOCK[],5,FALSE),"-")</f>
        <v>Sandalias minimalistas de plataforma</v>
      </c>
      <c r="G655" s="34">
        <v>1</v>
      </c>
      <c r="H655" s="35">
        <v>35</v>
      </c>
      <c r="I655" s="35">
        <f>VENTAS[[#This Row],[Cantidad]]*VENTAS[[#This Row],[Precio Venta]]</f>
        <v>35</v>
      </c>
      <c r="J655" s="35">
        <f>IF(VENTAS[[#This Row],[Nombre del Gestor]]&gt;1,VENTAS[[#This Row],[Total]]*10%,0)</f>
        <v>0</v>
      </c>
      <c r="K655" s="35">
        <f>IFERROR(VLOOKUP(VENTAS[[#This Row],[Código del producto Vendido]],STOCK[],16,FALSE)*VENTAS[[#This Row],[Cantidad]]+VLOOKUP(VENTAS[[#This Row],[Código del producto Vendido]],STOCK[],19,FALSE)*VENTAS[[#This Row],[Cantidad]],VENTAS[[#This Row],[Total]])</f>
        <v>22.49</v>
      </c>
      <c r="L655" s="35">
        <f>VENTAS[[#This Row],[Total]]-VENTAS[[#This Row],[Comisión 10%]]-VENTAS[[#This Row],[Costo SIN Comision]]</f>
        <v>12.51</v>
      </c>
      <c r="M655" s="35"/>
    </row>
    <row r="656" ht="20" customHeight="1" spans="1:13">
      <c r="A656" s="29" t="s">
        <v>3452</v>
      </c>
      <c r="B656" s="30">
        <f>IFERROR(VLOOKUP(VENTAS[[#This Row],[Código del producto Vendido]],STOCK[],25,FALSE),"-")</f>
        <v>0</v>
      </c>
      <c r="C656" s="30"/>
      <c r="D656" s="30"/>
      <c r="E656" s="30" t="s">
        <v>1459</v>
      </c>
      <c r="F656" s="34" t="str">
        <f>IFERROR(VLOOKUP(VENTAS[[#This Row],[Código del producto Vendido]],STOCK[],5,FALSE),"-")</f>
        <v>Pantalón alto de bajo elegante</v>
      </c>
      <c r="G656" s="34">
        <v>1</v>
      </c>
      <c r="H656" s="35">
        <v>32</v>
      </c>
      <c r="I656" s="35">
        <f>VENTAS[[#This Row],[Cantidad]]*VENTAS[[#This Row],[Precio Venta]]</f>
        <v>32</v>
      </c>
      <c r="J656" s="35">
        <f>IF(VENTAS[[#This Row],[Nombre del Gestor]]&gt;1,VENTAS[[#This Row],[Total]]*10%,0)</f>
        <v>0</v>
      </c>
      <c r="K656" s="35">
        <f>IFERROR(VLOOKUP(VENTAS[[#This Row],[Código del producto Vendido]],STOCK[],16,FALSE)*VENTAS[[#This Row],[Cantidad]]+VLOOKUP(VENTAS[[#This Row],[Código del producto Vendido]],STOCK[],19,FALSE)*VENTAS[[#This Row],[Cantidad]],VENTAS[[#This Row],[Total]])</f>
        <v>16.19</v>
      </c>
      <c r="L656" s="35">
        <f>VENTAS[[#This Row],[Total]]-VENTAS[[#This Row],[Comisión 10%]]-VENTAS[[#This Row],[Costo SIN Comision]]</f>
        <v>15.81</v>
      </c>
      <c r="M656" s="35"/>
    </row>
    <row r="657" ht="20" customHeight="1" spans="1:13">
      <c r="A657" s="29" t="s">
        <v>3452</v>
      </c>
      <c r="B657" s="30" t="str">
        <f>IFERROR(VLOOKUP(VENTAS[[#This Row],[Código del producto Vendido]],STOCK[],25,FALSE),"-")</f>
        <v>Compra 7/12/2023</v>
      </c>
      <c r="C657" s="30"/>
      <c r="D657" s="30"/>
      <c r="E657" s="30" t="s">
        <v>1489</v>
      </c>
      <c r="F657" s="34" t="str">
        <f>IFERROR(VLOOKUP(VENTAS[[#This Row],[Código del producto Vendido]],STOCK[],5,FALSE),"-")</f>
        <v>Pullover cuello redondo</v>
      </c>
      <c r="G657" s="34">
        <v>1</v>
      </c>
      <c r="H657" s="35">
        <v>13</v>
      </c>
      <c r="I657" s="35">
        <f>VENTAS[[#This Row],[Cantidad]]*VENTAS[[#This Row],[Precio Venta]]</f>
        <v>13</v>
      </c>
      <c r="J657" s="35">
        <f>IF(VENTAS[[#This Row],[Nombre del Gestor]]&gt;1,VENTAS[[#This Row],[Total]]*10%,0)</f>
        <v>0</v>
      </c>
      <c r="K657" s="35">
        <f>IFERROR(VLOOKUP(VENTAS[[#This Row],[Código del producto Vendido]],STOCK[],16,FALSE)*VENTAS[[#This Row],[Cantidad]]+VLOOKUP(VENTAS[[#This Row],[Código del producto Vendido]],STOCK[],19,FALSE)*VENTAS[[#This Row],[Cantidad]],VENTAS[[#This Row],[Total]])</f>
        <v>7.5</v>
      </c>
      <c r="L657" s="35">
        <f>VENTAS[[#This Row],[Total]]-VENTAS[[#This Row],[Comisión 10%]]-VENTAS[[#This Row],[Costo SIN Comision]]</f>
        <v>5.5</v>
      </c>
      <c r="M657" s="35"/>
    </row>
    <row r="658" ht="20" customHeight="1" spans="1:13">
      <c r="A658" s="29" t="s">
        <v>3452</v>
      </c>
      <c r="B658" s="30">
        <f>IFERROR(VLOOKUP(VENTAS[[#This Row],[Código del producto Vendido]],STOCK[],25,FALSE),"-")</f>
        <v>0</v>
      </c>
      <c r="C658" s="30"/>
      <c r="D658" s="30"/>
      <c r="E658" s="30" t="s">
        <v>150</v>
      </c>
      <c r="F658" s="34" t="str">
        <f>IFERROR(VLOOKUP(VENTAS[[#This Row],[Código del producto Vendido]],STOCK[],5,FALSE),"-")</f>
        <v>Jean Boyfriend con rotos</v>
      </c>
      <c r="G658" s="34">
        <v>1</v>
      </c>
      <c r="H658" s="35">
        <v>30</v>
      </c>
      <c r="I658" s="35">
        <f>VENTAS[[#This Row],[Cantidad]]*VENTAS[[#This Row],[Precio Venta]]</f>
        <v>30</v>
      </c>
      <c r="J658" s="35">
        <f>IF(VENTAS[[#This Row],[Nombre del Gestor]]&gt;1,VENTAS[[#This Row],[Total]]*10%,0)</f>
        <v>0</v>
      </c>
      <c r="K658" s="35">
        <f>IFERROR(VLOOKUP(VENTAS[[#This Row],[Código del producto Vendido]],STOCK[],16,FALSE)*VENTAS[[#This Row],[Cantidad]]+VLOOKUP(VENTAS[[#This Row],[Código del producto Vendido]],STOCK[],19,FALSE)*VENTAS[[#This Row],[Cantidad]],VENTAS[[#This Row],[Total]])</f>
        <v>18.6866666666667</v>
      </c>
      <c r="L658" s="35">
        <f>VENTAS[[#This Row],[Total]]-VENTAS[[#This Row],[Comisión 10%]]-VENTAS[[#This Row],[Costo SIN Comision]]</f>
        <v>11.3133333333333</v>
      </c>
      <c r="M658" s="35"/>
    </row>
    <row r="659" ht="20" customHeight="1" spans="1:13">
      <c r="A659" s="29" t="s">
        <v>3452</v>
      </c>
      <c r="B659" s="30">
        <f>IFERROR(VLOOKUP(VENTAS[[#This Row],[Código del producto Vendido]],STOCK[],25,FALSE),"-")</f>
        <v>0</v>
      </c>
      <c r="C659" s="30"/>
      <c r="D659" s="30" t="s">
        <v>3453</v>
      </c>
      <c r="E659" s="30" t="s">
        <v>150</v>
      </c>
      <c r="F659" s="34" t="str">
        <f>IFERROR(VLOOKUP(VENTAS[[#This Row],[Código del producto Vendido]],STOCK[],5,FALSE),"-")</f>
        <v>Jean Boyfriend con rotos</v>
      </c>
      <c r="G659" s="34">
        <v>1</v>
      </c>
      <c r="H659" s="35">
        <v>30</v>
      </c>
      <c r="I659" s="35">
        <f>VENTAS[[#This Row],[Cantidad]]*VENTAS[[#This Row],[Precio Venta]]</f>
        <v>30</v>
      </c>
      <c r="J659" s="35">
        <f>IF(VENTAS[[#This Row],[Nombre del Gestor]]&gt;1,VENTAS[[#This Row],[Total]]*10%,0)</f>
        <v>3</v>
      </c>
      <c r="K659" s="35">
        <f>IFERROR(VLOOKUP(VENTAS[[#This Row],[Código del producto Vendido]],STOCK[],16,FALSE)*VENTAS[[#This Row],[Cantidad]]+VLOOKUP(VENTAS[[#This Row],[Código del producto Vendido]],STOCK[],19,FALSE)*VENTAS[[#This Row],[Cantidad]],VENTAS[[#This Row],[Total]])</f>
        <v>18.6866666666667</v>
      </c>
      <c r="L659" s="35">
        <f>VENTAS[[#This Row],[Total]]-VENTAS[[#This Row],[Comisión 10%]]-VENTAS[[#This Row],[Costo SIN Comision]]</f>
        <v>8.31333333333333</v>
      </c>
      <c r="M659" s="35"/>
    </row>
    <row r="660" ht="20" customHeight="1" spans="1:13">
      <c r="A660" s="29" t="s">
        <v>3452</v>
      </c>
      <c r="B660" s="30" t="str">
        <f>IFERROR(VLOOKUP(VENTAS[[#This Row],[Código del producto Vendido]],STOCK[],25,FALSE),"-")</f>
        <v>Compra 7/12/2023</v>
      </c>
      <c r="C660" s="30"/>
      <c r="D660" s="30"/>
      <c r="E660" s="30" t="s">
        <v>1516</v>
      </c>
      <c r="F660" s="34" t="str">
        <f>IFERROR(VLOOKUP(VENTAS[[#This Row],[Código del producto Vendido]],STOCK[],5,FALSE),"-")</f>
        <v>Chaleco de traje</v>
      </c>
      <c r="G660" s="34">
        <v>1</v>
      </c>
      <c r="H660" s="35">
        <v>25</v>
      </c>
      <c r="I660" s="35">
        <f>VENTAS[[#This Row],[Cantidad]]*VENTAS[[#This Row],[Precio Venta]]</f>
        <v>25</v>
      </c>
      <c r="J660" s="35">
        <f>IF(VENTAS[[#This Row],[Nombre del Gestor]]&gt;1,VENTAS[[#This Row],[Total]]*10%,0)</f>
        <v>0</v>
      </c>
      <c r="K660" s="35">
        <f>IFERROR(VLOOKUP(VENTAS[[#This Row],[Código del producto Vendido]],STOCK[],16,FALSE)*VENTAS[[#This Row],[Cantidad]]+VLOOKUP(VENTAS[[#This Row],[Código del producto Vendido]],STOCK[],19,FALSE)*VENTAS[[#This Row],[Cantidad]],VENTAS[[#This Row],[Total]])</f>
        <v>13.5</v>
      </c>
      <c r="L660" s="35">
        <f>VENTAS[[#This Row],[Total]]-VENTAS[[#This Row],[Comisión 10%]]-VENTAS[[#This Row],[Costo SIN Comision]]</f>
        <v>11.5</v>
      </c>
      <c r="M660" s="35"/>
    </row>
    <row r="661" ht="20" customHeight="1" spans="1:13">
      <c r="A661" s="29"/>
      <c r="B661" s="30" t="str">
        <f>IFERROR(VLOOKUP(VENTAS[[#This Row],[Código del producto Vendido]],STOCK[],25,FALSE),"-")</f>
        <v>Compra 9/12/2023</v>
      </c>
      <c r="C661" s="30"/>
      <c r="D661" s="30"/>
      <c r="E661" s="30" t="s">
        <v>1613</v>
      </c>
      <c r="F661" s="34" t="str">
        <f>IFERROR(VLOOKUP(VENTAS[[#This Row],[Código del producto Vendido]],STOCK[],5,FALSE),"-")</f>
        <v>Camisa Modely</v>
      </c>
      <c r="G661" s="34">
        <v>1</v>
      </c>
      <c r="H661" s="35">
        <v>22</v>
      </c>
      <c r="I661" s="35">
        <f>VENTAS[[#This Row],[Cantidad]]*VENTAS[[#This Row],[Precio Venta]]</f>
        <v>22</v>
      </c>
      <c r="J661" s="35">
        <f>IF(VENTAS[[#This Row],[Nombre del Gestor]]&gt;1,VENTAS[[#This Row],[Total]]*10%,0)</f>
        <v>0</v>
      </c>
      <c r="K661" s="35">
        <f>IFERROR(VLOOKUP(VENTAS[[#This Row],[Código del producto Vendido]],STOCK[],16,FALSE)*VENTAS[[#This Row],[Cantidad]]+VLOOKUP(VENTAS[[#This Row],[Código del producto Vendido]],STOCK[],19,FALSE)*VENTAS[[#This Row],[Cantidad]],VENTAS[[#This Row],[Total]])</f>
        <v>9.74</v>
      </c>
      <c r="L661" s="35">
        <f>VENTAS[[#This Row],[Total]]-VENTAS[[#This Row],[Comisión 10%]]-VENTAS[[#This Row],[Costo SIN Comision]]</f>
        <v>12.26</v>
      </c>
      <c r="M661" s="35"/>
    </row>
    <row r="662" ht="20" customHeight="1" spans="1:13">
      <c r="A662" s="29"/>
      <c r="B662" s="30" t="str">
        <f>IFERROR(VLOOKUP(VENTAS[[#This Row],[Código del producto Vendido]],STOCK[],25,FALSE),"-")</f>
        <v>Compra 9/12/2023</v>
      </c>
      <c r="C662" s="30"/>
      <c r="D662" s="30"/>
      <c r="E662" s="30" t="s">
        <v>1625</v>
      </c>
      <c r="F662" s="34" t="str">
        <f>IFERROR(VLOOKUP(VENTAS[[#This Row],[Código del producto Vendido]],STOCK[],5,FALSE),"-")</f>
        <v>Vestido Tarsha</v>
      </c>
      <c r="G662" s="34">
        <v>1</v>
      </c>
      <c r="H662" s="35">
        <v>27</v>
      </c>
      <c r="I662" s="35">
        <f>VENTAS[[#This Row],[Cantidad]]*VENTAS[[#This Row],[Precio Venta]]</f>
        <v>27</v>
      </c>
      <c r="J662" s="35">
        <f>IF(VENTAS[[#This Row],[Nombre del Gestor]]&gt;1,VENTAS[[#This Row],[Total]]*10%,0)</f>
        <v>0</v>
      </c>
      <c r="K662" s="35">
        <f>IFERROR(VLOOKUP(VENTAS[[#This Row],[Código del producto Vendido]],STOCK[],16,FALSE)*VENTAS[[#This Row],[Cantidad]]+VLOOKUP(VENTAS[[#This Row],[Código del producto Vendido]],STOCK[],19,FALSE)*VENTAS[[#This Row],[Cantidad]],VENTAS[[#This Row],[Total]])</f>
        <v>13.97</v>
      </c>
      <c r="L662" s="35">
        <f>VENTAS[[#This Row],[Total]]-VENTAS[[#This Row],[Comisión 10%]]-VENTAS[[#This Row],[Costo SIN Comision]]</f>
        <v>13.03</v>
      </c>
      <c r="M662" s="35"/>
    </row>
    <row r="663" ht="20" customHeight="1" spans="1:13">
      <c r="A663" s="29"/>
      <c r="B663" s="30" t="str">
        <f>IFERROR(VLOOKUP(VENTAS[[#This Row],[Código del producto Vendido]],STOCK[],25,FALSE),"-")</f>
        <v>Compra 9/12/2023</v>
      </c>
      <c r="C663" s="30"/>
      <c r="D663" s="30" t="s">
        <v>3430</v>
      </c>
      <c r="E663" s="30" t="s">
        <v>1638</v>
      </c>
      <c r="F663" s="34" t="str">
        <f>IFERROR(VLOOKUP(VENTAS[[#This Row],[Código del producto Vendido]],STOCK[],5,FALSE),"-")</f>
        <v>Top Asimétrico Acanalado</v>
      </c>
      <c r="G663" s="34">
        <v>1</v>
      </c>
      <c r="H663" s="35">
        <v>12</v>
      </c>
      <c r="I663" s="35">
        <f>VENTAS[[#This Row],[Cantidad]]*VENTAS[[#This Row],[Precio Venta]]</f>
        <v>12</v>
      </c>
      <c r="J663" s="35">
        <f>IF(VENTAS[[#This Row],[Nombre del Gestor]]&gt;1,VENTAS[[#This Row],[Total]]*10%,0)</f>
        <v>1.2</v>
      </c>
      <c r="K663" s="35">
        <f>IFERROR(VLOOKUP(VENTAS[[#This Row],[Código del producto Vendido]],STOCK[],16,FALSE)*VENTAS[[#This Row],[Cantidad]]+VLOOKUP(VENTAS[[#This Row],[Código del producto Vendido]],STOCK[],19,FALSE)*VENTAS[[#This Row],[Cantidad]],VENTAS[[#This Row],[Total]])</f>
        <v>5.7</v>
      </c>
      <c r="L663" s="35">
        <f>VENTAS[[#This Row],[Total]]-VENTAS[[#This Row],[Comisión 10%]]-VENTAS[[#This Row],[Costo SIN Comision]]</f>
        <v>5.1</v>
      </c>
      <c r="M663" s="35"/>
    </row>
    <row r="664" ht="20" customHeight="1" spans="1:13">
      <c r="A664" s="29"/>
      <c r="B664" s="30" t="str">
        <f>IFERROR(VLOOKUP(VENTAS[[#This Row],[Código del producto Vendido]],STOCK[],25,FALSE),"-")</f>
        <v>Compra 9/12/2023</v>
      </c>
      <c r="C664" s="30"/>
      <c r="D664" s="30" t="s">
        <v>3457</v>
      </c>
      <c r="E664" s="30" t="s">
        <v>1652</v>
      </c>
      <c r="F664" s="34" t="str">
        <f>IFERROR(VLOOKUP(VENTAS[[#This Row],[Código del producto Vendido]],STOCK[],5,FALSE),"-")</f>
        <v>Vestido Margarita</v>
      </c>
      <c r="G664" s="34">
        <v>1</v>
      </c>
      <c r="H664" s="35">
        <v>28</v>
      </c>
      <c r="I664" s="35">
        <f>VENTAS[[#This Row],[Cantidad]]*VENTAS[[#This Row],[Precio Venta]]</f>
        <v>28</v>
      </c>
      <c r="J664" s="35">
        <f>IF(VENTAS[[#This Row],[Nombre del Gestor]]&gt;1,VENTAS[[#This Row],[Total]]*10%,0)</f>
        <v>2.8</v>
      </c>
      <c r="K664" s="35">
        <f>IFERROR(VLOOKUP(VENTAS[[#This Row],[Código del producto Vendido]],STOCK[],16,FALSE)*VENTAS[[#This Row],[Cantidad]]+VLOOKUP(VENTAS[[#This Row],[Código del producto Vendido]],STOCK[],19,FALSE)*VENTAS[[#This Row],[Cantidad]],VENTAS[[#This Row],[Total]])</f>
        <v>15.05</v>
      </c>
      <c r="L664" s="35">
        <f>VENTAS[[#This Row],[Total]]-VENTAS[[#This Row],[Comisión 10%]]-VENTAS[[#This Row],[Costo SIN Comision]]</f>
        <v>10.15</v>
      </c>
      <c r="M664" s="35"/>
    </row>
    <row r="665" ht="20" customHeight="1" spans="1:13">
      <c r="A665" s="29">
        <v>45326</v>
      </c>
      <c r="B665" s="30" t="str">
        <f>IFERROR(VLOOKUP(VENTAS[[#This Row],[Código del producto Vendido]],STOCK[],25,FALSE),"-")</f>
        <v>Compra 9/12/2023</v>
      </c>
      <c r="C665" s="30"/>
      <c r="D665" s="30" t="s">
        <v>3365</v>
      </c>
      <c r="E665" s="30" t="s">
        <v>1658</v>
      </c>
      <c r="F665" s="34" t="str">
        <f>IFERROR(VLOOKUP(VENTAS[[#This Row],[Código del producto Vendido]],STOCK[],5,FALSE),"-")</f>
        <v>Suéter cuello de Cisne</v>
      </c>
      <c r="G665" s="34">
        <v>1</v>
      </c>
      <c r="H665" s="35">
        <v>15</v>
      </c>
      <c r="I665" s="35">
        <f>VENTAS[[#This Row],[Cantidad]]*VENTAS[[#This Row],[Precio Venta]]</f>
        <v>15</v>
      </c>
      <c r="J665" s="35">
        <f>IF(VENTAS[[#This Row],[Nombre del Gestor]]&gt;1,VENTAS[[#This Row],[Total]]*10%,0)</f>
        <v>1.5</v>
      </c>
      <c r="K665" s="35">
        <f>IFERROR(VLOOKUP(VENTAS[[#This Row],[Código del producto Vendido]],STOCK[],16,FALSE)*VENTAS[[#This Row],[Cantidad]]+VLOOKUP(VENTAS[[#This Row],[Código del producto Vendido]],STOCK[],19,FALSE)*VENTAS[[#This Row],[Cantidad]],VENTAS[[#This Row],[Total]])</f>
        <v>5.78</v>
      </c>
      <c r="L665" s="35">
        <f>VENTAS[[#This Row],[Total]]-VENTAS[[#This Row],[Comisión 10%]]-VENTAS[[#This Row],[Costo SIN Comision]]</f>
        <v>7.72</v>
      </c>
      <c r="M665" s="35"/>
    </row>
    <row r="666" ht="20" customHeight="1" spans="1:13">
      <c r="A666" s="29">
        <v>45326</v>
      </c>
      <c r="B666" s="30" t="str">
        <f>IFERROR(VLOOKUP(VENTAS[[#This Row],[Código del producto Vendido]],STOCK[],25,FALSE),"-")</f>
        <v>Compra 9/12/2023</v>
      </c>
      <c r="C666" s="30"/>
      <c r="D666" s="30" t="s">
        <v>3365</v>
      </c>
      <c r="E666" s="30" t="s">
        <v>1640</v>
      </c>
      <c r="F666" s="34" t="str">
        <f>IFERROR(VLOOKUP(VENTAS[[#This Row],[Código del producto Vendido]],STOCK[],5,FALSE),"-")</f>
        <v>Top Asimétrico Acanalado</v>
      </c>
      <c r="G666" s="34">
        <v>1</v>
      </c>
      <c r="H666" s="35">
        <v>12</v>
      </c>
      <c r="I666" s="35">
        <f>VENTAS[[#This Row],[Cantidad]]*VENTAS[[#This Row],[Precio Venta]]</f>
        <v>12</v>
      </c>
      <c r="J666" s="35">
        <f>IF(VENTAS[[#This Row],[Nombre del Gestor]]&gt;1,VENTAS[[#This Row],[Total]]*10%,0)</f>
        <v>1.2</v>
      </c>
      <c r="K666" s="35">
        <f>IFERROR(VLOOKUP(VENTAS[[#This Row],[Código del producto Vendido]],STOCK[],16,FALSE)*VENTAS[[#This Row],[Cantidad]]+VLOOKUP(VENTAS[[#This Row],[Código del producto Vendido]],STOCK[],19,FALSE)*VENTAS[[#This Row],[Cantidad]],VENTAS[[#This Row],[Total]])</f>
        <v>5.7</v>
      </c>
      <c r="L666" s="35">
        <f>VENTAS[[#This Row],[Total]]-VENTAS[[#This Row],[Comisión 10%]]-VENTAS[[#This Row],[Costo SIN Comision]]</f>
        <v>5.1</v>
      </c>
      <c r="M666" s="35"/>
    </row>
    <row r="667" ht="20" customHeight="1" spans="1:13">
      <c r="A667" s="29">
        <v>45326</v>
      </c>
      <c r="B667" s="30" t="str">
        <f>IFERROR(VLOOKUP(VENTAS[[#This Row],[Código del producto Vendido]],STOCK[],25,FALSE),"-")</f>
        <v>Compra 9/12/2023</v>
      </c>
      <c r="C667" s="30"/>
      <c r="D667" s="30" t="s">
        <v>3365</v>
      </c>
      <c r="E667" s="30" t="s">
        <v>1664</v>
      </c>
      <c r="F667" s="34" t="str">
        <f>IFERROR(VLOOKUP(VENTAS[[#This Row],[Código del producto Vendido]],STOCK[],5,FALSE),"-")</f>
        <v>Mono Con Botón Delantero</v>
      </c>
      <c r="G667" s="34">
        <v>1</v>
      </c>
      <c r="H667" s="35">
        <v>28</v>
      </c>
      <c r="I667" s="35">
        <f>VENTAS[[#This Row],[Cantidad]]*VENTAS[[#This Row],[Precio Venta]]</f>
        <v>28</v>
      </c>
      <c r="J667" s="35">
        <f>IF(VENTAS[[#This Row],[Nombre del Gestor]]&gt;1,VENTAS[[#This Row],[Total]]*10%,0)</f>
        <v>2.8</v>
      </c>
      <c r="K667" s="35">
        <f>IFERROR(VLOOKUP(VENTAS[[#This Row],[Código del producto Vendido]],STOCK[],16,FALSE)*VENTAS[[#This Row],[Cantidad]]+VLOOKUP(VENTAS[[#This Row],[Código del producto Vendido]],STOCK[],19,FALSE)*VENTAS[[#This Row],[Cantidad]],VENTAS[[#This Row],[Total]])</f>
        <v>18.7</v>
      </c>
      <c r="L667" s="35">
        <f>VENTAS[[#This Row],[Total]]-VENTAS[[#This Row],[Comisión 10%]]-VENTAS[[#This Row],[Costo SIN Comision]]</f>
        <v>6.5</v>
      </c>
      <c r="M667" s="35"/>
    </row>
    <row r="668" ht="20" customHeight="1" spans="1:13">
      <c r="A668" s="29">
        <v>45326</v>
      </c>
      <c r="B668" s="30">
        <f>IFERROR(VLOOKUP(VENTAS[[#This Row],[Código del producto Vendido]],STOCK[],25,FALSE),"-")</f>
        <v>0</v>
      </c>
      <c r="C668" s="30"/>
      <c r="D668" s="30" t="s">
        <v>3365</v>
      </c>
      <c r="E668" s="30" t="s">
        <v>548</v>
      </c>
      <c r="F668" s="34" t="str">
        <f>IFERROR(VLOOKUP(VENTAS[[#This Row],[Código del producto Vendido]],STOCK[],5,FALSE),"-")</f>
        <v>Shorts bajo de doblez de cintura </v>
      </c>
      <c r="G668" s="34">
        <v>1</v>
      </c>
      <c r="H668" s="35">
        <v>19</v>
      </c>
      <c r="I668" s="35">
        <f>VENTAS[[#This Row],[Cantidad]]*VENTAS[[#This Row],[Precio Venta]]</f>
        <v>19</v>
      </c>
      <c r="J668" s="35">
        <f>IF(VENTAS[[#This Row],[Nombre del Gestor]]&gt;1,VENTAS[[#This Row],[Total]]*10%,0)</f>
        <v>1.9</v>
      </c>
      <c r="K668" s="35">
        <f>IFERROR(VLOOKUP(VENTAS[[#This Row],[Código del producto Vendido]],STOCK[],16,FALSE)*VENTAS[[#This Row],[Cantidad]]+VLOOKUP(VENTAS[[#This Row],[Código del producto Vendido]],STOCK[],19,FALSE)*VENTAS[[#This Row],[Cantidad]],VENTAS[[#This Row],[Total]])</f>
        <v>8.17611111111111</v>
      </c>
      <c r="L668" s="35">
        <f>VENTAS[[#This Row],[Total]]-VENTAS[[#This Row],[Comisión 10%]]-VENTAS[[#This Row],[Costo SIN Comision]]</f>
        <v>8.92388888888889</v>
      </c>
      <c r="M668" s="35"/>
    </row>
    <row r="669" ht="20" customHeight="1" spans="1:13">
      <c r="A669" s="29">
        <v>45326</v>
      </c>
      <c r="B669" s="30">
        <f>IFERROR(VLOOKUP(VENTAS[[#This Row],[Código del producto Vendido]],STOCK[],25,FALSE),"-")</f>
        <v>0</v>
      </c>
      <c r="C669" s="30"/>
      <c r="D669" s="30" t="s">
        <v>3365</v>
      </c>
      <c r="E669" s="30" t="s">
        <v>1304</v>
      </c>
      <c r="F669" s="34" t="str">
        <f>IFERROR(VLOOKUP(VENTAS[[#This Row],[Código del producto Vendido]],STOCK[],5,FALSE),"-")</f>
        <v>Jean ajustado claro</v>
      </c>
      <c r="G669" s="34">
        <v>1</v>
      </c>
      <c r="H669" s="35">
        <v>30</v>
      </c>
      <c r="I669" s="35">
        <f>VENTAS[[#This Row],[Cantidad]]*VENTAS[[#This Row],[Precio Venta]]</f>
        <v>30</v>
      </c>
      <c r="J669" s="35">
        <f>IF(VENTAS[[#This Row],[Nombre del Gestor]]&gt;1,VENTAS[[#This Row],[Total]]*10%,0)</f>
        <v>3</v>
      </c>
      <c r="K669" s="35">
        <f>IFERROR(VLOOKUP(VENTAS[[#This Row],[Código del producto Vendido]],STOCK[],16,FALSE)*VENTAS[[#This Row],[Cantidad]]+VLOOKUP(VENTAS[[#This Row],[Código del producto Vendido]],STOCK[],19,FALSE)*VENTAS[[#This Row],[Cantidad]],VENTAS[[#This Row],[Total]])</f>
        <v>23.79</v>
      </c>
      <c r="L669" s="35">
        <f>VENTAS[[#This Row],[Total]]-VENTAS[[#This Row],[Comisión 10%]]-VENTAS[[#This Row],[Costo SIN Comision]]</f>
        <v>3.21</v>
      </c>
      <c r="M669" s="35"/>
    </row>
    <row r="670" ht="20" customHeight="1" spans="1:13">
      <c r="A670" s="29"/>
      <c r="B670" s="30" t="str">
        <f>IFERROR(VLOOKUP(VENTAS[[#This Row],[Código del producto Vendido]],STOCK[],25,FALSE),"-")</f>
        <v>Compra 9/12/2023</v>
      </c>
      <c r="C670" s="30"/>
      <c r="D670" s="30"/>
      <c r="E670" s="30" t="s">
        <v>1610</v>
      </c>
      <c r="F670" s="34" t="str">
        <f>IFERROR(VLOOKUP(VENTAS[[#This Row],[Código del producto Vendido]],STOCK[],5,FALSE),"-")</f>
        <v>Camisa Modely</v>
      </c>
      <c r="G670" s="34">
        <v>1</v>
      </c>
      <c r="H670" s="35">
        <v>22</v>
      </c>
      <c r="I670" s="35">
        <f>VENTAS[[#This Row],[Cantidad]]*VENTAS[[#This Row],[Precio Venta]]</f>
        <v>22</v>
      </c>
      <c r="J670" s="35">
        <f>IF(VENTAS[[#This Row],[Nombre del Gestor]]&gt;1,VENTAS[[#This Row],[Total]]*10%,0)</f>
        <v>0</v>
      </c>
      <c r="K670" s="35">
        <f>IFERROR(VLOOKUP(VENTAS[[#This Row],[Código del producto Vendido]],STOCK[],16,FALSE)*VENTAS[[#This Row],[Cantidad]]+VLOOKUP(VENTAS[[#This Row],[Código del producto Vendido]],STOCK[],19,FALSE)*VENTAS[[#This Row],[Cantidad]],VENTAS[[#This Row],[Total]])</f>
        <v>9.74</v>
      </c>
      <c r="L670" s="35">
        <f>VENTAS[[#This Row],[Total]]-VENTAS[[#This Row],[Comisión 10%]]-VENTAS[[#This Row],[Costo SIN Comision]]</f>
        <v>12.26</v>
      </c>
      <c r="M670" s="35"/>
    </row>
    <row r="671" ht="20" customHeight="1" spans="1:13">
      <c r="A671" s="29"/>
      <c r="B671" s="30" t="str">
        <f>IFERROR(VLOOKUP(VENTAS[[#This Row],[Código del producto Vendido]],STOCK[],25,FALSE),"-")</f>
        <v>Compra 7/12/2023</v>
      </c>
      <c r="C671" s="30"/>
      <c r="D671" s="30"/>
      <c r="E671" s="30" t="s">
        <v>1519</v>
      </c>
      <c r="F671" s="34" t="str">
        <f>IFERROR(VLOOKUP(VENTAS[[#This Row],[Código del producto Vendido]],STOCK[],5,FALSE),"-")</f>
        <v>Saya de Mezclilla a la Cintura</v>
      </c>
      <c r="G671" s="34">
        <v>1</v>
      </c>
      <c r="H671" s="35">
        <v>35</v>
      </c>
      <c r="I671" s="35">
        <f>VENTAS[[#This Row],[Cantidad]]*VENTAS[[#This Row],[Precio Venta]]</f>
        <v>35</v>
      </c>
      <c r="J671" s="35">
        <f>IF(VENTAS[[#This Row],[Nombre del Gestor]]&gt;1,VENTAS[[#This Row],[Total]]*10%,0)</f>
        <v>0</v>
      </c>
      <c r="K671" s="35">
        <f>IFERROR(VLOOKUP(VENTAS[[#This Row],[Código del producto Vendido]],STOCK[],16,FALSE)*VENTAS[[#This Row],[Cantidad]]+VLOOKUP(VENTAS[[#This Row],[Código del producto Vendido]],STOCK[],19,FALSE)*VENTAS[[#This Row],[Cantidad]],VENTAS[[#This Row],[Total]])</f>
        <v>18.5</v>
      </c>
      <c r="L671" s="35">
        <f>VENTAS[[#This Row],[Total]]-VENTAS[[#This Row],[Comisión 10%]]-VENTAS[[#This Row],[Costo SIN Comision]]</f>
        <v>16.5</v>
      </c>
      <c r="M671" s="35"/>
    </row>
    <row r="672" ht="20" customHeight="1" spans="1:13">
      <c r="A672" s="29" t="s">
        <v>3452</v>
      </c>
      <c r="B672" s="30">
        <f>IFERROR(VLOOKUP(VENTAS[[#This Row],[Código del producto Vendido]],STOCK[],25,FALSE),"-")</f>
        <v>0</v>
      </c>
      <c r="C672" s="30" t="s">
        <v>3460</v>
      </c>
      <c r="D672" s="30"/>
      <c r="E672" s="30" t="s">
        <v>753</v>
      </c>
      <c r="F672" s="34" t="str">
        <f>IFERROR(VLOOKUP(VENTAS[[#This Row],[Código del producto Vendido]],STOCK[],5,FALSE),"-")</f>
        <v>Sandalias Rojas</v>
      </c>
      <c r="G672" s="34">
        <v>1</v>
      </c>
      <c r="H672" s="35">
        <v>40</v>
      </c>
      <c r="I672" s="35">
        <f>VENTAS[[#This Row],[Cantidad]]*VENTAS[[#This Row],[Precio Venta]]</f>
        <v>40</v>
      </c>
      <c r="J672" s="35">
        <f>IF(VENTAS[[#This Row],[Nombre del Gestor]]&gt;1,VENTAS[[#This Row],[Total]]*10%,0)</f>
        <v>0</v>
      </c>
      <c r="K672" s="35">
        <f>IFERROR(VLOOKUP(VENTAS[[#This Row],[Código del producto Vendido]],STOCK[],16,FALSE)*VENTAS[[#This Row],[Cantidad]]+VLOOKUP(VENTAS[[#This Row],[Código del producto Vendido]],STOCK[],19,FALSE)*VENTAS[[#This Row],[Cantidad]],VENTAS[[#This Row],[Total]])</f>
        <v>25.7222222222222</v>
      </c>
      <c r="L672" s="35">
        <f>VENTAS[[#This Row],[Total]]-VENTAS[[#This Row],[Comisión 10%]]-VENTAS[[#This Row],[Costo SIN Comision]]</f>
        <v>14.2777777777778</v>
      </c>
      <c r="M672" s="35"/>
    </row>
    <row r="673" ht="20" customHeight="1" spans="1:13">
      <c r="A673" s="29"/>
      <c r="B673" s="30">
        <f>IFERROR(VLOOKUP(VENTAS[[#This Row],[Código del producto Vendido]],STOCK[],25,FALSE),"-")</f>
        <v>0</v>
      </c>
      <c r="C673" s="30" t="s">
        <v>3461</v>
      </c>
      <c r="D673" s="30"/>
      <c r="E673" s="30" t="s">
        <v>871</v>
      </c>
      <c r="F673" s="34" t="str">
        <f>IFERROR(VLOOKUP(VENTAS[[#This Row],[Código del producto Vendido]],STOCK[],5,FALSE),"-")</f>
        <v>Calzado hombre dos tonos</v>
      </c>
      <c r="G673" s="34">
        <v>1</v>
      </c>
      <c r="H673" s="35">
        <v>0</v>
      </c>
      <c r="I673" s="35">
        <f>VENTAS[[#This Row],[Cantidad]]*VENTAS[[#This Row],[Precio Venta]]</f>
        <v>0</v>
      </c>
      <c r="J673" s="35">
        <f>IF(VENTAS[[#This Row],[Nombre del Gestor]]&gt;1,VENTAS[[#This Row],[Total]]*10%,0)</f>
        <v>0</v>
      </c>
      <c r="K673" s="35">
        <f>IFERROR(VLOOKUP(VENTAS[[#This Row],[Código del producto Vendido]],STOCK[],16,FALSE)*VENTAS[[#This Row],[Cantidad]]+VLOOKUP(VENTAS[[#This Row],[Código del producto Vendido]],STOCK[],19,FALSE)*VENTAS[[#This Row],[Cantidad]],VENTAS[[#This Row],[Total]])</f>
        <v>33.9444444444444</v>
      </c>
      <c r="L673" s="35">
        <f>VENTAS[[#This Row],[Total]]-VENTAS[[#This Row],[Comisión 10%]]-VENTAS[[#This Row],[Costo SIN Comision]]</f>
        <v>-33.9444444444444</v>
      </c>
      <c r="M673" s="35"/>
    </row>
    <row r="674" ht="20" customHeight="1" spans="1:13">
      <c r="A674" s="29" t="s">
        <v>3462</v>
      </c>
      <c r="B674" s="30">
        <f>IFERROR(VLOOKUP(VENTAS[[#This Row],[Código del producto Vendido]],STOCK[],25,FALSE),"-")</f>
        <v>0</v>
      </c>
      <c r="C674" s="30"/>
      <c r="D674" s="30"/>
      <c r="E674" s="30" t="s">
        <v>1329</v>
      </c>
      <c r="F674" s="34" t="str">
        <f>IFERROR(VLOOKUP(VENTAS[[#This Row],[Código del producto Vendido]],STOCK[],5,FALSE),"-")</f>
        <v>Blusa de manga acampanada blanca</v>
      </c>
      <c r="G674" s="34">
        <v>1</v>
      </c>
      <c r="H674" s="35">
        <v>22</v>
      </c>
      <c r="I674" s="35">
        <f>VENTAS[[#This Row],[Cantidad]]*VENTAS[[#This Row],[Precio Venta]]</f>
        <v>22</v>
      </c>
      <c r="J674" s="35">
        <f>IF(VENTAS[[#This Row],[Nombre del Gestor]]&gt;1,VENTAS[[#This Row],[Total]]*10%,0)</f>
        <v>0</v>
      </c>
      <c r="K674" s="35">
        <f>IFERROR(VLOOKUP(VENTAS[[#This Row],[Código del producto Vendido]],STOCK[],16,FALSE)*VENTAS[[#This Row],[Cantidad]]+VLOOKUP(VENTAS[[#This Row],[Código del producto Vendido]],STOCK[],19,FALSE)*VENTAS[[#This Row],[Cantidad]],VENTAS[[#This Row],[Total]])</f>
        <v>13.24</v>
      </c>
      <c r="L674" s="35">
        <f>VENTAS[[#This Row],[Total]]-VENTAS[[#This Row],[Comisión 10%]]-VENTAS[[#This Row],[Costo SIN Comision]]</f>
        <v>8.76</v>
      </c>
      <c r="M674" s="35"/>
    </row>
    <row r="675" ht="20" customHeight="1" spans="1:13">
      <c r="A675" s="29" t="s">
        <v>3462</v>
      </c>
      <c r="B675" s="30">
        <f>IFERROR(VLOOKUP(VENTAS[[#This Row],[Código del producto Vendido]],STOCK[],25,FALSE),"-")</f>
        <v>0</v>
      </c>
      <c r="C675" s="30"/>
      <c r="D675" s="30"/>
      <c r="E675" s="30" t="s">
        <v>1331</v>
      </c>
      <c r="F675" s="34" t="str">
        <f>IFERROR(VLOOKUP(VENTAS[[#This Row],[Código del producto Vendido]],STOCK[],5,FALSE),"-")</f>
        <v>Blusa de manga acampanada negra</v>
      </c>
      <c r="G675" s="34">
        <v>1</v>
      </c>
      <c r="H675" s="35">
        <v>22</v>
      </c>
      <c r="I675" s="35">
        <f>VENTAS[[#This Row],[Cantidad]]*VENTAS[[#This Row],[Precio Venta]]</f>
        <v>22</v>
      </c>
      <c r="J675" s="35">
        <f>IF(VENTAS[[#This Row],[Nombre del Gestor]]&gt;1,VENTAS[[#This Row],[Total]]*10%,0)</f>
        <v>0</v>
      </c>
      <c r="K675" s="35">
        <f>IFERROR(VLOOKUP(VENTAS[[#This Row],[Código del producto Vendido]],STOCK[],16,FALSE)*VENTAS[[#This Row],[Cantidad]]+VLOOKUP(VENTAS[[#This Row],[Código del producto Vendido]],STOCK[],19,FALSE)*VENTAS[[#This Row],[Cantidad]],VENTAS[[#This Row],[Total]])</f>
        <v>14.24</v>
      </c>
      <c r="L675" s="35">
        <f>VENTAS[[#This Row],[Total]]-VENTAS[[#This Row],[Comisión 10%]]-VENTAS[[#This Row],[Costo SIN Comision]]</f>
        <v>7.76</v>
      </c>
      <c r="M675" s="35"/>
    </row>
    <row r="676" ht="20" customHeight="1" spans="1:13">
      <c r="A676" s="29" t="s">
        <v>3462</v>
      </c>
      <c r="B676" s="30" t="str">
        <f>IFERROR(VLOOKUP(VENTAS[[#This Row],[Código del producto Vendido]],STOCK[],25,FALSE),"-")</f>
        <v>-</v>
      </c>
      <c r="C676" s="30"/>
      <c r="D676" s="30"/>
      <c r="E676" s="30" t="s">
        <v>3463</v>
      </c>
      <c r="F676" s="34" t="str">
        <f>IFERROR(VLOOKUP(VENTAS[[#This Row],[Código del producto Vendido]],STOCK[],5,FALSE),"-")</f>
        <v>-</v>
      </c>
      <c r="G676" s="34">
        <v>1</v>
      </c>
      <c r="H676" s="35">
        <v>13</v>
      </c>
      <c r="I676" s="35">
        <f>VENTAS[[#This Row],[Cantidad]]*VENTAS[[#This Row],[Precio Venta]]</f>
        <v>13</v>
      </c>
      <c r="J676" s="35">
        <f>IF(VENTAS[[#This Row],[Nombre del Gestor]]&gt;1,VENTAS[[#This Row],[Total]]*10%,0)</f>
        <v>0</v>
      </c>
      <c r="K676" s="35">
        <f>IFERROR(VLOOKUP(VENTAS[[#This Row],[Código del producto Vendido]],STOCK[],16,FALSE)*VENTAS[[#This Row],[Cantidad]]+VLOOKUP(VENTAS[[#This Row],[Código del producto Vendido]],STOCK[],19,FALSE)*VENTAS[[#This Row],[Cantidad]],VENTAS[[#This Row],[Total]])</f>
        <v>13</v>
      </c>
      <c r="L676" s="35">
        <f>VENTAS[[#This Row],[Total]]-VENTAS[[#This Row],[Comisión 10%]]-VENTAS[[#This Row],[Costo SIN Comision]]</f>
        <v>0</v>
      </c>
      <c r="M676" s="35"/>
    </row>
    <row r="677" ht="20" customHeight="1" spans="1:13">
      <c r="A677" s="29">
        <v>45324</v>
      </c>
      <c r="B677" s="30" t="str">
        <f>IFERROR(VLOOKUP(VENTAS[[#This Row],[Código del producto Vendido]],STOCK[],25,FALSE),"-")</f>
        <v>Compra 9/12/2023</v>
      </c>
      <c r="C677" s="30"/>
      <c r="D677" s="30" t="s">
        <v>3457</v>
      </c>
      <c r="E677" s="30" t="s">
        <v>1597</v>
      </c>
      <c r="F677" s="34" t="str">
        <f>IFERROR(VLOOKUP(VENTAS[[#This Row],[Código del producto Vendido]],STOCK[],5,FALSE),"-")</f>
        <v>Cardigan classy</v>
      </c>
      <c r="G677" s="34">
        <v>1</v>
      </c>
      <c r="H677" s="35">
        <v>20</v>
      </c>
      <c r="I677" s="35">
        <f>VENTAS[[#This Row],[Cantidad]]*VENTAS[[#This Row],[Precio Venta]]</f>
        <v>20</v>
      </c>
      <c r="J677" s="35">
        <f>IF(VENTAS[[#This Row],[Nombre del Gestor]]&gt;1,VENTAS[[#This Row],[Total]]*10%,0)</f>
        <v>2</v>
      </c>
      <c r="K677" s="35">
        <f>IFERROR(VLOOKUP(VENTAS[[#This Row],[Código del producto Vendido]],STOCK[],16,FALSE)*VENTAS[[#This Row],[Cantidad]]+VLOOKUP(VENTAS[[#This Row],[Código del producto Vendido]],STOCK[],19,FALSE)*VENTAS[[#This Row],[Cantidad]],VENTAS[[#This Row],[Total]])</f>
        <v>11.8</v>
      </c>
      <c r="L677" s="35">
        <f>VENTAS[[#This Row],[Total]]-VENTAS[[#This Row],[Comisión 10%]]-VENTAS[[#This Row],[Costo SIN Comision]]</f>
        <v>6.2</v>
      </c>
      <c r="M677" s="35"/>
    </row>
    <row r="678" ht="20" customHeight="1" spans="1:13">
      <c r="A678" s="29">
        <v>45325</v>
      </c>
      <c r="B678" s="30">
        <f>IFERROR(VLOOKUP(VENTAS[[#This Row],[Código del producto Vendido]],STOCK[],25,FALSE),"-")</f>
        <v>0</v>
      </c>
      <c r="C678" s="30" t="s">
        <v>3464</v>
      </c>
      <c r="D678" s="30"/>
      <c r="E678" s="30" t="s">
        <v>1357</v>
      </c>
      <c r="F678" s="34" t="str">
        <f>IFERROR(VLOOKUP(VENTAS[[#This Row],[Código del producto Vendido]],STOCK[],5,FALSE),"-")</f>
        <v>Sweater de Lana naranja quemada</v>
      </c>
      <c r="G678" s="34">
        <v>1</v>
      </c>
      <c r="H678" s="35">
        <v>18</v>
      </c>
      <c r="I678" s="35">
        <f>VENTAS[[#This Row],[Cantidad]]*VENTAS[[#This Row],[Precio Venta]]</f>
        <v>18</v>
      </c>
      <c r="J678" s="35">
        <f>IF(VENTAS[[#This Row],[Nombre del Gestor]]&gt;1,VENTAS[[#This Row],[Total]]*10%,0)</f>
        <v>0</v>
      </c>
      <c r="K678" s="35">
        <f>IFERROR(VLOOKUP(VENTAS[[#This Row],[Código del producto Vendido]],STOCK[],16,FALSE)*VENTAS[[#This Row],[Cantidad]]+VLOOKUP(VENTAS[[#This Row],[Código del producto Vendido]],STOCK[],19,FALSE)*VENTAS[[#This Row],[Cantidad]],VENTAS[[#This Row],[Total]])</f>
        <v>15.45</v>
      </c>
      <c r="L678" s="35">
        <f>VENTAS[[#This Row],[Total]]-VENTAS[[#This Row],[Comisión 10%]]-VENTAS[[#This Row],[Costo SIN Comision]]</f>
        <v>2.55</v>
      </c>
      <c r="M678" s="35"/>
    </row>
    <row r="679" ht="20" customHeight="1" spans="1:13">
      <c r="A679" s="29">
        <v>45324</v>
      </c>
      <c r="B679" s="30" t="str">
        <f>IFERROR(VLOOKUP(VENTAS[[#This Row],[Código del producto Vendido]],STOCK[],25,FALSE),"-")</f>
        <v>-</v>
      </c>
      <c r="C679" s="30"/>
      <c r="D679" s="30"/>
      <c r="E679" s="30"/>
      <c r="F679" s="34" t="str">
        <f>IFERROR(VLOOKUP(VENTAS[[#This Row],[Código del producto Vendido]],STOCK[],5,FALSE),"-")</f>
        <v>-</v>
      </c>
      <c r="G679" s="34">
        <v>1</v>
      </c>
      <c r="H679" s="35">
        <v>28</v>
      </c>
      <c r="I679" s="35">
        <f>VENTAS[[#This Row],[Cantidad]]*VENTAS[[#This Row],[Precio Venta]]</f>
        <v>28</v>
      </c>
      <c r="J679" s="35">
        <f>IF(VENTAS[[#This Row],[Nombre del Gestor]]&gt;1,VENTAS[[#This Row],[Total]]*10%,0)</f>
        <v>0</v>
      </c>
      <c r="K679" s="35">
        <f>IFERROR(VLOOKUP(VENTAS[[#This Row],[Código del producto Vendido]],STOCK[],16,FALSE)*VENTAS[[#This Row],[Cantidad]]+VLOOKUP(VENTAS[[#This Row],[Código del producto Vendido]],STOCK[],19,FALSE)*VENTAS[[#This Row],[Cantidad]],VENTAS[[#This Row],[Total]])</f>
        <v>28</v>
      </c>
      <c r="L679" s="35">
        <f>VENTAS[[#This Row],[Total]]-VENTAS[[#This Row],[Comisión 10%]]-VENTAS[[#This Row],[Costo SIN Comision]]</f>
        <v>0</v>
      </c>
      <c r="M679" s="35"/>
    </row>
    <row r="680" ht="20" customHeight="1" spans="1:13">
      <c r="A680" s="29"/>
      <c r="B680" s="30" t="str">
        <f>IFERROR(VLOOKUP(VENTAS[[#This Row],[Código del producto Vendido]],STOCK[],25,FALSE),"-")</f>
        <v>Compra 7/12/2023</v>
      </c>
      <c r="C680" s="30"/>
      <c r="D680" s="30"/>
      <c r="E680" s="30" t="s">
        <v>1538</v>
      </c>
      <c r="F680" s="34" t="str">
        <f>IFERROR(VLOOKUP(VENTAS[[#This Row],[Código del producto Vendido]],STOCK[],5,FALSE),"-")</f>
        <v>Gafas de sol Dama</v>
      </c>
      <c r="G680" s="34">
        <v>1</v>
      </c>
      <c r="H680" s="35">
        <v>9</v>
      </c>
      <c r="I680" s="35">
        <f>VENTAS[[#This Row],[Cantidad]]*VENTAS[[#This Row],[Precio Venta]]</f>
        <v>9</v>
      </c>
      <c r="J680" s="35">
        <f>IF(VENTAS[[#This Row],[Nombre del Gestor]]&gt;1,VENTAS[[#This Row],[Total]]*10%,0)</f>
        <v>0</v>
      </c>
      <c r="K680" s="35">
        <f>IFERROR(VLOOKUP(VENTAS[[#This Row],[Código del producto Vendido]],STOCK[],16,FALSE)*VENTAS[[#This Row],[Cantidad]]+VLOOKUP(VENTAS[[#This Row],[Código del producto Vendido]],STOCK[],19,FALSE)*VENTAS[[#This Row],[Cantidad]],VENTAS[[#This Row],[Total]])</f>
        <v>4.4</v>
      </c>
      <c r="L680" s="35">
        <f>VENTAS[[#This Row],[Total]]-VENTAS[[#This Row],[Comisión 10%]]-VENTAS[[#This Row],[Costo SIN Comision]]</f>
        <v>4.6</v>
      </c>
      <c r="M680" s="35"/>
    </row>
    <row r="681" ht="20" customHeight="1" spans="1:13">
      <c r="A681" s="29"/>
      <c r="B681" s="30">
        <f>IFERROR(VLOOKUP(VENTAS[[#This Row],[Código del producto Vendido]],STOCK[],25,FALSE),"-")</f>
        <v>0</v>
      </c>
      <c r="C681" s="30"/>
      <c r="D681" s="30"/>
      <c r="E681" s="30" t="s">
        <v>1416</v>
      </c>
      <c r="F681" s="34" t="str">
        <f>IFERROR(VLOOKUP(VENTAS[[#This Row],[Código del producto Vendido]],STOCK[],5,FALSE),"-")</f>
        <v>Vestido acanalado cruzado color crema</v>
      </c>
      <c r="G681" s="34">
        <v>1</v>
      </c>
      <c r="H681" s="35">
        <v>28</v>
      </c>
      <c r="I681" s="35">
        <f>VENTAS[[#This Row],[Cantidad]]*VENTAS[[#This Row],[Precio Venta]]</f>
        <v>28</v>
      </c>
      <c r="J681" s="35">
        <f>IF(VENTAS[[#This Row],[Nombre del Gestor]]&gt;1,VENTAS[[#This Row],[Total]]*10%,0)</f>
        <v>0</v>
      </c>
      <c r="K681" s="35">
        <f>IFERROR(VLOOKUP(VENTAS[[#This Row],[Código del producto Vendido]],STOCK[],16,FALSE)*VENTAS[[#This Row],[Cantidad]]+VLOOKUP(VENTAS[[#This Row],[Código del producto Vendido]],STOCK[],19,FALSE)*VENTAS[[#This Row],[Cantidad]],VENTAS[[#This Row],[Total]])</f>
        <v>24.59</v>
      </c>
      <c r="L681" s="35">
        <f>VENTAS[[#This Row],[Total]]-VENTAS[[#This Row],[Comisión 10%]]-VENTAS[[#This Row],[Costo SIN Comision]]</f>
        <v>3.41</v>
      </c>
      <c r="M681" s="35"/>
    </row>
    <row r="682" ht="20" customHeight="1" spans="1:13">
      <c r="A682" s="29" t="s">
        <v>3446</v>
      </c>
      <c r="B682" s="30">
        <f>IFERROR(VLOOKUP(VENTAS[[#This Row],[Código del producto Vendido]],STOCK[],25,FALSE),"-")</f>
        <v>0</v>
      </c>
      <c r="C682" s="30"/>
      <c r="D682" s="30"/>
      <c r="E682" s="30" t="s">
        <v>1043</v>
      </c>
      <c r="F682" s="34" t="str">
        <f>IFERROR(VLOOKUP(VENTAS[[#This Row],[Código del producto Vendido]],STOCK[],5,FALSE),"-")</f>
        <v>Jeans Ajustados Claro</v>
      </c>
      <c r="G682" s="34">
        <v>1</v>
      </c>
      <c r="H682" s="35">
        <v>30</v>
      </c>
      <c r="I682" s="35">
        <f>VENTAS[[#This Row],[Cantidad]]*VENTAS[[#This Row],[Precio Venta]]</f>
        <v>30</v>
      </c>
      <c r="J682" s="35">
        <f>IF(VENTAS[[#This Row],[Nombre del Gestor]]&gt;1,VENTAS[[#This Row],[Total]]*10%,0)</f>
        <v>0</v>
      </c>
      <c r="K682" s="35">
        <f>IFERROR(VLOOKUP(VENTAS[[#This Row],[Código del producto Vendido]],STOCK[],16,FALSE)*VENTAS[[#This Row],[Cantidad]]+VLOOKUP(VENTAS[[#This Row],[Código del producto Vendido]],STOCK[],19,FALSE)*VENTAS[[#This Row],[Cantidad]],VENTAS[[#This Row],[Total]])</f>
        <v>25.8181818181818</v>
      </c>
      <c r="L682" s="35">
        <f>VENTAS[[#This Row],[Total]]-VENTAS[[#This Row],[Comisión 10%]]-VENTAS[[#This Row],[Costo SIN Comision]]</f>
        <v>4.1818181818182</v>
      </c>
      <c r="M682" s="35"/>
    </row>
    <row r="683" ht="20" customHeight="1" spans="1:13">
      <c r="A683" s="29" t="s">
        <v>3462</v>
      </c>
      <c r="B683" s="30">
        <f>IFERROR(VLOOKUP(VENTAS[[#This Row],[Código del producto Vendido]],STOCK[],25,FALSE),"-")</f>
        <v>0</v>
      </c>
      <c r="C683" s="30"/>
      <c r="D683" s="30"/>
      <c r="E683" s="30" t="s">
        <v>961</v>
      </c>
      <c r="F683" s="34" t="str">
        <f>IFERROR(VLOOKUP(VENTAS[[#This Row],[Código del producto Vendido]],STOCK[],5,FALSE),"-")</f>
        <v>Pantalón Business Básico</v>
      </c>
      <c r="G683" s="34">
        <v>1</v>
      </c>
      <c r="H683" s="35">
        <v>28</v>
      </c>
      <c r="I683" s="35">
        <f>VENTAS[[#This Row],[Cantidad]]*VENTAS[[#This Row],[Precio Venta]]</f>
        <v>28</v>
      </c>
      <c r="J683" s="35">
        <f>IF(VENTAS[[#This Row],[Nombre del Gestor]]&gt;1,VENTAS[[#This Row],[Total]]*10%,0)</f>
        <v>0</v>
      </c>
      <c r="K683" s="35">
        <f>IFERROR(VLOOKUP(VENTAS[[#This Row],[Código del producto Vendido]],STOCK[],16,FALSE)*VENTAS[[#This Row],[Cantidad]]+VLOOKUP(VENTAS[[#This Row],[Código del producto Vendido]],STOCK[],19,FALSE)*VENTAS[[#This Row],[Cantidad]],VENTAS[[#This Row],[Total]])</f>
        <v>21.3722727272727</v>
      </c>
      <c r="L683" s="35">
        <f>VENTAS[[#This Row],[Total]]-VENTAS[[#This Row],[Comisión 10%]]-VENTAS[[#This Row],[Costo SIN Comision]]</f>
        <v>6.6277272727273</v>
      </c>
      <c r="M683" s="35"/>
    </row>
    <row r="684" ht="20" customHeight="1" spans="1:13">
      <c r="A684" s="29"/>
      <c r="B684" s="30">
        <f>IFERROR(VLOOKUP(VENTAS[[#This Row],[Código del producto Vendido]],STOCK[],25,FALSE),"-")</f>
        <v>0</v>
      </c>
      <c r="C684" s="30"/>
      <c r="D684" s="30"/>
      <c r="E684" s="30" t="s">
        <v>1416</v>
      </c>
      <c r="F684" s="34" t="str">
        <f>IFERROR(VLOOKUP(VENTAS[[#This Row],[Código del producto Vendido]],STOCK[],5,FALSE),"-")</f>
        <v>Vestido acanalado cruzado color crema</v>
      </c>
      <c r="G684" s="34">
        <v>1</v>
      </c>
      <c r="H684" s="35">
        <v>28</v>
      </c>
      <c r="I684" s="35">
        <f>VENTAS[[#This Row],[Cantidad]]*VENTAS[[#This Row],[Precio Venta]]</f>
        <v>28</v>
      </c>
      <c r="J684" s="35">
        <f>IF(VENTAS[[#This Row],[Nombre del Gestor]]&gt;1,VENTAS[[#This Row],[Total]]*10%,0)</f>
        <v>0</v>
      </c>
      <c r="K684" s="35">
        <f>IFERROR(VLOOKUP(VENTAS[[#This Row],[Código del producto Vendido]],STOCK[],16,FALSE)*VENTAS[[#This Row],[Cantidad]]+VLOOKUP(VENTAS[[#This Row],[Código del producto Vendido]],STOCK[],19,FALSE)*VENTAS[[#This Row],[Cantidad]],VENTAS[[#This Row],[Total]])</f>
        <v>24.59</v>
      </c>
      <c r="L684" s="35">
        <f>VENTAS[[#This Row],[Total]]-VENTAS[[#This Row],[Comisión 10%]]-VENTAS[[#This Row],[Costo SIN Comision]]</f>
        <v>3.41</v>
      </c>
      <c r="M684" s="35"/>
    </row>
    <row r="685" ht="20" customHeight="1" spans="1:13">
      <c r="A685" s="29" t="s">
        <v>3446</v>
      </c>
      <c r="B685" s="30" t="str">
        <f>IFERROR(VLOOKUP(VENTAS[[#This Row],[Código del producto Vendido]],STOCK[],25,FALSE),"-")</f>
        <v>COMPRA F21</v>
      </c>
      <c r="C685" s="30"/>
      <c r="D685" s="30"/>
      <c r="E685" s="30" t="s">
        <v>1431</v>
      </c>
      <c r="F685" s="34" t="str">
        <f>IFERROR(VLOOKUP(VENTAS[[#This Row],[Código del producto Vendido]],STOCK[],5,FALSE),"-")</f>
        <v>Sandalias blancas cruzadas</v>
      </c>
      <c r="G685" s="34">
        <v>1</v>
      </c>
      <c r="H685" s="35">
        <v>15</v>
      </c>
      <c r="I685" s="35">
        <f>VENTAS[[#This Row],[Cantidad]]*VENTAS[[#This Row],[Precio Venta]]</f>
        <v>15</v>
      </c>
      <c r="J685" s="35">
        <f>IF(VENTAS[[#This Row],[Nombre del Gestor]]&gt;1,VENTAS[[#This Row],[Total]]*10%,0)</f>
        <v>0</v>
      </c>
      <c r="K685" s="35">
        <f>IFERROR(VLOOKUP(VENTAS[[#This Row],[Código del producto Vendido]],STOCK[],16,FALSE)*VENTAS[[#This Row],[Cantidad]]+VLOOKUP(VENTAS[[#This Row],[Código del producto Vendido]],STOCK[],19,FALSE)*VENTAS[[#This Row],[Cantidad]],VENTAS[[#This Row],[Total]])</f>
        <v>11.49</v>
      </c>
      <c r="L685" s="35">
        <f>VENTAS[[#This Row],[Total]]-VENTAS[[#This Row],[Comisión 10%]]-VENTAS[[#This Row],[Costo SIN Comision]]</f>
        <v>3.51</v>
      </c>
      <c r="M685" s="35"/>
    </row>
    <row r="686" ht="20" customHeight="1" spans="1:13">
      <c r="A686" s="29"/>
      <c r="B686" s="30">
        <f>IFERROR(VLOOKUP(VENTAS[[#This Row],[Código del producto Vendido]],STOCK[],25,FALSE),"-")</f>
        <v>0</v>
      </c>
      <c r="C686" s="30"/>
      <c r="D686" s="30"/>
      <c r="E686" s="30" t="s">
        <v>1136</v>
      </c>
      <c r="F686" s="34" t="str">
        <f>IFERROR(VLOOKUP(VENTAS[[#This Row],[Código del producto Vendido]],STOCK[],5,FALSE),"-")</f>
        <v>Vestido rojo con aberturas H&amp;M</v>
      </c>
      <c r="G686" s="34">
        <v>1</v>
      </c>
      <c r="H686" s="35">
        <v>25</v>
      </c>
      <c r="I686" s="35">
        <f>VENTAS[[#This Row],[Cantidad]]*VENTAS[[#This Row],[Precio Venta]]</f>
        <v>25</v>
      </c>
      <c r="J686" s="35">
        <f>IF(VENTAS[[#This Row],[Nombre del Gestor]]&gt;1,VENTAS[[#This Row],[Total]]*10%,0)</f>
        <v>0</v>
      </c>
      <c r="K686" s="35">
        <f>IFERROR(VLOOKUP(VENTAS[[#This Row],[Código del producto Vendido]],STOCK[],16,FALSE)*VENTAS[[#This Row],[Cantidad]]+VLOOKUP(VENTAS[[#This Row],[Código del producto Vendido]],STOCK[],19,FALSE)*VENTAS[[#This Row],[Cantidad]],VENTAS[[#This Row],[Total]])</f>
        <v>18.1176470588235</v>
      </c>
      <c r="L686" s="35">
        <f>VENTAS[[#This Row],[Total]]-VENTAS[[#This Row],[Comisión 10%]]-VENTAS[[#This Row],[Costo SIN Comision]]</f>
        <v>6.8823529411765</v>
      </c>
      <c r="M686" s="35"/>
    </row>
    <row r="687" ht="20" customHeight="1" spans="1:13">
      <c r="A687" s="29"/>
      <c r="B687" s="30" t="str">
        <f>IFERROR(VLOOKUP(VENTAS[[#This Row],[Código del producto Vendido]],STOCK[],25,FALSE),"-")</f>
        <v>Viaje Agosto</v>
      </c>
      <c r="C687" s="30"/>
      <c r="D687" s="30"/>
      <c r="E687" s="30" t="s">
        <v>1233</v>
      </c>
      <c r="F687" s="34" t="str">
        <f>IFERROR(VLOOKUP(VENTAS[[#This Row],[Código del producto Vendido]],STOCK[],5,FALSE),"-")</f>
        <v>Short beich de pierna ancha </v>
      </c>
      <c r="G687" s="34">
        <v>3</v>
      </c>
      <c r="H687" s="35">
        <v>20</v>
      </c>
      <c r="I687" s="35">
        <f>VENTAS[[#This Row],[Cantidad]]*VENTAS[[#This Row],[Precio Venta]]</f>
        <v>60</v>
      </c>
      <c r="J687" s="35">
        <f>IF(VENTAS[[#This Row],[Nombre del Gestor]]&gt;1,VENTAS[[#This Row],[Total]]*10%,0)</f>
        <v>0</v>
      </c>
      <c r="K687" s="35">
        <f>IFERROR(VLOOKUP(VENTAS[[#This Row],[Código del producto Vendido]],STOCK[],16,FALSE)*VENTAS[[#This Row],[Cantidad]]+VLOOKUP(VENTAS[[#This Row],[Código del producto Vendido]],STOCK[],19,FALSE)*VENTAS[[#This Row],[Cantidad]],VENTAS[[#This Row],[Total]])</f>
        <v>43.11</v>
      </c>
      <c r="L687" s="35">
        <f>VENTAS[[#This Row],[Total]]-VENTAS[[#This Row],[Comisión 10%]]-VENTAS[[#This Row],[Costo SIN Comision]]</f>
        <v>16.89</v>
      </c>
      <c r="M687" s="35"/>
    </row>
    <row r="688" ht="20" customHeight="1" spans="1:13">
      <c r="A688" s="29"/>
      <c r="B688" s="30" t="str">
        <f>IFERROR(VLOOKUP(VENTAS[[#This Row],[Código del producto Vendido]],STOCK[],25,FALSE),"-")</f>
        <v>Viaje Agosto</v>
      </c>
      <c r="C688" s="30"/>
      <c r="D688" s="30"/>
      <c r="E688" s="30" t="s">
        <v>1279</v>
      </c>
      <c r="F688" s="34" t="str">
        <f>IFERROR(VLOOKUP(VENTAS[[#This Row],[Código del producto Vendido]],STOCK[],5,FALSE),"-")</f>
        <v>Short beiche de pierna ancha </v>
      </c>
      <c r="G688" s="34">
        <v>3</v>
      </c>
      <c r="H688" s="35">
        <v>20</v>
      </c>
      <c r="I688" s="35">
        <f>VENTAS[[#This Row],[Cantidad]]*VENTAS[[#This Row],[Precio Venta]]</f>
        <v>60</v>
      </c>
      <c r="J688" s="35">
        <f>IF(VENTAS[[#This Row],[Nombre del Gestor]]&gt;1,VENTAS[[#This Row],[Total]]*10%,0)</f>
        <v>0</v>
      </c>
      <c r="K688" s="35">
        <f>IFERROR(VLOOKUP(VENTAS[[#This Row],[Código del producto Vendido]],STOCK[],16,FALSE)*VENTAS[[#This Row],[Cantidad]]+VLOOKUP(VENTAS[[#This Row],[Código del producto Vendido]],STOCK[],19,FALSE)*VENTAS[[#This Row],[Cantidad]],VENTAS[[#This Row],[Total]])</f>
        <v>43.11</v>
      </c>
      <c r="L688" s="35">
        <f>VENTAS[[#This Row],[Total]]-VENTAS[[#This Row],[Comisión 10%]]-VENTAS[[#This Row],[Costo SIN Comision]]</f>
        <v>16.89</v>
      </c>
      <c r="M688" s="35"/>
    </row>
    <row r="689" ht="20" customHeight="1" spans="1:13">
      <c r="A689" s="29" t="s">
        <v>3462</v>
      </c>
      <c r="B689" s="30">
        <f>IFERROR(VLOOKUP(VENTAS[[#This Row],[Código del producto Vendido]],STOCK[],25,FALSE),"-")</f>
        <v>0</v>
      </c>
      <c r="C689" s="30"/>
      <c r="D689" s="30"/>
      <c r="E689" s="30" t="s">
        <v>1426</v>
      </c>
      <c r="F689" s="34" t="str">
        <f>IFERROR(VLOOKUP(VENTAS[[#This Row],[Código del producto Vendido]],STOCK[],5,FALSE),"-")</f>
        <v>Vestido espalda escotada</v>
      </c>
      <c r="G689" s="34">
        <v>2</v>
      </c>
      <c r="H689" s="35">
        <v>28</v>
      </c>
      <c r="I689" s="35">
        <f>VENTAS[[#This Row],[Cantidad]]*VENTAS[[#This Row],[Precio Venta]]</f>
        <v>56</v>
      </c>
      <c r="J689" s="35">
        <f>IF(VENTAS[[#This Row],[Nombre del Gestor]]&gt;1,VENTAS[[#This Row],[Total]]*10%,0)</f>
        <v>0</v>
      </c>
      <c r="K689" s="35">
        <f>IFERROR(VLOOKUP(VENTAS[[#This Row],[Código del producto Vendido]],STOCK[],16,FALSE)*VENTAS[[#This Row],[Cantidad]]+VLOOKUP(VENTAS[[#This Row],[Código del producto Vendido]],STOCK[],19,FALSE)*VENTAS[[#This Row],[Cantidad]],VENTAS[[#This Row],[Total]])</f>
        <v>34</v>
      </c>
      <c r="L689" s="35">
        <f>VENTAS[[#This Row],[Total]]-VENTAS[[#This Row],[Comisión 10%]]-VENTAS[[#This Row],[Costo SIN Comision]]</f>
        <v>22</v>
      </c>
      <c r="M689" s="35"/>
    </row>
    <row r="690" ht="20" customHeight="1" spans="1:13">
      <c r="A690" s="29" t="s">
        <v>3462</v>
      </c>
      <c r="B690" s="30" t="str">
        <f>IFERROR(VLOOKUP(VENTAS[[#This Row],[Código del producto Vendido]],STOCK[],25,FALSE),"-")</f>
        <v>-</v>
      </c>
      <c r="C690" s="30"/>
      <c r="D690" s="30"/>
      <c r="E690" s="30" t="s">
        <v>3451</v>
      </c>
      <c r="F690" s="34" t="str">
        <f>IFERROR(VLOOKUP(VENTAS[[#This Row],[Código del producto Vendido]],STOCK[],5,FALSE),"-")</f>
        <v>-</v>
      </c>
      <c r="G690" s="34">
        <v>2</v>
      </c>
      <c r="H690" s="35">
        <v>23</v>
      </c>
      <c r="I690" s="35">
        <f>VENTAS[[#This Row],[Cantidad]]*VENTAS[[#This Row],[Precio Venta]]</f>
        <v>46</v>
      </c>
      <c r="J690" s="35">
        <f>IF(VENTAS[[#This Row],[Nombre del Gestor]]&gt;1,VENTAS[[#This Row],[Total]]*10%,0)</f>
        <v>0</v>
      </c>
      <c r="K690" s="35">
        <f>IFERROR(VLOOKUP(VENTAS[[#This Row],[Código del producto Vendido]],STOCK[],16,FALSE)*VENTAS[[#This Row],[Cantidad]]+VLOOKUP(VENTAS[[#This Row],[Código del producto Vendido]],STOCK[],19,FALSE)*VENTAS[[#This Row],[Cantidad]],VENTAS[[#This Row],[Total]])</f>
        <v>46</v>
      </c>
      <c r="L690" s="35">
        <f>VENTAS[[#This Row],[Total]]-VENTAS[[#This Row],[Comisión 10%]]-VENTAS[[#This Row],[Costo SIN Comision]]</f>
        <v>0</v>
      </c>
      <c r="M690" s="35"/>
    </row>
    <row r="691" ht="20" customHeight="1" spans="1:13">
      <c r="A691" s="29"/>
      <c r="B691" s="30" t="str">
        <f>IFERROR(VLOOKUP(VENTAS[[#This Row],[Código del producto Vendido]],STOCK[],25,FALSE),"-")</f>
        <v>-</v>
      </c>
      <c r="C691" s="30"/>
      <c r="D691" s="30"/>
      <c r="E691" s="30" t="s">
        <v>3436</v>
      </c>
      <c r="F691" s="34" t="str">
        <f>IFERROR(VLOOKUP(VENTAS[[#This Row],[Código del producto Vendido]],STOCK[],5,FALSE),"-")</f>
        <v>-</v>
      </c>
      <c r="G691" s="34">
        <v>1</v>
      </c>
      <c r="H691" s="35">
        <v>23</v>
      </c>
      <c r="I691" s="35">
        <f>VENTAS[[#This Row],[Cantidad]]*VENTAS[[#This Row],[Precio Venta]]</f>
        <v>23</v>
      </c>
      <c r="J691" s="35">
        <f>IF(VENTAS[[#This Row],[Nombre del Gestor]]&gt;1,VENTAS[[#This Row],[Total]]*10%,0)</f>
        <v>0</v>
      </c>
      <c r="K691" s="35">
        <f>IFERROR(VLOOKUP(VENTAS[[#This Row],[Código del producto Vendido]],STOCK[],16,FALSE)*VENTAS[[#This Row],[Cantidad]]+VLOOKUP(VENTAS[[#This Row],[Código del producto Vendido]],STOCK[],19,FALSE)*VENTAS[[#This Row],[Cantidad]],VENTAS[[#This Row],[Total]])</f>
        <v>23</v>
      </c>
      <c r="L691" s="35">
        <f>VENTAS[[#This Row],[Total]]-VENTAS[[#This Row],[Comisión 10%]]-VENTAS[[#This Row],[Costo SIN Comision]]</f>
        <v>0</v>
      </c>
      <c r="M691" s="35"/>
    </row>
    <row r="692" ht="20" customHeight="1" spans="1:13">
      <c r="A692" s="29" t="s">
        <v>3462</v>
      </c>
      <c r="B692" s="30" t="str">
        <f>IFERROR(VLOOKUP(VENTAS[[#This Row],[Código del producto Vendido]],STOCK[],25,FALSE),"-")</f>
        <v>COMPRA F21</v>
      </c>
      <c r="C692" s="30"/>
      <c r="D692" s="30"/>
      <c r="E692" s="30" t="s">
        <v>1443</v>
      </c>
      <c r="F692" s="34" t="str">
        <f>IFERROR(VLOOKUP(VENTAS[[#This Row],[Código del producto Vendido]],STOCK[],5,FALSE),"-")</f>
        <v>Sandalias negras acolchadas</v>
      </c>
      <c r="G692" s="34">
        <v>1</v>
      </c>
      <c r="H692" s="35">
        <v>27</v>
      </c>
      <c r="I692" s="35">
        <f>VENTAS[[#This Row],[Cantidad]]*VENTAS[[#This Row],[Precio Venta]]</f>
        <v>27</v>
      </c>
      <c r="J692" s="35">
        <f>IF(VENTAS[[#This Row],[Nombre del Gestor]]&gt;1,VENTAS[[#This Row],[Total]]*10%,0)</f>
        <v>0</v>
      </c>
      <c r="K692" s="35">
        <f>IFERROR(VLOOKUP(VENTAS[[#This Row],[Código del producto Vendido]],STOCK[],16,FALSE)*VENTAS[[#This Row],[Cantidad]]+VLOOKUP(VENTAS[[#This Row],[Código del producto Vendido]],STOCK[],19,FALSE)*VENTAS[[#This Row],[Cantidad]],VENTAS[[#This Row],[Total]])</f>
        <v>12.49</v>
      </c>
      <c r="L692" s="35">
        <f>VENTAS[[#This Row],[Total]]-VENTAS[[#This Row],[Comisión 10%]]-VENTAS[[#This Row],[Costo SIN Comision]]</f>
        <v>14.51</v>
      </c>
      <c r="M692" s="35"/>
    </row>
    <row r="693" ht="20" customHeight="1" spans="1:13">
      <c r="A693" s="29" t="s">
        <v>3462</v>
      </c>
      <c r="B693" s="30">
        <f>IFERROR(VLOOKUP(VENTAS[[#This Row],[Código del producto Vendido]],STOCK[],25,FALSE),"-")</f>
        <v>0</v>
      </c>
      <c r="C693" s="30"/>
      <c r="D693" s="30"/>
      <c r="E693" s="30" t="s">
        <v>1699</v>
      </c>
      <c r="F693" s="34" t="str">
        <f>IFERROR(VLOOKUP(VENTAS[[#This Row],[Código del producto Vendido]],STOCK[],5,FALSE),"-")</f>
        <v>Vestido Frente Drapeado Negro y Blanco</v>
      </c>
      <c r="G693" s="34">
        <v>1</v>
      </c>
      <c r="H693" s="35">
        <v>25</v>
      </c>
      <c r="I693" s="35">
        <f>VENTAS[[#This Row],[Cantidad]]*VENTAS[[#This Row],[Precio Venta]]</f>
        <v>25</v>
      </c>
      <c r="J693" s="35">
        <f>IF(VENTAS[[#This Row],[Nombre del Gestor]]&gt;1,VENTAS[[#This Row],[Total]]*10%,0)</f>
        <v>0</v>
      </c>
      <c r="K693" s="35">
        <f>IFERROR(VLOOKUP(VENTAS[[#This Row],[Código del producto Vendido]],STOCK[],16,FALSE)*VENTAS[[#This Row],[Cantidad]]+VLOOKUP(VENTAS[[#This Row],[Código del producto Vendido]],STOCK[],19,FALSE)*VENTAS[[#This Row],[Cantidad]],VENTAS[[#This Row],[Total]])</f>
        <v>11.4</v>
      </c>
      <c r="L693" s="35">
        <f>VENTAS[[#This Row],[Total]]-VENTAS[[#This Row],[Comisión 10%]]-VENTAS[[#This Row],[Costo SIN Comision]]</f>
        <v>13.6</v>
      </c>
      <c r="M693" s="35"/>
    </row>
    <row r="694" ht="20" customHeight="1" spans="1:13">
      <c r="A694" s="29"/>
      <c r="B694" s="30" t="str">
        <f>IFERROR(VLOOKUP(VENTAS[[#This Row],[Código del producto Vendido]],STOCK[],25,FALSE),"-")</f>
        <v>Compra 7/12/2023</v>
      </c>
      <c r="C694" s="30"/>
      <c r="D694" s="30"/>
      <c r="E694" s="30" t="s">
        <v>1546</v>
      </c>
      <c r="F694" s="34" t="str">
        <f>IFERROR(VLOOKUP(VENTAS[[#This Row],[Código del producto Vendido]],STOCK[],5,FALSE),"-")</f>
        <v>Limpia botellas</v>
      </c>
      <c r="G694" s="34">
        <v>1</v>
      </c>
      <c r="H694" s="35">
        <v>4</v>
      </c>
      <c r="I694" s="35">
        <f>VENTAS[[#This Row],[Cantidad]]*VENTAS[[#This Row],[Precio Venta]]</f>
        <v>4</v>
      </c>
      <c r="J694" s="35">
        <f>IF(VENTAS[[#This Row],[Nombre del Gestor]]&gt;1,VENTAS[[#This Row],[Total]]*10%,0)</f>
        <v>0</v>
      </c>
      <c r="K694" s="35">
        <f>IFERROR(VLOOKUP(VENTAS[[#This Row],[Código del producto Vendido]],STOCK[],16,FALSE)*VENTAS[[#This Row],[Cantidad]]+VLOOKUP(VENTAS[[#This Row],[Código del producto Vendido]],STOCK[],19,FALSE)*VENTAS[[#This Row],[Cantidad]],VENTAS[[#This Row],[Total]])</f>
        <v>3.25</v>
      </c>
      <c r="L694" s="35">
        <f>VENTAS[[#This Row],[Total]]-VENTAS[[#This Row],[Comisión 10%]]-VENTAS[[#This Row],[Costo SIN Comision]]</f>
        <v>0.75</v>
      </c>
      <c r="M694" s="35"/>
    </row>
    <row r="695" ht="20" customHeight="1" spans="1:13">
      <c r="A695" s="29"/>
      <c r="B695" s="30" t="str">
        <f>IFERROR(VLOOKUP(VENTAS[[#This Row],[Código del producto Vendido]],STOCK[],25,FALSE),"-")</f>
        <v>Compra 7/12/2023</v>
      </c>
      <c r="C695" s="30"/>
      <c r="D695" s="30"/>
      <c r="E695" s="30" t="s">
        <v>1549</v>
      </c>
      <c r="F695" s="34" t="str">
        <f>IFERROR(VLOOKUP(VENTAS[[#This Row],[Código del producto Vendido]],STOCK[],5,FALSE),"-")</f>
        <v>Batidor</v>
      </c>
      <c r="G695" s="34">
        <v>1</v>
      </c>
      <c r="H695" s="35">
        <v>3</v>
      </c>
      <c r="I695" s="35">
        <f>VENTAS[[#This Row],[Cantidad]]*VENTAS[[#This Row],[Precio Venta]]</f>
        <v>3</v>
      </c>
      <c r="J695" s="35">
        <f>IF(VENTAS[[#This Row],[Nombre del Gestor]]&gt;1,VENTAS[[#This Row],[Total]]*10%,0)</f>
        <v>0</v>
      </c>
      <c r="K695" s="35">
        <f>IFERROR(VLOOKUP(VENTAS[[#This Row],[Código del producto Vendido]],STOCK[],16,FALSE)*VENTAS[[#This Row],[Cantidad]]+VLOOKUP(VENTAS[[#This Row],[Código del producto Vendido]],STOCK[],19,FALSE)*VENTAS[[#This Row],[Cantidad]],VENTAS[[#This Row],[Total]])</f>
        <v>3.5</v>
      </c>
      <c r="L695" s="35">
        <f>VENTAS[[#This Row],[Total]]-VENTAS[[#This Row],[Comisión 10%]]-VENTAS[[#This Row],[Costo SIN Comision]]</f>
        <v>-0.5</v>
      </c>
      <c r="M695" s="35"/>
    </row>
    <row r="696" ht="20" customHeight="1" spans="1:13">
      <c r="A696" s="29"/>
      <c r="B696" s="30" t="str">
        <f>IFERROR(VLOOKUP(VENTAS[[#This Row],[Código del producto Vendido]],STOCK[],25,FALSE),"-")</f>
        <v>Compra 7/12/2023</v>
      </c>
      <c r="C696" s="30"/>
      <c r="D696" s="30"/>
      <c r="E696" s="30" t="s">
        <v>1525</v>
      </c>
      <c r="F696" s="34" t="str">
        <f>IFERROR(VLOOKUP(VENTAS[[#This Row],[Código del producto Vendido]],STOCK[],5,FALSE),"-")</f>
        <v>Top Bustier encaje</v>
      </c>
      <c r="G696" s="34">
        <v>1</v>
      </c>
      <c r="H696" s="35">
        <v>22</v>
      </c>
      <c r="I696" s="35">
        <f>VENTAS[[#This Row],[Cantidad]]*VENTAS[[#This Row],[Precio Venta]]</f>
        <v>22</v>
      </c>
      <c r="J696" s="35">
        <f>IF(VENTAS[[#This Row],[Nombre del Gestor]]&gt;1,VENTAS[[#This Row],[Total]]*10%,0)</f>
        <v>0</v>
      </c>
      <c r="K696" s="35">
        <f>IFERROR(VLOOKUP(VENTAS[[#This Row],[Código del producto Vendido]],STOCK[],16,FALSE)*VENTAS[[#This Row],[Cantidad]]+VLOOKUP(VENTAS[[#This Row],[Código del producto Vendido]],STOCK[],19,FALSE)*VENTAS[[#This Row],[Cantidad]],VENTAS[[#This Row],[Total]])</f>
        <v>14.7</v>
      </c>
      <c r="L696" s="35">
        <f>VENTAS[[#This Row],[Total]]-VENTAS[[#This Row],[Comisión 10%]]-VENTAS[[#This Row],[Costo SIN Comision]]</f>
        <v>7.3</v>
      </c>
      <c r="M696" s="35"/>
    </row>
    <row r="697" ht="20" customHeight="1" spans="1:13">
      <c r="A697" s="29"/>
      <c r="B697" s="30" t="str">
        <f>IFERROR(VLOOKUP(VENTAS[[#This Row],[Código del producto Vendido]],STOCK[],25,FALSE),"-")</f>
        <v>Compra 7/12/2023</v>
      </c>
      <c r="C697" s="30"/>
      <c r="D697" s="30"/>
      <c r="E697" s="30" t="s">
        <v>1542</v>
      </c>
      <c r="F697" s="34" t="str">
        <f>IFERROR(VLOOKUP(VENTAS[[#This Row],[Código del producto Vendido]],STOCK[],5,FALSE),"-")</f>
        <v>Lentes de Sol</v>
      </c>
      <c r="G697" s="34">
        <v>1</v>
      </c>
      <c r="H697" s="35">
        <v>5</v>
      </c>
      <c r="I697" s="35">
        <f>VENTAS[[#This Row],[Cantidad]]*VENTAS[[#This Row],[Precio Venta]]</f>
        <v>5</v>
      </c>
      <c r="J697" s="35">
        <f>IF(VENTAS[[#This Row],[Nombre del Gestor]]&gt;1,VENTAS[[#This Row],[Total]]*10%,0)</f>
        <v>0</v>
      </c>
      <c r="K697" s="35">
        <f>IFERROR(VLOOKUP(VENTAS[[#This Row],[Código del producto Vendido]],STOCK[],16,FALSE)*VENTAS[[#This Row],[Cantidad]]+VLOOKUP(VENTAS[[#This Row],[Código del producto Vendido]],STOCK[],19,FALSE)*VENTAS[[#This Row],[Cantidad]],VENTAS[[#This Row],[Total]])</f>
        <v>4.22</v>
      </c>
      <c r="L697" s="35">
        <f>VENTAS[[#This Row],[Total]]-VENTAS[[#This Row],[Comisión 10%]]-VENTAS[[#This Row],[Costo SIN Comision]]</f>
        <v>0.779999999999999</v>
      </c>
      <c r="M697" s="35"/>
    </row>
    <row r="698" ht="20" customHeight="1" spans="1:13">
      <c r="A698" s="29"/>
      <c r="B698" s="30" t="str">
        <f>IFERROR(VLOOKUP(VENTAS[[#This Row],[Código del producto Vendido]],STOCK[],25,FALSE),"-")</f>
        <v>Compra 7/12/2023</v>
      </c>
      <c r="C698" s="30"/>
      <c r="D698" s="30"/>
      <c r="E698" s="30" t="s">
        <v>1540</v>
      </c>
      <c r="F698" s="34" t="str">
        <f>IFERROR(VLOOKUP(VENTAS[[#This Row],[Código del producto Vendido]],STOCK[],5,FALSE),"-")</f>
        <v>Gafas de Sol </v>
      </c>
      <c r="G698" s="34">
        <v>1</v>
      </c>
      <c r="H698" s="35">
        <v>5</v>
      </c>
      <c r="I698" s="35">
        <f>VENTAS[[#This Row],[Cantidad]]*VENTAS[[#This Row],[Precio Venta]]</f>
        <v>5</v>
      </c>
      <c r="J698" s="35">
        <f>IF(VENTAS[[#This Row],[Nombre del Gestor]]&gt;1,VENTAS[[#This Row],[Total]]*10%,0)</f>
        <v>0</v>
      </c>
      <c r="K698" s="35">
        <f>IFERROR(VLOOKUP(VENTAS[[#This Row],[Código del producto Vendido]],STOCK[],16,FALSE)*VENTAS[[#This Row],[Cantidad]]+VLOOKUP(VENTAS[[#This Row],[Código del producto Vendido]],STOCK[],19,FALSE)*VENTAS[[#This Row],[Cantidad]],VENTAS[[#This Row],[Total]])</f>
        <v>6.2</v>
      </c>
      <c r="L698" s="35">
        <f>VENTAS[[#This Row],[Total]]-VENTAS[[#This Row],[Comisión 10%]]-VENTAS[[#This Row],[Costo SIN Comision]]</f>
        <v>-1.2</v>
      </c>
      <c r="M698" s="35"/>
    </row>
    <row r="699" ht="20" customHeight="1" spans="1:13">
      <c r="A699" s="29"/>
      <c r="B699" s="30" t="str">
        <f>IFERROR(VLOOKUP(VENTAS[[#This Row],[Código del producto Vendido]],STOCK[],25,FALSE),"-")</f>
        <v>COMPRA F21</v>
      </c>
      <c r="C699" s="30"/>
      <c r="D699" s="30"/>
      <c r="E699" s="30" t="s">
        <v>1446</v>
      </c>
      <c r="F699" s="34" t="str">
        <f>IFERROR(VLOOKUP(VENTAS[[#This Row],[Código del producto Vendido]],STOCK[],5,FALSE),"-")</f>
        <v>Mocasín con herrajes</v>
      </c>
      <c r="G699" s="34">
        <v>1</v>
      </c>
      <c r="H699" s="35">
        <v>43</v>
      </c>
      <c r="I699" s="35">
        <f>VENTAS[[#This Row],[Cantidad]]*VENTAS[[#This Row],[Precio Venta]]</f>
        <v>43</v>
      </c>
      <c r="J699" s="35">
        <f>IF(VENTAS[[#This Row],[Nombre del Gestor]]&gt;1,VENTAS[[#This Row],[Total]]*10%,0)</f>
        <v>0</v>
      </c>
      <c r="K699" s="35">
        <f>IFERROR(VLOOKUP(VENTAS[[#This Row],[Código del producto Vendido]],STOCK[],16,FALSE)*VENTAS[[#This Row],[Cantidad]]+VLOOKUP(VENTAS[[#This Row],[Código del producto Vendido]],STOCK[],19,FALSE)*VENTAS[[#This Row],[Cantidad]],VENTAS[[#This Row],[Total]])</f>
        <v>27.49</v>
      </c>
      <c r="L699" s="35">
        <f>VENTAS[[#This Row],[Total]]-VENTAS[[#This Row],[Comisión 10%]]-VENTAS[[#This Row],[Costo SIN Comision]]</f>
        <v>15.51</v>
      </c>
      <c r="M699" s="35"/>
    </row>
    <row r="700" ht="20" customHeight="1" spans="1:13">
      <c r="A700" s="29"/>
      <c r="B700" s="30">
        <f>IFERROR(VLOOKUP(VENTAS[[#This Row],[Código del producto Vendido]],STOCK[],25,FALSE),"-")</f>
        <v>0</v>
      </c>
      <c r="C700" s="30"/>
      <c r="D700" s="30"/>
      <c r="E700" s="30" t="s">
        <v>531</v>
      </c>
      <c r="F700" s="34" t="str">
        <f>IFERROR(VLOOKUP(VENTAS[[#This Row],[Código del producto Vendido]],STOCK[],5,FALSE),"-")</f>
        <v>Rizador de pelo de color al azar 10 piezas</v>
      </c>
      <c r="G700" s="34">
        <v>1</v>
      </c>
      <c r="H700" s="35"/>
      <c r="I700" s="35">
        <f>VENTAS[[#This Row],[Cantidad]]*VENTAS[[#This Row],[Precio Venta]]</f>
        <v>0</v>
      </c>
      <c r="J700" s="35">
        <f>IF(VENTAS[[#This Row],[Nombre del Gestor]]&gt;1,VENTAS[[#This Row],[Total]]*10%,0)</f>
        <v>0</v>
      </c>
      <c r="K700" s="35">
        <f>IFERROR(VLOOKUP(VENTAS[[#This Row],[Código del producto Vendido]],STOCK[],16,FALSE)*VENTAS[[#This Row],[Cantidad]]+VLOOKUP(VENTAS[[#This Row],[Código del producto Vendido]],STOCK[],19,FALSE)*VENTAS[[#This Row],[Cantidad]],VENTAS[[#This Row],[Total]])</f>
        <v>2.04777777777778</v>
      </c>
      <c r="L700" s="35">
        <f>VENTAS[[#This Row],[Total]]-VENTAS[[#This Row],[Comisión 10%]]-VENTAS[[#This Row],[Costo SIN Comision]]</f>
        <v>-2.04777777777778</v>
      </c>
      <c r="M700" s="35"/>
    </row>
    <row r="701" ht="20" customHeight="1" spans="1:13">
      <c r="A701" s="29"/>
      <c r="B701" s="30">
        <f>IFERROR(VLOOKUP(VENTAS[[#This Row],[Código del producto Vendido]],STOCK[],25,FALSE),"-")</f>
        <v>0</v>
      </c>
      <c r="C701" s="30"/>
      <c r="D701" s="30"/>
      <c r="E701" s="30" t="s">
        <v>519</v>
      </c>
      <c r="F701" s="34" t="str">
        <f>IFERROR(VLOOKUP(VENTAS[[#This Row],[Código del producto Vendido]],STOCK[],5,FALSE),"-")</f>
        <v> Mocasines con puntada</v>
      </c>
      <c r="G701" s="34">
        <v>1</v>
      </c>
      <c r="H701" s="35"/>
      <c r="I701" s="35">
        <f>VENTAS[[#This Row],[Cantidad]]*VENTAS[[#This Row],[Precio Venta]]</f>
        <v>0</v>
      </c>
      <c r="J701" s="35">
        <f>IF(VENTAS[[#This Row],[Nombre del Gestor]]&gt;1,VENTAS[[#This Row],[Total]]*10%,0)</f>
        <v>0</v>
      </c>
      <c r="K701" s="35">
        <f>IFERROR(VLOOKUP(VENTAS[[#This Row],[Código del producto Vendido]],STOCK[],16,FALSE)*VENTAS[[#This Row],[Cantidad]]+VLOOKUP(VENTAS[[#This Row],[Código del producto Vendido]],STOCK[],19,FALSE)*VENTAS[[#This Row],[Cantidad]],VENTAS[[#This Row],[Total]])</f>
        <v>16.9261111111111</v>
      </c>
      <c r="L701" s="35">
        <f>VENTAS[[#This Row],[Total]]-VENTAS[[#This Row],[Comisión 10%]]-VENTAS[[#This Row],[Costo SIN Comision]]</f>
        <v>-16.9261111111111</v>
      </c>
      <c r="M701" s="35"/>
    </row>
    <row r="702" ht="20" customHeight="1" spans="1:13">
      <c r="A702" s="29"/>
      <c r="B702" s="30">
        <f>IFERROR(VLOOKUP(VENTAS[[#This Row],[Código del producto Vendido]],STOCK[],25,FALSE),"-")</f>
        <v>0</v>
      </c>
      <c r="C702" s="30"/>
      <c r="D702" s="30"/>
      <c r="E702" s="30" t="s">
        <v>478</v>
      </c>
      <c r="F702" s="34" t="str">
        <f>IFERROR(VLOOKUP(VENTAS[[#This Row],[Código del producto Vendido]],STOCK[],5,FALSE),"-")</f>
        <v>Bolsa cuadrada mini geométrico </v>
      </c>
      <c r="G702" s="34">
        <v>1</v>
      </c>
      <c r="H702" s="35"/>
      <c r="I702" s="35">
        <f>VENTAS[[#This Row],[Cantidad]]*VENTAS[[#This Row],[Precio Venta]]</f>
        <v>0</v>
      </c>
      <c r="J702" s="35">
        <f>IF(VENTAS[[#This Row],[Nombre del Gestor]]&gt;1,VENTAS[[#This Row],[Total]]*10%,0)</f>
        <v>0</v>
      </c>
      <c r="K702" s="35">
        <f>IFERROR(VLOOKUP(VENTAS[[#This Row],[Código del producto Vendido]],STOCK[],16,FALSE)*VENTAS[[#This Row],[Cantidad]]+VLOOKUP(VENTAS[[#This Row],[Código del producto Vendido]],STOCK[],19,FALSE)*VENTAS[[#This Row],[Cantidad]],VENTAS[[#This Row],[Total]])</f>
        <v>6.33777777777778</v>
      </c>
      <c r="L702" s="35">
        <f>VENTAS[[#This Row],[Total]]-VENTAS[[#This Row],[Comisión 10%]]-VENTAS[[#This Row],[Costo SIN Comision]]</f>
        <v>-6.33777777777778</v>
      </c>
      <c r="M702" s="35"/>
    </row>
    <row r="703" ht="20" customHeight="1" spans="1:13">
      <c r="A703" s="29">
        <v>45328</v>
      </c>
      <c r="B703" s="30">
        <f>IFERROR(VLOOKUP(VENTAS[[#This Row],[Código del producto Vendido]],STOCK[],25,FALSE),"-")</f>
        <v>0</v>
      </c>
      <c r="C703" s="30"/>
      <c r="D703" s="30" t="s">
        <v>3465</v>
      </c>
      <c r="E703" s="30" t="s">
        <v>618</v>
      </c>
      <c r="F703" s="34" t="str">
        <f>IFERROR(VLOOKUP(VENTAS[[#This Row],[Código del producto Vendido]],STOCK[],5,FALSE),"-")</f>
        <v>Vestido pecho con fruncido </v>
      </c>
      <c r="G703" s="34">
        <v>1</v>
      </c>
      <c r="H703" s="35">
        <v>15</v>
      </c>
      <c r="I703" s="35">
        <f>VENTAS[[#This Row],[Cantidad]]*VENTAS[[#This Row],[Precio Venta]]</f>
        <v>15</v>
      </c>
      <c r="J703" s="35">
        <f>IF(VENTAS[[#This Row],[Nombre del Gestor]]&gt;1,VENTAS[[#This Row],[Total]]*10%,0)</f>
        <v>1.5</v>
      </c>
      <c r="K703" s="35">
        <f>IFERROR(VLOOKUP(VENTAS[[#This Row],[Código del producto Vendido]],STOCK[],16,FALSE)*VENTAS[[#This Row],[Cantidad]]+VLOOKUP(VENTAS[[#This Row],[Código del producto Vendido]],STOCK[],19,FALSE)*VENTAS[[#This Row],[Cantidad]],VENTAS[[#This Row],[Total]])</f>
        <v>10.7222222222222</v>
      </c>
      <c r="L703" s="35">
        <f>VENTAS[[#This Row],[Total]]-VENTAS[[#This Row],[Comisión 10%]]-VENTAS[[#This Row],[Costo SIN Comision]]</f>
        <v>2.77777777777778</v>
      </c>
      <c r="M703" s="35"/>
    </row>
    <row r="704" ht="20" customHeight="1" spans="1:13">
      <c r="A704" s="29">
        <v>45328</v>
      </c>
      <c r="B704" s="30" t="str">
        <f>IFERROR(VLOOKUP(VENTAS[[#This Row],[Código del producto Vendido]],STOCK[],25,FALSE),"-")</f>
        <v>Viaje Agosto</v>
      </c>
      <c r="C704" s="30"/>
      <c r="D704" s="30" t="s">
        <v>3459</v>
      </c>
      <c r="E704" s="30" t="s">
        <v>1198</v>
      </c>
      <c r="F704" s="34" t="str">
        <f>IFERROR(VLOOKUP(VENTAS[[#This Row],[Código del producto Vendido]],STOCK[],5,FALSE),"-")</f>
        <v>Sujetador adhesivo de silicona</v>
      </c>
      <c r="G704" s="34">
        <v>1</v>
      </c>
      <c r="H704" s="35">
        <v>12</v>
      </c>
      <c r="I704" s="35">
        <f>VENTAS[[#This Row],[Cantidad]]*VENTAS[[#This Row],[Precio Venta]]</f>
        <v>12</v>
      </c>
      <c r="J704" s="35">
        <f>IF(VENTAS[[#This Row],[Nombre del Gestor]]&gt;1,VENTAS[[#This Row],[Total]]*10%,0)</f>
        <v>1.2</v>
      </c>
      <c r="K704" s="35">
        <f>IFERROR(VLOOKUP(VENTAS[[#This Row],[Código del producto Vendido]],STOCK[],16,FALSE)*VENTAS[[#This Row],[Cantidad]]+VLOOKUP(VENTAS[[#This Row],[Código del producto Vendido]],STOCK[],19,FALSE)*VENTAS[[#This Row],[Cantidad]],VENTAS[[#This Row],[Total]])</f>
        <v>5.87</v>
      </c>
      <c r="L704" s="35">
        <f>VENTAS[[#This Row],[Total]]-VENTAS[[#This Row],[Comisión 10%]]-VENTAS[[#This Row],[Costo SIN Comision]]</f>
        <v>4.93</v>
      </c>
      <c r="M704" s="35"/>
    </row>
    <row r="705" ht="20" customHeight="1" spans="1:13">
      <c r="A705" s="29">
        <v>45328</v>
      </c>
      <c r="B705" s="30" t="str">
        <f>IFERROR(VLOOKUP(VENTAS[[#This Row],[Código del producto Vendido]],STOCK[],25,FALSE),"-")</f>
        <v>COMPRA F21</v>
      </c>
      <c r="C705" s="30"/>
      <c r="D705" s="30" t="s">
        <v>3430</v>
      </c>
      <c r="E705" s="30" t="s">
        <v>1437</v>
      </c>
      <c r="F705" s="34" t="str">
        <f>IFERROR(VLOOKUP(VENTAS[[#This Row],[Código del producto Vendido]],STOCK[],5,FALSE),"-")</f>
        <v>Sandalias de velcro</v>
      </c>
      <c r="G705" s="34">
        <v>1</v>
      </c>
      <c r="H705" s="35">
        <v>30</v>
      </c>
      <c r="I705" s="35">
        <f>VENTAS[[#This Row],[Cantidad]]*VENTAS[[#This Row],[Precio Venta]]</f>
        <v>30</v>
      </c>
      <c r="J705" s="35">
        <f>IF(VENTAS[[#This Row],[Nombre del Gestor]]&gt;1,VENTAS[[#This Row],[Total]]*10%,0)</f>
        <v>3</v>
      </c>
      <c r="K705" s="35">
        <f>IFERROR(VLOOKUP(VENTAS[[#This Row],[Código del producto Vendido]],STOCK[],16,FALSE)*VENTAS[[#This Row],[Cantidad]]+VLOOKUP(VENTAS[[#This Row],[Código del producto Vendido]],STOCK[],19,FALSE)*VENTAS[[#This Row],[Cantidad]],VENTAS[[#This Row],[Total]])</f>
        <v>17</v>
      </c>
      <c r="L705" s="35">
        <f>VENTAS[[#This Row],[Total]]-VENTAS[[#This Row],[Comisión 10%]]-VENTAS[[#This Row],[Costo SIN Comision]]</f>
        <v>10</v>
      </c>
      <c r="M705" s="35"/>
    </row>
    <row r="706" ht="20" customHeight="1" spans="1:13">
      <c r="A706" s="29"/>
      <c r="B706" s="30" t="str">
        <f>IFERROR(VLOOKUP(VENTAS[[#This Row],[Código del producto Vendido]],STOCK[],25,FALSE),"-")</f>
        <v>Compra 9/12/2023</v>
      </c>
      <c r="C706" s="30"/>
      <c r="D706" s="30"/>
      <c r="E706" s="30" t="s">
        <v>1606</v>
      </c>
      <c r="F706" s="34" t="str">
        <f>IFERROR(VLOOKUP(VENTAS[[#This Row],[Código del producto Vendido]],STOCK[],5,FALSE),"-")</f>
        <v>Vestido camisa modely</v>
      </c>
      <c r="G706" s="34">
        <v>1</v>
      </c>
      <c r="H706" s="35">
        <v>35</v>
      </c>
      <c r="I706" s="35">
        <f>VENTAS[[#This Row],[Cantidad]]*VENTAS[[#This Row],[Precio Venta]]</f>
        <v>35</v>
      </c>
      <c r="J706" s="35">
        <f>IF(VENTAS[[#This Row],[Nombre del Gestor]]&gt;1,VENTAS[[#This Row],[Total]]*10%,0)</f>
        <v>0</v>
      </c>
      <c r="K706" s="35">
        <f>IFERROR(VLOOKUP(VENTAS[[#This Row],[Código del producto Vendido]],STOCK[],16,FALSE)*VENTAS[[#This Row],[Cantidad]]+VLOOKUP(VENTAS[[#This Row],[Código del producto Vendido]],STOCK[],19,FALSE)*VENTAS[[#This Row],[Cantidad]],VENTAS[[#This Row],[Total]])</f>
        <v>14.84</v>
      </c>
      <c r="L706" s="35">
        <f>VENTAS[[#This Row],[Total]]-VENTAS[[#This Row],[Comisión 10%]]-VENTAS[[#This Row],[Costo SIN Comision]]</f>
        <v>20.16</v>
      </c>
      <c r="M706" s="35"/>
    </row>
    <row r="707" ht="20" customHeight="1" spans="1:13">
      <c r="A707" s="29"/>
      <c r="B707" s="30" t="str">
        <f>IFERROR(VLOOKUP(VENTAS[[#This Row],[Código del producto Vendido]],STOCK[],25,FALSE),"-")</f>
        <v>Compra 9/12/2023</v>
      </c>
      <c r="C707" s="30"/>
      <c r="D707" s="30"/>
      <c r="E707" s="30" t="s">
        <v>1604</v>
      </c>
      <c r="F707" s="34" t="str">
        <f>IFERROR(VLOOKUP(VENTAS[[#This Row],[Código del producto Vendido]],STOCK[],5,FALSE),"-")</f>
        <v>Vestido camisa modely</v>
      </c>
      <c r="G707" s="34">
        <v>1</v>
      </c>
      <c r="H707" s="35">
        <v>30</v>
      </c>
      <c r="I707" s="35">
        <f>VENTAS[[#This Row],[Cantidad]]*VENTAS[[#This Row],[Precio Venta]]</f>
        <v>30</v>
      </c>
      <c r="J707" s="35">
        <f>IF(VENTAS[[#This Row],[Nombre del Gestor]]&gt;1,VENTAS[[#This Row],[Total]]*10%,0)</f>
        <v>0</v>
      </c>
      <c r="K707" s="35">
        <f>IFERROR(VLOOKUP(VENTAS[[#This Row],[Código del producto Vendido]],STOCK[],16,FALSE)*VENTAS[[#This Row],[Cantidad]]+VLOOKUP(VENTAS[[#This Row],[Código del producto Vendido]],STOCK[],19,FALSE)*VENTAS[[#This Row],[Cantidad]],VENTAS[[#This Row],[Total]])</f>
        <v>14.84</v>
      </c>
      <c r="L707" s="35">
        <f>VENTAS[[#This Row],[Total]]-VENTAS[[#This Row],[Comisión 10%]]-VENTAS[[#This Row],[Costo SIN Comision]]</f>
        <v>15.16</v>
      </c>
      <c r="M707" s="35"/>
    </row>
    <row r="708" ht="20" customHeight="1" spans="1:13">
      <c r="A708" s="29" t="s">
        <v>3462</v>
      </c>
      <c r="B708" s="30">
        <f>IFERROR(VLOOKUP(VENTAS[[#This Row],[Código del producto Vendido]],STOCK[],25,FALSE),"-")</f>
        <v>0</v>
      </c>
      <c r="C708" s="30"/>
      <c r="D708" s="30"/>
      <c r="E708" s="30" t="s">
        <v>480</v>
      </c>
      <c r="F708" s="34" t="str">
        <f>IFERROR(VLOOKUP(VENTAS[[#This Row],[Código del producto Vendido]],STOCK[],5,FALSE),"-")</f>
        <v>Bikini estampado cebra</v>
      </c>
      <c r="G708" s="34">
        <v>1</v>
      </c>
      <c r="H708" s="35">
        <v>15</v>
      </c>
      <c r="I708" s="35">
        <f>VENTAS[[#This Row],[Cantidad]]*VENTAS[[#This Row],[Precio Venta]]</f>
        <v>15</v>
      </c>
      <c r="J708" s="35">
        <f>IF(VENTAS[[#This Row],[Nombre del Gestor]]&gt;1,VENTAS[[#This Row],[Total]]*10%,0)</f>
        <v>0</v>
      </c>
      <c r="K708" s="35">
        <f>IFERROR(VLOOKUP(VENTAS[[#This Row],[Código del producto Vendido]],STOCK[],16,FALSE)*VENTAS[[#This Row],[Cantidad]]+VLOOKUP(VENTAS[[#This Row],[Código del producto Vendido]],STOCK[],19,FALSE)*VENTAS[[#This Row],[Cantidad]],VENTAS[[#This Row],[Total]])</f>
        <v>8.78722222222222</v>
      </c>
      <c r="L708" s="35">
        <f>VENTAS[[#This Row],[Total]]-VENTAS[[#This Row],[Comisión 10%]]-VENTAS[[#This Row],[Costo SIN Comision]]</f>
        <v>6.21277777777778</v>
      </c>
      <c r="M708" s="35"/>
    </row>
    <row r="709" ht="20" customHeight="1" spans="1:13">
      <c r="A709" s="29" t="s">
        <v>3462</v>
      </c>
      <c r="B709" s="30">
        <f>IFERROR(VLOOKUP(VENTAS[[#This Row],[Código del producto Vendido]],STOCK[],25,FALSE),"-")</f>
        <v>0</v>
      </c>
      <c r="C709" s="30"/>
      <c r="D709" s="30"/>
      <c r="E709" s="30" t="s">
        <v>412</v>
      </c>
      <c r="F709" s="34" t="str">
        <f>IFERROR(VLOOKUP(VENTAS[[#This Row],[Código del producto Vendido]],STOCK[],5,FALSE),"-")</f>
        <v>Bikini Floral</v>
      </c>
      <c r="G709" s="34">
        <v>1</v>
      </c>
      <c r="H709" s="35">
        <v>22</v>
      </c>
      <c r="I709" s="35">
        <f>VENTAS[[#This Row],[Cantidad]]*VENTAS[[#This Row],[Precio Venta]]</f>
        <v>22</v>
      </c>
      <c r="J709" s="35">
        <f>IF(VENTAS[[#This Row],[Nombre del Gestor]]&gt;1,VENTAS[[#This Row],[Total]]*10%,0)</f>
        <v>0</v>
      </c>
      <c r="K709" s="35">
        <f>IFERROR(VLOOKUP(VENTAS[[#This Row],[Código del producto Vendido]],STOCK[],16,FALSE)*VENTAS[[#This Row],[Cantidad]]+VLOOKUP(VENTAS[[#This Row],[Código del producto Vendido]],STOCK[],19,FALSE)*VENTAS[[#This Row],[Cantidad]],VENTAS[[#This Row],[Total]])</f>
        <v>13.9444444444444</v>
      </c>
      <c r="L709" s="35">
        <f>VENTAS[[#This Row],[Total]]-VENTAS[[#This Row],[Comisión 10%]]-VENTAS[[#This Row],[Costo SIN Comision]]</f>
        <v>8.0555555555556</v>
      </c>
      <c r="M709" s="35"/>
    </row>
    <row r="710" ht="20" customHeight="1" spans="1:13">
      <c r="A710" s="29" t="s">
        <v>3462</v>
      </c>
      <c r="B710" s="30">
        <f>IFERROR(VLOOKUP(VENTAS[[#This Row],[Código del producto Vendido]],STOCK[],25,FALSE),"-")</f>
        <v>0</v>
      </c>
      <c r="C710" s="30"/>
      <c r="D710" s="30"/>
      <c r="E710" s="30" t="s">
        <v>806</v>
      </c>
      <c r="F710" s="34" t="str">
        <f>IFERROR(VLOOKUP(VENTAS[[#This Row],[Código del producto Vendido]],STOCK[],5,FALSE),"-")</f>
        <v>Bañador a rayas con lazo</v>
      </c>
      <c r="G710" s="34">
        <v>1</v>
      </c>
      <c r="H710" s="35">
        <v>18</v>
      </c>
      <c r="I710" s="35">
        <f>VENTAS[[#This Row],[Cantidad]]*VENTAS[[#This Row],[Precio Venta]]</f>
        <v>18</v>
      </c>
      <c r="J710" s="35">
        <f>IF(VENTAS[[#This Row],[Nombre del Gestor]]&gt;1,VENTAS[[#This Row],[Total]]*10%,0)</f>
        <v>0</v>
      </c>
      <c r="K710" s="35">
        <f>IFERROR(VLOOKUP(VENTAS[[#This Row],[Código del producto Vendido]],STOCK[],16,FALSE)*VENTAS[[#This Row],[Cantidad]]+VLOOKUP(VENTAS[[#This Row],[Código del producto Vendido]],STOCK[],19,FALSE)*VENTAS[[#This Row],[Cantidad]],VENTAS[[#This Row],[Total]])</f>
        <v>9.5</v>
      </c>
      <c r="L710" s="35">
        <f>VENTAS[[#This Row],[Total]]-VENTAS[[#This Row],[Comisión 10%]]-VENTAS[[#This Row],[Costo SIN Comision]]</f>
        <v>8.5</v>
      </c>
      <c r="M710" s="35"/>
    </row>
    <row r="711" ht="20" customHeight="1" spans="1:13">
      <c r="A711" s="29" t="s">
        <v>3462</v>
      </c>
      <c r="B711" s="30">
        <f>IFERROR(VLOOKUP(VENTAS[[#This Row],[Código del producto Vendido]],STOCK[],25,FALSE),"-")</f>
        <v>0</v>
      </c>
      <c r="C711" s="30"/>
      <c r="D711" s="30"/>
      <c r="E711" s="30" t="s">
        <v>935</v>
      </c>
      <c r="F711" s="34" t="str">
        <f>IFERROR(VLOOKUP(VENTAS[[#This Row],[Código del producto Vendido]],STOCK[],5,FALSE),"-")</f>
        <v>Bañador con zíper de pierna alta</v>
      </c>
      <c r="G711" s="34">
        <v>1</v>
      </c>
      <c r="H711" s="35">
        <v>25</v>
      </c>
      <c r="I711" s="35">
        <f>VENTAS[[#This Row],[Cantidad]]*VENTAS[[#This Row],[Precio Venta]]</f>
        <v>25</v>
      </c>
      <c r="J711" s="35">
        <f>IF(VENTAS[[#This Row],[Nombre del Gestor]]&gt;1,VENTAS[[#This Row],[Total]]*10%,0)</f>
        <v>0</v>
      </c>
      <c r="K711" s="35">
        <f>IFERROR(VLOOKUP(VENTAS[[#This Row],[Código del producto Vendido]],STOCK[],16,FALSE)*VENTAS[[#This Row],[Cantidad]]+VLOOKUP(VENTAS[[#This Row],[Código del producto Vendido]],STOCK[],19,FALSE)*VENTAS[[#This Row],[Cantidad]],VENTAS[[#This Row],[Total]])</f>
        <v>14.0231818181818</v>
      </c>
      <c r="L711" s="35">
        <f>VENTAS[[#This Row],[Total]]-VENTAS[[#This Row],[Comisión 10%]]-VENTAS[[#This Row],[Costo SIN Comision]]</f>
        <v>10.9768181818182</v>
      </c>
      <c r="M711" s="35"/>
    </row>
    <row r="712" ht="20" customHeight="1" spans="1:13">
      <c r="A712" s="29" t="s">
        <v>3462</v>
      </c>
      <c r="B712" s="30">
        <f>IFERROR(VLOOKUP(VENTAS[[#This Row],[Código del producto Vendido]],STOCK[],25,FALSE),"-")</f>
        <v>0</v>
      </c>
      <c r="C712" s="30"/>
      <c r="D712" s="30"/>
      <c r="E712" s="30" t="s">
        <v>73</v>
      </c>
      <c r="F712" s="34" t="str">
        <f>IFERROR(VLOOKUP(VENTAS[[#This Row],[Código del producto Vendido]],STOCK[],5,FALSE),"-")</f>
        <v>Bañador floral </v>
      </c>
      <c r="G712" s="34">
        <v>1</v>
      </c>
      <c r="H712" s="35">
        <v>25</v>
      </c>
      <c r="I712" s="35">
        <f>VENTAS[[#This Row],[Cantidad]]*VENTAS[[#This Row],[Precio Venta]]</f>
        <v>25</v>
      </c>
      <c r="J712" s="35">
        <f>IF(VENTAS[[#This Row],[Nombre del Gestor]]&gt;1,VENTAS[[#This Row],[Total]]*10%,0)</f>
        <v>0</v>
      </c>
      <c r="K712" s="35">
        <f>IFERROR(VLOOKUP(VENTAS[[#This Row],[Código del producto Vendido]],STOCK[],16,FALSE)*VENTAS[[#This Row],[Cantidad]]+VLOOKUP(VENTAS[[#This Row],[Código del producto Vendido]],STOCK[],19,FALSE)*VENTAS[[#This Row],[Cantidad]],VENTAS[[#This Row],[Total]])</f>
        <v>18.0538888888889</v>
      </c>
      <c r="L712" s="35">
        <f>VENTAS[[#This Row],[Total]]-VENTAS[[#This Row],[Comisión 10%]]-VENTAS[[#This Row],[Costo SIN Comision]]</f>
        <v>6.9461111111111</v>
      </c>
      <c r="M712" s="35"/>
    </row>
    <row r="713" ht="20" customHeight="1" spans="1:13">
      <c r="A713" s="29" t="s">
        <v>3462</v>
      </c>
      <c r="B713" s="30">
        <f>IFERROR(VLOOKUP(VENTAS[[#This Row],[Código del producto Vendido]],STOCK[],25,FALSE),"-")</f>
        <v>0</v>
      </c>
      <c r="C713" s="30"/>
      <c r="D713" s="30"/>
      <c r="E713" s="30" t="s">
        <v>808</v>
      </c>
      <c r="F713" s="34" t="str">
        <f>IFERROR(VLOOKUP(VENTAS[[#This Row],[Código del producto Vendido]],STOCK[],5,FALSE),"-")</f>
        <v>Bañador estampado en contraste</v>
      </c>
      <c r="G713" s="34">
        <v>1</v>
      </c>
      <c r="H713" s="35">
        <v>18</v>
      </c>
      <c r="I713" s="35">
        <f>VENTAS[[#This Row],[Cantidad]]*VENTAS[[#This Row],[Precio Venta]]</f>
        <v>18</v>
      </c>
      <c r="J713" s="35">
        <f>IF(VENTAS[[#This Row],[Nombre del Gestor]]&gt;1,VENTAS[[#This Row],[Total]]*10%,0)</f>
        <v>0</v>
      </c>
      <c r="K713" s="35">
        <f>IFERROR(VLOOKUP(VENTAS[[#This Row],[Código del producto Vendido]],STOCK[],16,FALSE)*VENTAS[[#This Row],[Cantidad]]+VLOOKUP(VENTAS[[#This Row],[Código del producto Vendido]],STOCK[],19,FALSE)*VENTAS[[#This Row],[Cantidad]],VENTAS[[#This Row],[Total]])</f>
        <v>7.83333333333333</v>
      </c>
      <c r="L713" s="35">
        <f>VENTAS[[#This Row],[Total]]-VENTAS[[#This Row],[Comisión 10%]]-VENTAS[[#This Row],[Costo SIN Comision]]</f>
        <v>10.1666666666667</v>
      </c>
      <c r="M713" s="35"/>
    </row>
    <row r="714" ht="20" customHeight="1" spans="1:13">
      <c r="A714" s="29" t="s">
        <v>3462</v>
      </c>
      <c r="B714" s="30">
        <f>IFERROR(VLOOKUP(VENTAS[[#This Row],[Código del producto Vendido]],STOCK[],25,FALSE),"-")</f>
        <v>0</v>
      </c>
      <c r="C714" s="30"/>
      <c r="D714" s="30"/>
      <c r="E714" s="30" t="s">
        <v>863</v>
      </c>
      <c r="F714" s="34" t="str">
        <f>IFERROR(VLOOKUP(VENTAS[[#This Row],[Código del producto Vendido]],STOCK[],5,FALSE),"-")</f>
        <v>Bikini rosa canalé</v>
      </c>
      <c r="G714" s="34">
        <v>1</v>
      </c>
      <c r="H714" s="35">
        <v>20</v>
      </c>
      <c r="I714" s="35">
        <f>VENTAS[[#This Row],[Cantidad]]*VENTAS[[#This Row],[Precio Venta]]</f>
        <v>20</v>
      </c>
      <c r="J714" s="35">
        <f>IF(VENTAS[[#This Row],[Nombre del Gestor]]&gt;1,VENTAS[[#This Row],[Total]]*10%,0)</f>
        <v>0</v>
      </c>
      <c r="K714" s="35">
        <f>IFERROR(VLOOKUP(VENTAS[[#This Row],[Código del producto Vendido]],STOCK[],16,FALSE)*VENTAS[[#This Row],[Cantidad]]+VLOOKUP(VENTAS[[#This Row],[Código del producto Vendido]],STOCK[],19,FALSE)*VENTAS[[#This Row],[Cantidad]],VENTAS[[#This Row],[Total]])</f>
        <v>13.4444444444444</v>
      </c>
      <c r="L714" s="35">
        <f>VENTAS[[#This Row],[Total]]-VENTAS[[#This Row],[Comisión 10%]]-VENTAS[[#This Row],[Costo SIN Comision]]</f>
        <v>6.5555555555556</v>
      </c>
      <c r="M714" s="35"/>
    </row>
    <row r="715" ht="20" customHeight="1" spans="1:13">
      <c r="A715" s="29" t="s">
        <v>3462</v>
      </c>
      <c r="B715" s="30">
        <f>IFERROR(VLOOKUP(VENTAS[[#This Row],[Código del producto Vendido]],STOCK[],25,FALSE),"-")</f>
        <v>0</v>
      </c>
      <c r="C715" s="30"/>
      <c r="D715" s="30"/>
      <c r="E715" s="30" t="s">
        <v>163</v>
      </c>
      <c r="F715" s="34" t="str">
        <f>IFERROR(VLOOKUP(VENTAS[[#This Row],[Código del producto Vendido]],STOCK[],5,FALSE),"-")</f>
        <v>Traje de baño niñitas malla protectora</v>
      </c>
      <c r="G715" s="34">
        <v>1</v>
      </c>
      <c r="H715" s="35">
        <v>20</v>
      </c>
      <c r="I715" s="35">
        <f>VENTAS[[#This Row],[Cantidad]]*VENTAS[[#This Row],[Precio Venta]]</f>
        <v>20</v>
      </c>
      <c r="J715" s="35">
        <f>IF(VENTAS[[#This Row],[Nombre del Gestor]]&gt;1,VENTAS[[#This Row],[Total]]*10%,0)</f>
        <v>0</v>
      </c>
      <c r="K715" s="35">
        <f>IFERROR(VLOOKUP(VENTAS[[#This Row],[Código del producto Vendido]],STOCK[],16,FALSE)*VENTAS[[#This Row],[Cantidad]]+VLOOKUP(VENTAS[[#This Row],[Código del producto Vendido]],STOCK[],19,FALSE)*VENTAS[[#This Row],[Cantidad]],VENTAS[[#This Row],[Total]])</f>
        <v>12.4422222222222</v>
      </c>
      <c r="L715" s="35">
        <f>VENTAS[[#This Row],[Total]]-VENTAS[[#This Row],[Comisión 10%]]-VENTAS[[#This Row],[Costo SIN Comision]]</f>
        <v>7.55777777777778</v>
      </c>
      <c r="M715" s="35"/>
    </row>
    <row r="716" ht="20" customHeight="1" spans="1:13">
      <c r="A716" s="29">
        <v>45330</v>
      </c>
      <c r="B716" s="30">
        <f>IFERROR(VLOOKUP(VENTAS[[#This Row],[Código del producto Vendido]],STOCK[],25,FALSE),"-")</f>
        <v>0</v>
      </c>
      <c r="C716" s="30"/>
      <c r="D716" s="30" t="s">
        <v>3465</v>
      </c>
      <c r="E716" s="30" t="s">
        <v>41</v>
      </c>
      <c r="F716" s="34" t="str">
        <f>IFERROR(VLOOKUP(VENTAS[[#This Row],[Código del producto Vendido]],STOCK[],5,FALSE),"-")</f>
        <v>Vestido camisero elegante</v>
      </c>
      <c r="G716" s="34">
        <v>1</v>
      </c>
      <c r="H716" s="35">
        <v>30</v>
      </c>
      <c r="I716" s="35">
        <f>VENTAS[[#This Row],[Cantidad]]*VENTAS[[#This Row],[Precio Venta]]</f>
        <v>30</v>
      </c>
      <c r="J716" s="35">
        <f>IF(VENTAS[[#This Row],[Nombre del Gestor]]&gt;1,VENTAS[[#This Row],[Total]]*10%,0)</f>
        <v>3</v>
      </c>
      <c r="K716" s="35">
        <f>IFERROR(VLOOKUP(VENTAS[[#This Row],[Código del producto Vendido]],STOCK[],16,FALSE)*VENTAS[[#This Row],[Cantidad]]+VLOOKUP(VENTAS[[#This Row],[Código del producto Vendido]],STOCK[],19,FALSE)*VENTAS[[#This Row],[Cantidad]],VENTAS[[#This Row],[Total]])</f>
        <v>19.0022222222222</v>
      </c>
      <c r="L716" s="35">
        <f>VENTAS[[#This Row],[Total]]-VENTAS[[#This Row],[Comisión 10%]]-VENTAS[[#This Row],[Costo SIN Comision]]</f>
        <v>7.9977777777778</v>
      </c>
      <c r="M716" s="35"/>
    </row>
    <row r="717" ht="20" customHeight="1" spans="1:13">
      <c r="A717" s="29">
        <v>45331</v>
      </c>
      <c r="B717" s="30">
        <f>IFERROR(VLOOKUP(VENTAS[[#This Row],[Código del producto Vendido]],STOCK[],25,FALSE),"-")</f>
        <v>0</v>
      </c>
      <c r="C717" s="30" t="s">
        <v>3466</v>
      </c>
      <c r="D717" s="30"/>
      <c r="E717" s="30" t="s">
        <v>1419</v>
      </c>
      <c r="F717" s="34" t="str">
        <f>IFERROR(VLOOKUP(VENTAS[[#This Row],[Código del producto Vendido]],STOCK[],5,FALSE),"-")</f>
        <v>Short de tela suave con cinturón</v>
      </c>
      <c r="G717" s="34">
        <v>1</v>
      </c>
      <c r="H717" s="35">
        <v>20</v>
      </c>
      <c r="I717" s="35">
        <f>VENTAS[[#This Row],[Cantidad]]*VENTAS[[#This Row],[Precio Venta]]</f>
        <v>20</v>
      </c>
      <c r="J717" s="35">
        <f>IF(VENTAS[[#This Row],[Nombre del Gestor]]&gt;1,VENTAS[[#This Row],[Total]]*10%,0)</f>
        <v>0</v>
      </c>
      <c r="K717" s="35">
        <f>IFERROR(VLOOKUP(VENTAS[[#This Row],[Código del producto Vendido]],STOCK[],16,FALSE)*VENTAS[[#This Row],[Cantidad]]+VLOOKUP(VENTAS[[#This Row],[Código del producto Vendido]],STOCK[],19,FALSE)*VENTAS[[#This Row],[Cantidad]],VENTAS[[#This Row],[Total]])</f>
        <v>12.99</v>
      </c>
      <c r="L717" s="35">
        <f>VENTAS[[#This Row],[Total]]-VENTAS[[#This Row],[Comisión 10%]]-VENTAS[[#This Row],[Costo SIN Comision]]</f>
        <v>7.01</v>
      </c>
      <c r="M717" s="35"/>
    </row>
    <row r="718" ht="20" customHeight="1" spans="1:13">
      <c r="A718" s="29">
        <v>45330</v>
      </c>
      <c r="B718" s="30" t="str">
        <f>IFERROR(VLOOKUP(VENTAS[[#This Row],[Código del producto Vendido]],STOCK[],25,FALSE),"-")</f>
        <v>Compra 9/12/2023</v>
      </c>
      <c r="C718" s="30"/>
      <c r="D718" s="30" t="s">
        <v>3465</v>
      </c>
      <c r="E718" s="30" t="s">
        <v>1629</v>
      </c>
      <c r="F718" s="34" t="str">
        <f>IFERROR(VLOOKUP(VENTAS[[#This Row],[Código del producto Vendido]],STOCK[],5,FALSE),"-")</f>
        <v>Vestidos Burdeos</v>
      </c>
      <c r="G718" s="34">
        <v>1</v>
      </c>
      <c r="H718" s="35">
        <v>25</v>
      </c>
      <c r="I718" s="35">
        <f>VENTAS[[#This Row],[Cantidad]]*VENTAS[[#This Row],[Precio Venta]]</f>
        <v>25</v>
      </c>
      <c r="J718" s="35">
        <f>IF(VENTAS[[#This Row],[Nombre del Gestor]]&gt;1,VENTAS[[#This Row],[Total]]*10%,0)</f>
        <v>2.5</v>
      </c>
      <c r="K718" s="35">
        <f>IFERROR(VLOOKUP(VENTAS[[#This Row],[Código del producto Vendido]],STOCK[],16,FALSE)*VENTAS[[#This Row],[Cantidad]]+VLOOKUP(VENTAS[[#This Row],[Código del producto Vendido]],STOCK[],19,FALSE)*VENTAS[[#This Row],[Cantidad]],VENTAS[[#This Row],[Total]])</f>
        <v>14.33</v>
      </c>
      <c r="L718" s="35">
        <f>VENTAS[[#This Row],[Total]]-VENTAS[[#This Row],[Comisión 10%]]-VENTAS[[#This Row],[Costo SIN Comision]]</f>
        <v>8.17</v>
      </c>
      <c r="M718" s="35"/>
    </row>
    <row r="719" ht="20" customHeight="1" spans="1:13">
      <c r="A719" s="29">
        <v>45324</v>
      </c>
      <c r="B719" s="30" t="str">
        <f>IFERROR(VLOOKUP(VENTAS[[#This Row],[Código del producto Vendido]],STOCK[],25,FALSE),"-")</f>
        <v>Compra 9/12/2023</v>
      </c>
      <c r="C719" s="30"/>
      <c r="D719" s="30" t="s">
        <v>3459</v>
      </c>
      <c r="E719" s="30" t="s">
        <v>1647</v>
      </c>
      <c r="F719" s="34" t="str">
        <f>IFERROR(VLOOKUP(VENTAS[[#This Row],[Código del producto Vendido]],STOCK[],5,FALSE),"-")</f>
        <v>Mono palazzo</v>
      </c>
      <c r="G719" s="34">
        <v>1</v>
      </c>
      <c r="H719" s="35">
        <v>30</v>
      </c>
      <c r="I719" s="35">
        <f>VENTAS[[#This Row],[Cantidad]]*VENTAS[[#This Row],[Precio Venta]]</f>
        <v>30</v>
      </c>
      <c r="J719" s="35">
        <f>IF(VENTAS[[#This Row],[Nombre del Gestor]]&gt;1,VENTAS[[#This Row],[Total]]*10%,0)</f>
        <v>3</v>
      </c>
      <c r="K719" s="35">
        <f>IFERROR(VLOOKUP(VENTAS[[#This Row],[Código del producto Vendido]],STOCK[],16,FALSE)*VENTAS[[#This Row],[Cantidad]]+VLOOKUP(VENTAS[[#This Row],[Código del producto Vendido]],STOCK[],19,FALSE)*VENTAS[[#This Row],[Cantidad]],VENTAS[[#This Row],[Total]])</f>
        <v>17.87</v>
      </c>
      <c r="L719" s="35">
        <f>VENTAS[[#This Row],[Total]]-VENTAS[[#This Row],[Comisión 10%]]-VENTAS[[#This Row],[Costo SIN Comision]]</f>
        <v>9.13</v>
      </c>
      <c r="M719" s="35"/>
    </row>
    <row r="720" ht="20" customHeight="1" spans="1:13">
      <c r="A720" s="29">
        <v>45330</v>
      </c>
      <c r="B720" s="30">
        <f>IFERROR(VLOOKUP(VENTAS[[#This Row],[Código del producto Vendido]],STOCK[],25,FALSE),"-")</f>
        <v>0</v>
      </c>
      <c r="C720" s="30"/>
      <c r="D720" s="30" t="s">
        <v>3465</v>
      </c>
      <c r="E720" s="30" t="s">
        <v>1684</v>
      </c>
      <c r="F720" s="34" t="str">
        <f>IFERROR(VLOOKUP(VENTAS[[#This Row],[Código del producto Vendido]],STOCK[],5,FALSE),"-")</f>
        <v>Mono con cinturón</v>
      </c>
      <c r="G720" s="34">
        <v>1</v>
      </c>
      <c r="H720" s="35">
        <v>30</v>
      </c>
      <c r="I720" s="35">
        <f>VENTAS[[#This Row],[Cantidad]]*VENTAS[[#This Row],[Precio Venta]]</f>
        <v>30</v>
      </c>
      <c r="J720" s="35">
        <f>IF(VENTAS[[#This Row],[Nombre del Gestor]]&gt;1,VENTAS[[#This Row],[Total]]*10%,0)</f>
        <v>3</v>
      </c>
      <c r="K720" s="35">
        <f>IFERROR(VLOOKUP(VENTAS[[#This Row],[Código del producto Vendido]],STOCK[],16,FALSE)*VENTAS[[#This Row],[Cantidad]]+VLOOKUP(VENTAS[[#This Row],[Código del producto Vendido]],STOCK[],19,FALSE)*VENTAS[[#This Row],[Cantidad]],VENTAS[[#This Row],[Total]])</f>
        <v>17.8</v>
      </c>
      <c r="L720" s="35">
        <f>VENTAS[[#This Row],[Total]]-VENTAS[[#This Row],[Comisión 10%]]-VENTAS[[#This Row],[Costo SIN Comision]]</f>
        <v>9.2</v>
      </c>
      <c r="M720" s="35"/>
    </row>
    <row r="721" ht="20" customHeight="1" spans="1:13">
      <c r="A721" s="29">
        <v>45324</v>
      </c>
      <c r="B721" s="30" t="str">
        <f>IFERROR(VLOOKUP(VENTAS[[#This Row],[Código del producto Vendido]],STOCK[],25,FALSE),"-")</f>
        <v>Viaje Agosto</v>
      </c>
      <c r="C721" s="30"/>
      <c r="D721" s="30" t="s">
        <v>3430</v>
      </c>
      <c r="E721" s="30" t="s">
        <v>1267</v>
      </c>
      <c r="F721" s="34" t="str">
        <f>IFERROR(VLOOKUP(VENTAS[[#This Row],[Código del producto Vendido]],STOCK[],5,FALSE),"-")</f>
        <v>Top corto asimétrico </v>
      </c>
      <c r="G721" s="34">
        <v>1</v>
      </c>
      <c r="H721" s="35">
        <v>10</v>
      </c>
      <c r="I721" s="35">
        <f>VENTAS[[#This Row],[Cantidad]]*VENTAS[[#This Row],[Precio Venta]]</f>
        <v>10</v>
      </c>
      <c r="J721" s="35">
        <f>IF(VENTAS[[#This Row],[Nombre del Gestor]]&gt;1,VENTAS[[#This Row],[Total]]*10%,0)</f>
        <v>1</v>
      </c>
      <c r="K721" s="35">
        <f>IFERROR(VLOOKUP(VENTAS[[#This Row],[Código del producto Vendido]],STOCK[],16,FALSE)*VENTAS[[#This Row],[Cantidad]]+VLOOKUP(VENTAS[[#This Row],[Código del producto Vendido]],STOCK[],19,FALSE)*VENTAS[[#This Row],[Cantidad]],VENTAS[[#This Row],[Total]])</f>
        <v>5.77</v>
      </c>
      <c r="L721" s="35">
        <f>VENTAS[[#This Row],[Total]]-VENTAS[[#This Row],[Comisión 10%]]-VENTAS[[#This Row],[Costo SIN Comision]]</f>
        <v>3.23</v>
      </c>
      <c r="M721" s="35"/>
    </row>
    <row r="722" ht="20" customHeight="1" spans="1:13">
      <c r="A722" s="29">
        <v>45331</v>
      </c>
      <c r="B722" s="30" t="str">
        <f>IFERROR(VLOOKUP(VENTAS[[#This Row],[Código del producto Vendido]],STOCK[],25,FALSE),"-")</f>
        <v>Compra 9/12/2023</v>
      </c>
      <c r="C722" s="30" t="s">
        <v>3466</v>
      </c>
      <c r="D722" s="30"/>
      <c r="E722" s="30" t="s">
        <v>1631</v>
      </c>
      <c r="F722" s="34" t="str">
        <f>IFERROR(VLOOKUP(VENTAS[[#This Row],[Código del producto Vendido]],STOCK[],5,FALSE),"-")</f>
        <v>Vestido Privé </v>
      </c>
      <c r="G722" s="34">
        <v>1</v>
      </c>
      <c r="H722" s="35">
        <v>25</v>
      </c>
      <c r="I722" s="35">
        <f>VENTAS[[#This Row],[Cantidad]]*VENTAS[[#This Row],[Precio Venta]]</f>
        <v>25</v>
      </c>
      <c r="J722" s="35">
        <f>IF(VENTAS[[#This Row],[Nombre del Gestor]]&gt;1,VENTAS[[#This Row],[Total]]*10%,0)</f>
        <v>0</v>
      </c>
      <c r="K722" s="35">
        <f>IFERROR(VLOOKUP(VENTAS[[#This Row],[Código del producto Vendido]],STOCK[],16,FALSE)*VENTAS[[#This Row],[Cantidad]]+VLOOKUP(VENTAS[[#This Row],[Código del producto Vendido]],STOCK[],19,FALSE)*VENTAS[[#This Row],[Cantidad]],VENTAS[[#This Row],[Total]])</f>
        <v>11.1</v>
      </c>
      <c r="L722" s="35">
        <f>VENTAS[[#This Row],[Total]]-VENTAS[[#This Row],[Comisión 10%]]-VENTAS[[#This Row],[Costo SIN Comision]]</f>
        <v>13.9</v>
      </c>
      <c r="M722" s="35"/>
    </row>
    <row r="723" ht="20" customHeight="1" spans="1:13">
      <c r="A723" s="29">
        <v>45332</v>
      </c>
      <c r="B723" s="30" t="str">
        <f>IFERROR(VLOOKUP(VENTAS[[#This Row],[Código del producto Vendido]],STOCK[],25,FALSE),"-")</f>
        <v>-</v>
      </c>
      <c r="C723" s="30"/>
      <c r="D723" s="30"/>
      <c r="E723" s="30"/>
      <c r="F723" s="34" t="str">
        <f>IFERROR(VLOOKUP(VENTAS[[#This Row],[Código del producto Vendido]],STOCK[],5,FALSE),"-")</f>
        <v>-</v>
      </c>
      <c r="G723" s="34">
        <v>1</v>
      </c>
      <c r="H723" s="35">
        <v>28</v>
      </c>
      <c r="I723" s="35">
        <f>VENTAS[[#This Row],[Cantidad]]*VENTAS[[#This Row],[Precio Venta]]</f>
        <v>28</v>
      </c>
      <c r="J723" s="35">
        <f>IF(VENTAS[[#This Row],[Nombre del Gestor]]&gt;1,VENTAS[[#This Row],[Total]]*10%,0)</f>
        <v>0</v>
      </c>
      <c r="K723" s="35">
        <f>IFERROR(VLOOKUP(VENTAS[[#This Row],[Código del producto Vendido]],STOCK[],16,FALSE)*VENTAS[[#This Row],[Cantidad]]+VLOOKUP(VENTAS[[#This Row],[Código del producto Vendido]],STOCK[],19,FALSE)*VENTAS[[#This Row],[Cantidad]],VENTAS[[#This Row],[Total]])</f>
        <v>28</v>
      </c>
      <c r="L723" s="35">
        <f>VENTAS[[#This Row],[Total]]-VENTAS[[#This Row],[Comisión 10%]]-VENTAS[[#This Row],[Costo SIN Comision]]</f>
        <v>0</v>
      </c>
      <c r="M723" s="35"/>
    </row>
    <row r="724" ht="20" customHeight="1" spans="1:13">
      <c r="A724" s="29">
        <v>45333</v>
      </c>
      <c r="B724" s="30" t="str">
        <f>IFERROR(VLOOKUP(VENTAS[[#This Row],[Código del producto Vendido]],STOCK[],25,FALSE),"-")</f>
        <v>Compra 9/12/2023</v>
      </c>
      <c r="C724" s="30" t="s">
        <v>3467</v>
      </c>
      <c r="D724" s="30"/>
      <c r="E724" s="30" t="s">
        <v>1620</v>
      </c>
      <c r="F724" s="34" t="str">
        <f>IFERROR(VLOOKUP(VENTAS[[#This Row],[Código del producto Vendido]],STOCK[],5,FALSE),"-")</f>
        <v>Vestido Becka</v>
      </c>
      <c r="G724" s="34">
        <v>1</v>
      </c>
      <c r="H724" s="35">
        <v>25</v>
      </c>
      <c r="I724" s="35">
        <f>VENTAS[[#This Row],[Cantidad]]*VENTAS[[#This Row],[Precio Venta]]</f>
        <v>25</v>
      </c>
      <c r="J724" s="35">
        <f>IF(VENTAS[[#This Row],[Nombre del Gestor]]&gt;1,VENTAS[[#This Row],[Total]]*10%,0)</f>
        <v>0</v>
      </c>
      <c r="K724" s="35">
        <f>IFERROR(VLOOKUP(VENTAS[[#This Row],[Código del producto Vendido]],STOCK[],16,FALSE)*VENTAS[[#This Row],[Cantidad]]+VLOOKUP(VENTAS[[#This Row],[Código del producto Vendido]],STOCK[],19,FALSE)*VENTAS[[#This Row],[Cantidad]],VENTAS[[#This Row],[Total]])</f>
        <v>12.4</v>
      </c>
      <c r="L724" s="35">
        <f>VENTAS[[#This Row],[Total]]-VENTAS[[#This Row],[Comisión 10%]]-VENTAS[[#This Row],[Costo SIN Comision]]</f>
        <v>12.6</v>
      </c>
      <c r="M724" s="35"/>
    </row>
    <row r="725" ht="20" customHeight="1" spans="1:13">
      <c r="A725" s="29">
        <v>45333</v>
      </c>
      <c r="B725" s="30" t="str">
        <f>IFERROR(VLOOKUP(VENTAS[[#This Row],[Código del producto Vendido]],STOCK[],25,FALSE),"-")</f>
        <v>Compra 9/12/2023</v>
      </c>
      <c r="C725" s="30"/>
      <c r="D725" s="30"/>
      <c r="E725" s="30" t="s">
        <v>1622</v>
      </c>
      <c r="F725" s="34" t="str">
        <f>IFERROR(VLOOKUP(VENTAS[[#This Row],[Código del producto Vendido]],STOCK[],5,FALSE),"-")</f>
        <v>Vestido Tarsha</v>
      </c>
      <c r="G725" s="34">
        <v>1</v>
      </c>
      <c r="H725" s="35">
        <v>27</v>
      </c>
      <c r="I725" s="35">
        <f>VENTAS[[#This Row],[Cantidad]]*VENTAS[[#This Row],[Precio Venta]]</f>
        <v>27</v>
      </c>
      <c r="J725" s="35">
        <f>IF(VENTAS[[#This Row],[Nombre del Gestor]]&gt;1,VENTAS[[#This Row],[Total]]*10%,0)</f>
        <v>0</v>
      </c>
      <c r="K725" s="35">
        <f>IFERROR(VLOOKUP(VENTAS[[#This Row],[Código del producto Vendido]],STOCK[],16,FALSE)*VENTAS[[#This Row],[Cantidad]]+VLOOKUP(VENTAS[[#This Row],[Código del producto Vendido]],STOCK[],19,FALSE)*VENTAS[[#This Row],[Cantidad]],VENTAS[[#This Row],[Total]])</f>
        <v>13.97</v>
      </c>
      <c r="L725" s="35">
        <f>VENTAS[[#This Row],[Total]]-VENTAS[[#This Row],[Comisión 10%]]-VENTAS[[#This Row],[Costo SIN Comision]]</f>
        <v>13.03</v>
      </c>
      <c r="M725" s="35"/>
    </row>
    <row r="726" ht="20" customHeight="1" spans="1:13">
      <c r="A726" s="29">
        <v>45324</v>
      </c>
      <c r="B726" s="30">
        <f>IFERROR(VLOOKUP(VENTAS[[#This Row],[Código del producto Vendido]],STOCK[],25,FALSE),"-")</f>
        <v>0</v>
      </c>
      <c r="C726" s="30"/>
      <c r="D726" s="30" t="s">
        <v>3465</v>
      </c>
      <c r="E726" s="30" t="s">
        <v>1291</v>
      </c>
      <c r="F726" s="34" t="str">
        <f>IFERROR(VLOOKUP(VENTAS[[#This Row],[Código del producto Vendido]],STOCK[],5,FALSE),"-")</f>
        <v>Jean skinny oscuro </v>
      </c>
      <c r="G726" s="34">
        <v>1</v>
      </c>
      <c r="H726" s="35">
        <v>30</v>
      </c>
      <c r="I726" s="35">
        <f>VENTAS[[#This Row],[Cantidad]]*VENTAS[[#This Row],[Precio Venta]]</f>
        <v>30</v>
      </c>
      <c r="J726" s="35">
        <f>IF(VENTAS[[#This Row],[Nombre del Gestor]]&gt;1,VENTAS[[#This Row],[Total]]*10%,0)</f>
        <v>3</v>
      </c>
      <c r="K726" s="35">
        <f>IFERROR(VLOOKUP(VENTAS[[#This Row],[Código del producto Vendido]],STOCK[],16,FALSE)*VENTAS[[#This Row],[Cantidad]]+VLOOKUP(VENTAS[[#This Row],[Código del producto Vendido]],STOCK[],19,FALSE)*VENTAS[[#This Row],[Cantidad]],VENTAS[[#This Row],[Total]])</f>
        <v>20.79</v>
      </c>
      <c r="L726" s="35">
        <f>VENTAS[[#This Row],[Total]]-VENTAS[[#This Row],[Comisión 10%]]-VENTAS[[#This Row],[Costo SIN Comision]]</f>
        <v>6.21</v>
      </c>
      <c r="M726" s="35"/>
    </row>
    <row r="727" ht="20" customHeight="1" spans="1:13">
      <c r="A727" s="29">
        <v>45324</v>
      </c>
      <c r="B727" s="30" t="str">
        <f>IFERROR(VLOOKUP(VENTAS[[#This Row],[Código del producto Vendido]],STOCK[],25,FALSE),"-")</f>
        <v>Compra 9/12/2023</v>
      </c>
      <c r="C727" s="30"/>
      <c r="D727" s="30" t="s">
        <v>3457</v>
      </c>
      <c r="E727" s="30" t="s">
        <v>1610</v>
      </c>
      <c r="F727" s="34" t="str">
        <f>IFERROR(VLOOKUP(VENTAS[[#This Row],[Código del producto Vendido]],STOCK[],5,FALSE),"-")</f>
        <v>Camisa Modely</v>
      </c>
      <c r="G727" s="34">
        <v>1</v>
      </c>
      <c r="H727" s="35">
        <v>22</v>
      </c>
      <c r="I727" s="35">
        <f>VENTAS[[#This Row],[Cantidad]]*VENTAS[[#This Row],[Precio Venta]]</f>
        <v>22</v>
      </c>
      <c r="J727" s="35">
        <f>IF(VENTAS[[#This Row],[Nombre del Gestor]]&gt;1,VENTAS[[#This Row],[Total]]*10%,0)</f>
        <v>2.2</v>
      </c>
      <c r="K727" s="35">
        <f>IFERROR(VLOOKUP(VENTAS[[#This Row],[Código del producto Vendido]],STOCK[],16,FALSE)*VENTAS[[#This Row],[Cantidad]]+VLOOKUP(VENTAS[[#This Row],[Código del producto Vendido]],STOCK[],19,FALSE)*VENTAS[[#This Row],[Cantidad]],VENTAS[[#This Row],[Total]])</f>
        <v>9.74</v>
      </c>
      <c r="L727" s="35">
        <f>VENTAS[[#This Row],[Total]]-VENTAS[[#This Row],[Comisión 10%]]-VENTAS[[#This Row],[Costo SIN Comision]]</f>
        <v>10.06</v>
      </c>
      <c r="M727" s="35"/>
    </row>
    <row r="728" ht="20" customHeight="1" spans="1:13">
      <c r="A728" s="29">
        <v>45330</v>
      </c>
      <c r="B728" s="30" t="str">
        <f>IFERROR(VLOOKUP(VENTAS[[#This Row],[Código del producto Vendido]],STOCK[],25,FALSE),"-")</f>
        <v>Compra 9/12/2023</v>
      </c>
      <c r="C728" s="30" t="s">
        <v>3468</v>
      </c>
      <c r="D728" s="30"/>
      <c r="E728" s="30" t="s">
        <v>1659</v>
      </c>
      <c r="F728" s="34" t="str">
        <f>IFERROR(VLOOKUP(VENTAS[[#This Row],[Código del producto Vendido]],STOCK[],5,FALSE),"-")</f>
        <v>Suéter cuello de Cisne</v>
      </c>
      <c r="G728" s="34">
        <v>1</v>
      </c>
      <c r="H728" s="35">
        <v>15</v>
      </c>
      <c r="I728" s="35">
        <f>VENTAS[[#This Row],[Cantidad]]*VENTAS[[#This Row],[Precio Venta]]</f>
        <v>15</v>
      </c>
      <c r="J728" s="35">
        <f>IF(VENTAS[[#This Row],[Nombre del Gestor]]&gt;1,VENTAS[[#This Row],[Total]]*10%,0)</f>
        <v>0</v>
      </c>
      <c r="K728" s="35">
        <f>IFERROR(VLOOKUP(VENTAS[[#This Row],[Código del producto Vendido]],STOCK[],16,FALSE)*VENTAS[[#This Row],[Cantidad]]+VLOOKUP(VENTAS[[#This Row],[Código del producto Vendido]],STOCK[],19,FALSE)*VENTAS[[#This Row],[Cantidad]],VENTAS[[#This Row],[Total]])</f>
        <v>5.78</v>
      </c>
      <c r="L728" s="35">
        <f>VENTAS[[#This Row],[Total]]-VENTAS[[#This Row],[Comisión 10%]]-VENTAS[[#This Row],[Costo SIN Comision]]</f>
        <v>9.22</v>
      </c>
      <c r="M728" s="35"/>
    </row>
    <row r="729" ht="20" customHeight="1" spans="1:13">
      <c r="A729" s="29">
        <v>45330</v>
      </c>
      <c r="B729" s="30" t="str">
        <f>IFERROR(VLOOKUP(VENTAS[[#This Row],[Código del producto Vendido]],STOCK[],25,FALSE),"-")</f>
        <v>Compra 9/12/2023</v>
      </c>
      <c r="C729" s="30" t="s">
        <v>3468</v>
      </c>
      <c r="D729" s="30"/>
      <c r="E729" s="30" t="s">
        <v>1662</v>
      </c>
      <c r="F729" s="34" t="str">
        <f>IFERROR(VLOOKUP(VENTAS[[#This Row],[Código del producto Vendido]],STOCK[],5,FALSE),"-")</f>
        <v>Top Healter negro</v>
      </c>
      <c r="G729" s="34">
        <v>1</v>
      </c>
      <c r="H729" s="35">
        <v>12</v>
      </c>
      <c r="I729" s="35">
        <f>VENTAS[[#This Row],[Cantidad]]*VENTAS[[#This Row],[Precio Venta]]</f>
        <v>12</v>
      </c>
      <c r="J729" s="35">
        <f>IF(VENTAS[[#This Row],[Nombre del Gestor]]&gt;1,VENTAS[[#This Row],[Total]]*10%,0)</f>
        <v>0</v>
      </c>
      <c r="K729" s="35">
        <f>IFERROR(VLOOKUP(VENTAS[[#This Row],[Código del producto Vendido]],STOCK[],16,FALSE)*VENTAS[[#This Row],[Cantidad]]+VLOOKUP(VENTAS[[#This Row],[Código del producto Vendido]],STOCK[],19,FALSE)*VENTAS[[#This Row],[Cantidad]],VENTAS[[#This Row],[Total]])</f>
        <v>6.37</v>
      </c>
      <c r="L729" s="35">
        <f>VENTAS[[#This Row],[Total]]-VENTAS[[#This Row],[Comisión 10%]]-VENTAS[[#This Row],[Costo SIN Comision]]</f>
        <v>5.63</v>
      </c>
      <c r="M729" s="35"/>
    </row>
    <row r="730" ht="20" customHeight="1" spans="1:13">
      <c r="A730" s="29"/>
      <c r="B730" s="30" t="str">
        <f>IFERROR(VLOOKUP(VENTAS[[#This Row],[Código del producto Vendido]],STOCK[],25,FALSE),"-")</f>
        <v>Compra 9/12/2023</v>
      </c>
      <c r="C730" s="30" t="s">
        <v>3466</v>
      </c>
      <c r="D730" s="30"/>
      <c r="E730" s="30" t="s">
        <v>1660</v>
      </c>
      <c r="F730" s="34" t="str">
        <f>IFERROR(VLOOKUP(VENTAS[[#This Row],[Código del producto Vendido]],STOCK[],5,FALSE),"-")</f>
        <v>Top healter negro</v>
      </c>
      <c r="G730" s="34">
        <v>1</v>
      </c>
      <c r="H730" s="35">
        <v>12</v>
      </c>
      <c r="I730" s="35">
        <f>VENTAS[[#This Row],[Cantidad]]*VENTAS[[#This Row],[Precio Venta]]</f>
        <v>12</v>
      </c>
      <c r="J730" s="35">
        <f>IF(VENTAS[[#This Row],[Nombre del Gestor]]&gt;1,VENTAS[[#This Row],[Total]]*10%,0)</f>
        <v>0</v>
      </c>
      <c r="K730" s="35">
        <f>IFERROR(VLOOKUP(VENTAS[[#This Row],[Código del producto Vendido]],STOCK[],16,FALSE)*VENTAS[[#This Row],[Cantidad]]+VLOOKUP(VENTAS[[#This Row],[Código del producto Vendido]],STOCK[],19,FALSE)*VENTAS[[#This Row],[Cantidad]],VENTAS[[#This Row],[Total]])</f>
        <v>6.37</v>
      </c>
      <c r="L730" s="35">
        <f>VENTAS[[#This Row],[Total]]-VENTAS[[#This Row],[Comisión 10%]]-VENTAS[[#This Row],[Costo SIN Comision]]</f>
        <v>5.63</v>
      </c>
      <c r="M730" s="35"/>
    </row>
    <row r="731" ht="20" customHeight="1" spans="1:13">
      <c r="A731" s="29">
        <v>45324</v>
      </c>
      <c r="B731" s="30" t="str">
        <f>IFERROR(VLOOKUP(VENTAS[[#This Row],[Código del producto Vendido]],STOCK[],25,FALSE),"-")</f>
        <v>Compra 9/12/2023</v>
      </c>
      <c r="C731" s="30"/>
      <c r="D731" s="30"/>
      <c r="E731" s="30" t="s">
        <v>1682</v>
      </c>
      <c r="F731" s="34" t="str">
        <f>IFERROR(VLOOKUP(VENTAS[[#This Row],[Código del producto Vendido]],STOCK[],5,FALSE),"-")</f>
        <v>Vestido de mangas en contraste</v>
      </c>
      <c r="G731" s="34">
        <v>1</v>
      </c>
      <c r="H731" s="35">
        <v>28</v>
      </c>
      <c r="I731" s="35">
        <f>VENTAS[[#This Row],[Cantidad]]*VENTAS[[#This Row],[Precio Venta]]</f>
        <v>28</v>
      </c>
      <c r="J731" s="35">
        <f>IF(VENTAS[[#This Row],[Nombre del Gestor]]&gt;1,VENTAS[[#This Row],[Total]]*10%,0)</f>
        <v>0</v>
      </c>
      <c r="K731" s="35">
        <f>IFERROR(VLOOKUP(VENTAS[[#This Row],[Código del producto Vendido]],STOCK[],16,FALSE)*VENTAS[[#This Row],[Cantidad]]+VLOOKUP(VENTAS[[#This Row],[Código del producto Vendido]],STOCK[],19,FALSE)*VENTAS[[#This Row],[Cantidad]],VENTAS[[#This Row],[Total]])</f>
        <v>17.25</v>
      </c>
      <c r="L731" s="35">
        <f>VENTAS[[#This Row],[Total]]-VENTAS[[#This Row],[Comisión 10%]]-VENTAS[[#This Row],[Costo SIN Comision]]</f>
        <v>10.75</v>
      </c>
      <c r="M731" s="35"/>
    </row>
    <row r="732" ht="20" customHeight="1" spans="1:13">
      <c r="A732" s="29" t="s">
        <v>3462</v>
      </c>
      <c r="B732" s="30">
        <f>IFERROR(VLOOKUP(VENTAS[[#This Row],[Código del producto Vendido]],STOCK[],25,FALSE),"-")</f>
        <v>0</v>
      </c>
      <c r="C732" s="30"/>
      <c r="D732" s="30"/>
      <c r="E732" s="30" t="s">
        <v>1692</v>
      </c>
      <c r="F732" s="34" t="str">
        <f>IFERROR(VLOOKUP(VENTAS[[#This Row],[Código del producto Vendido]],STOCK[],5,FALSE),"-")</f>
        <v>Chaleco corto de traje cuadros</v>
      </c>
      <c r="G732" s="34">
        <v>1</v>
      </c>
      <c r="H732" s="35">
        <v>36</v>
      </c>
      <c r="I732" s="35">
        <f>VENTAS[[#This Row],[Cantidad]]*VENTAS[[#This Row],[Precio Venta]]</f>
        <v>36</v>
      </c>
      <c r="J732" s="35">
        <f>IF(VENTAS[[#This Row],[Nombre del Gestor]]&gt;1,VENTAS[[#This Row],[Total]]*10%,0)</f>
        <v>0</v>
      </c>
      <c r="K732" s="35">
        <f>IFERROR(VLOOKUP(VENTAS[[#This Row],[Código del producto Vendido]],STOCK[],16,FALSE)*VENTAS[[#This Row],[Cantidad]]+VLOOKUP(VENTAS[[#This Row],[Código del producto Vendido]],STOCK[],19,FALSE)*VENTAS[[#This Row],[Cantidad]],VENTAS[[#This Row],[Total]])</f>
        <v>24</v>
      </c>
      <c r="L732" s="35">
        <f>VENTAS[[#This Row],[Total]]-VENTAS[[#This Row],[Comisión 10%]]-VENTAS[[#This Row],[Costo SIN Comision]]</f>
        <v>12</v>
      </c>
      <c r="M732" s="35"/>
    </row>
    <row r="733" ht="20" customHeight="1" spans="1:13">
      <c r="A733" s="29"/>
      <c r="B733" s="30" t="str">
        <f>IFERROR(VLOOKUP(VENTAS[[#This Row],[Código del producto Vendido]],STOCK[],25,FALSE),"-")</f>
        <v>Compra Shein22012024</v>
      </c>
      <c r="C733" s="30" t="s">
        <v>3469</v>
      </c>
      <c r="D733" s="30"/>
      <c r="E733" s="30" t="s">
        <v>1735</v>
      </c>
      <c r="F733" s="34" t="str">
        <f>IFERROR(VLOOKUP(VENTAS[[#This Row],[Código del producto Vendido]],STOCK[],5,FALSE),"-")</f>
        <v>Chaleco de traje Negro</v>
      </c>
      <c r="G733" s="34">
        <v>1</v>
      </c>
      <c r="H733" s="35">
        <v>25</v>
      </c>
      <c r="I733" s="35">
        <f>VENTAS[[#This Row],[Cantidad]]*VENTAS[[#This Row],[Precio Venta]]</f>
        <v>25</v>
      </c>
      <c r="J733" s="35">
        <f>IF(VENTAS[[#This Row],[Nombre del Gestor]]&gt;1,VENTAS[[#This Row],[Total]]*10%,0)</f>
        <v>0</v>
      </c>
      <c r="K733" s="35">
        <f>IFERROR(VLOOKUP(VENTAS[[#This Row],[Código del producto Vendido]],STOCK[],16,FALSE)*VENTAS[[#This Row],[Cantidad]]+VLOOKUP(VENTAS[[#This Row],[Código del producto Vendido]],STOCK[],19,FALSE)*VENTAS[[#This Row],[Cantidad]],VENTAS[[#This Row],[Total]])</f>
        <v>17.9411764705882</v>
      </c>
      <c r="L733" s="35">
        <f>VENTAS[[#This Row],[Total]]-VENTAS[[#This Row],[Comisión 10%]]-VENTAS[[#This Row],[Costo SIN Comision]]</f>
        <v>7.0588235294118</v>
      </c>
      <c r="M733" s="35"/>
    </row>
    <row r="734" ht="20" customHeight="1" spans="1:13">
      <c r="A734" s="29">
        <v>45335</v>
      </c>
      <c r="B734" s="30"/>
      <c r="C734" s="30" t="s">
        <v>3318</v>
      </c>
      <c r="D734" s="30"/>
      <c r="E734" s="30" t="s">
        <v>1760</v>
      </c>
      <c r="F734" s="34" t="str">
        <f>IFERROR(VLOOKUP(VENTAS[[#This Row],[Código del producto Vendido]],STOCK[],5,FALSE),"-")</f>
        <v>Zapatillas blanco casual</v>
      </c>
      <c r="G734" s="34">
        <v>1</v>
      </c>
      <c r="H734" s="35">
        <v>39</v>
      </c>
      <c r="I734" s="35">
        <f>VENTAS[[#This Row],[Cantidad]]*VENTAS[[#This Row],[Precio Venta]]</f>
        <v>39</v>
      </c>
      <c r="J734" s="35">
        <f>IF(VENTAS[[#This Row],[Nombre del Gestor]]&gt;1,VENTAS[[#This Row],[Total]]*10%,0)</f>
        <v>0</v>
      </c>
      <c r="K734" s="35">
        <f>IFERROR(VLOOKUP(VENTAS[[#This Row],[Código del producto Vendido]],STOCK[],16,FALSE)*VENTAS[[#This Row],[Cantidad]]+VLOOKUP(VENTAS[[#This Row],[Código del producto Vendido]],STOCK[],19,FALSE)*VENTAS[[#This Row],[Cantidad]],VENTAS[[#This Row],[Total]])</f>
        <v>25.4705882352941</v>
      </c>
      <c r="L734" s="35">
        <f>VENTAS[[#This Row],[Total]]-VENTAS[[#This Row],[Comisión 10%]]-VENTAS[[#This Row],[Costo SIN Comision]]</f>
        <v>13.5294117647059</v>
      </c>
      <c r="M734" s="35"/>
    </row>
    <row r="735" ht="20" customHeight="1" spans="1:13">
      <c r="A735" s="29"/>
      <c r="B735" s="30"/>
      <c r="C735" s="30"/>
      <c r="D735" s="30"/>
      <c r="E735" s="30" t="s">
        <v>1805</v>
      </c>
      <c r="F735" s="34" t="str">
        <f>IFERROR(VLOOKUP(VENTAS[[#This Row],[Código del producto Vendido]],STOCK[],5,FALSE),"-")</f>
        <v>Pasador de cabello en forma de lazo</v>
      </c>
      <c r="G735" s="34">
        <v>1</v>
      </c>
      <c r="H735" s="35">
        <v>2.5</v>
      </c>
      <c r="I735" s="35">
        <f>VENTAS[[#This Row],[Cantidad]]*VENTAS[[#This Row],[Precio Venta]]</f>
        <v>2.5</v>
      </c>
      <c r="J735" s="35">
        <f>IF(VENTAS[[#This Row],[Nombre del Gestor]]&gt;1,VENTAS[[#This Row],[Total]]*10%,0)</f>
        <v>0</v>
      </c>
      <c r="K735" s="35">
        <f>IFERROR(VLOOKUP(VENTAS[[#This Row],[Código del producto Vendido]],STOCK[],16,FALSE)*VENTAS[[#This Row],[Cantidad]]+VLOOKUP(VENTAS[[#This Row],[Código del producto Vendido]],STOCK[],19,FALSE)*VENTAS[[#This Row],[Cantidad]],VENTAS[[#This Row],[Total]])</f>
        <v>1.73529411764706</v>
      </c>
      <c r="L735" s="35">
        <f>VENTAS[[#This Row],[Total]]-VENTAS[[#This Row],[Comisión 10%]]-VENTAS[[#This Row],[Costo SIN Comision]]</f>
        <v>0.76470588235294</v>
      </c>
      <c r="M735" s="35"/>
    </row>
    <row r="736" ht="20" customHeight="1" spans="1:13">
      <c r="A736" s="29">
        <v>45327</v>
      </c>
      <c r="B736" s="30"/>
      <c r="C736" s="30" t="s">
        <v>3466</v>
      </c>
      <c r="D736" s="30"/>
      <c r="E736" s="30" t="s">
        <v>353</v>
      </c>
      <c r="F736" s="34" t="str">
        <f>IFERROR(VLOOKUP(VENTAS[[#This Row],[Código del producto Vendido]],STOCK[],5,FALSE),"-")</f>
        <v>Vestido de espalda cruzada</v>
      </c>
      <c r="G736" s="34">
        <v>1</v>
      </c>
      <c r="H736" s="35">
        <v>20</v>
      </c>
      <c r="I736" s="35">
        <f>VENTAS[[#This Row],[Cantidad]]*VENTAS[[#This Row],[Precio Venta]]</f>
        <v>20</v>
      </c>
      <c r="J736" s="35">
        <f>IF(VENTAS[[#This Row],[Nombre del Gestor]]&gt;1,VENTAS[[#This Row],[Total]]*10%,0)</f>
        <v>0</v>
      </c>
      <c r="K736" s="35">
        <f>IFERROR(VLOOKUP(VENTAS[[#This Row],[Código del producto Vendido]],STOCK[],16,FALSE)*VENTAS[[#This Row],[Cantidad]]+VLOOKUP(VENTAS[[#This Row],[Código del producto Vendido]],STOCK[],19,FALSE)*VENTAS[[#This Row],[Cantidad]],VENTAS[[#This Row],[Total]])</f>
        <v>14.6661111111111</v>
      </c>
      <c r="L736" s="35">
        <f>VENTAS[[#This Row],[Total]]-VENTAS[[#This Row],[Comisión 10%]]-VENTAS[[#This Row],[Costo SIN Comision]]</f>
        <v>5.33388888888889</v>
      </c>
      <c r="M736" s="35"/>
    </row>
    <row r="737" ht="20" customHeight="1" spans="1:13">
      <c r="A737" s="29">
        <v>45327</v>
      </c>
      <c r="B737" s="30"/>
      <c r="C737" s="30" t="s">
        <v>3466</v>
      </c>
      <c r="D737" s="30"/>
      <c r="E737" s="30" t="s">
        <v>1434</v>
      </c>
      <c r="F737" s="34" t="str">
        <f>IFERROR(VLOOKUP(VENTAS[[#This Row],[Código del producto Vendido]],STOCK[],5,FALSE),"-")</f>
        <v>Sandalias de velcro</v>
      </c>
      <c r="G737" s="34">
        <v>1</v>
      </c>
      <c r="H737" s="35">
        <v>30</v>
      </c>
      <c r="I737" s="35">
        <f>VENTAS[[#This Row],[Cantidad]]*VENTAS[[#This Row],[Precio Venta]]</f>
        <v>30</v>
      </c>
      <c r="J737" s="35">
        <f>IF(VENTAS[[#This Row],[Nombre del Gestor]]&gt;1,VENTAS[[#This Row],[Total]]*10%,0)</f>
        <v>0</v>
      </c>
      <c r="K737" s="35">
        <f>IFERROR(VLOOKUP(VENTAS[[#This Row],[Código del producto Vendido]],STOCK[],16,FALSE)*VENTAS[[#This Row],[Cantidad]]+VLOOKUP(VENTAS[[#This Row],[Código del producto Vendido]],STOCK[],19,FALSE)*VENTAS[[#This Row],[Cantidad]],VENTAS[[#This Row],[Total]])</f>
        <v>17</v>
      </c>
      <c r="L737" s="35">
        <f>VENTAS[[#This Row],[Total]]-VENTAS[[#This Row],[Comisión 10%]]-VENTAS[[#This Row],[Costo SIN Comision]]</f>
        <v>13</v>
      </c>
      <c r="M737" s="35"/>
    </row>
    <row r="738" ht="20" customHeight="1" spans="1:13">
      <c r="A738" s="29">
        <v>45329</v>
      </c>
      <c r="B738" s="30"/>
      <c r="C738" s="30"/>
      <c r="D738" s="30" t="s">
        <v>3459</v>
      </c>
      <c r="E738" s="30" t="s">
        <v>1301</v>
      </c>
      <c r="F738" s="34" t="str">
        <f>IFERROR(VLOOKUP(VENTAS[[#This Row],[Código del producto Vendido]],STOCK[],5,FALSE),"-")</f>
        <v>Jean ajustado Claro</v>
      </c>
      <c r="G738" s="34">
        <v>1</v>
      </c>
      <c r="H738" s="35">
        <v>30</v>
      </c>
      <c r="I738" s="35">
        <f>VENTAS[[#This Row],[Cantidad]]*VENTAS[[#This Row],[Precio Venta]]</f>
        <v>30</v>
      </c>
      <c r="J738" s="35">
        <f>IF(VENTAS[[#This Row],[Nombre del Gestor]]&gt;1,VENTAS[[#This Row],[Total]]*10%,0)</f>
        <v>3</v>
      </c>
      <c r="K738" s="35">
        <f>IFERROR(VLOOKUP(VENTAS[[#This Row],[Código del producto Vendido]],STOCK[],16,FALSE)*VENTAS[[#This Row],[Cantidad]]+VLOOKUP(VENTAS[[#This Row],[Código del producto Vendido]],STOCK[],19,FALSE)*VENTAS[[#This Row],[Cantidad]],VENTAS[[#This Row],[Total]])</f>
        <v>23.79</v>
      </c>
      <c r="L738" s="35">
        <f>VENTAS[[#This Row],[Total]]-VENTAS[[#This Row],[Comisión 10%]]-VENTAS[[#This Row],[Costo SIN Comision]]</f>
        <v>3.21</v>
      </c>
      <c r="M738" s="35"/>
    </row>
    <row r="739" ht="20" customHeight="1" spans="1:13">
      <c r="A739" s="29" t="s">
        <v>3462</v>
      </c>
      <c r="B739" s="30"/>
      <c r="C739" s="30"/>
      <c r="D739" s="30"/>
      <c r="E739" s="30" t="s">
        <v>521</v>
      </c>
      <c r="F739" s="34" t="str">
        <f>IFERROR(VLOOKUP(VENTAS[[#This Row],[Código del producto Vendido]],STOCK[],5,FALSE),"-")</f>
        <v>Almohadilla de maquillaje </v>
      </c>
      <c r="G739" s="34">
        <v>1</v>
      </c>
      <c r="H739" s="35">
        <v>1</v>
      </c>
      <c r="I739" s="35">
        <f>VENTAS[[#This Row],[Cantidad]]*VENTAS[[#This Row],[Precio Venta]]</f>
        <v>1</v>
      </c>
      <c r="J739" s="35">
        <f>IF(VENTAS[[#This Row],[Nombre del Gestor]]&gt;1,VENTAS[[#This Row],[Total]]*10%,0)</f>
        <v>0</v>
      </c>
      <c r="K739" s="35">
        <f>IFERROR(VLOOKUP(VENTAS[[#This Row],[Código del producto Vendido]],STOCK[],16,FALSE)*VENTAS[[#This Row],[Cantidad]]+VLOOKUP(VENTAS[[#This Row],[Código del producto Vendido]],STOCK[],19,FALSE)*VENTAS[[#This Row],[Cantidad]],VENTAS[[#This Row],[Total]])</f>
        <v>0.241388888888889</v>
      </c>
      <c r="L739" s="35">
        <f>VENTAS[[#This Row],[Total]]-VENTAS[[#This Row],[Comisión 10%]]-VENTAS[[#This Row],[Costo SIN Comision]]</f>
        <v>0.758611111111111</v>
      </c>
      <c r="M739" s="35"/>
    </row>
    <row r="740" ht="20" customHeight="1" spans="1:13">
      <c r="A740" s="29">
        <v>45329</v>
      </c>
      <c r="B740" s="30"/>
      <c r="C740" s="30"/>
      <c r="D740" s="30"/>
      <c r="E740" s="30" t="s">
        <v>1792</v>
      </c>
      <c r="F740" s="34" t="str">
        <f>IFERROR(VLOOKUP(VENTAS[[#This Row],[Código del producto Vendido]],STOCK[],5,FALSE),"-")</f>
        <v>Horquillas en forma de lazo</v>
      </c>
      <c r="G740" s="34">
        <v>3</v>
      </c>
      <c r="H740" s="35">
        <v>2.5</v>
      </c>
      <c r="I740" s="35">
        <f>VENTAS[[#This Row],[Cantidad]]*VENTAS[[#This Row],[Precio Venta]]</f>
        <v>7.5</v>
      </c>
      <c r="J740" s="35">
        <f>IF(VENTAS[[#This Row],[Nombre del Gestor]]&gt;1,VENTAS[[#This Row],[Total]]*10%,0)</f>
        <v>0</v>
      </c>
      <c r="K740" s="35">
        <f>IFERROR(VLOOKUP(VENTAS[[#This Row],[Código del producto Vendido]],STOCK[],16,FALSE)*VENTAS[[#This Row],[Cantidad]]+VLOOKUP(VENTAS[[#This Row],[Código del producto Vendido]],STOCK[],19,FALSE)*VENTAS[[#This Row],[Cantidad]],VENTAS[[#This Row],[Total]])</f>
        <v>4.1735294117647</v>
      </c>
      <c r="L740" s="35">
        <f>VENTAS[[#This Row],[Total]]-VENTAS[[#This Row],[Comisión 10%]]-VENTAS[[#This Row],[Costo SIN Comision]]</f>
        <v>3.3264705882353</v>
      </c>
      <c r="M740" s="35"/>
    </row>
    <row r="741" ht="20" customHeight="1" spans="1:13">
      <c r="A741" s="29">
        <v>45329</v>
      </c>
      <c r="B741" s="30"/>
      <c r="C741" s="30"/>
      <c r="D741" s="30"/>
      <c r="E741" s="30" t="s">
        <v>1796</v>
      </c>
      <c r="F741" s="34" t="str">
        <f>IFERROR(VLOOKUP(VENTAS[[#This Row],[Código del producto Vendido]],STOCK[],5,FALSE),"-")</f>
        <v>Horquillas en forma de lazo</v>
      </c>
      <c r="G741" s="34">
        <v>1</v>
      </c>
      <c r="H741" s="35">
        <v>2.5</v>
      </c>
      <c r="I741" s="35">
        <f>VENTAS[[#This Row],[Cantidad]]*VENTAS[[#This Row],[Precio Venta]]</f>
        <v>2.5</v>
      </c>
      <c r="J741" s="35">
        <f>IF(VENTAS[[#This Row],[Nombre del Gestor]]&gt;1,VENTAS[[#This Row],[Total]]*10%,0)</f>
        <v>0</v>
      </c>
      <c r="K741" s="35">
        <f>IFERROR(VLOOKUP(VENTAS[[#This Row],[Código del producto Vendido]],STOCK[],16,FALSE)*VENTAS[[#This Row],[Cantidad]]+VLOOKUP(VENTAS[[#This Row],[Código del producto Vendido]],STOCK[],19,FALSE)*VENTAS[[#This Row],[Cantidad]],VENTAS[[#This Row],[Total]])</f>
        <v>1.39117647058824</v>
      </c>
      <c r="L741" s="35">
        <f>VENTAS[[#This Row],[Total]]-VENTAS[[#This Row],[Comisión 10%]]-VENTAS[[#This Row],[Costo SIN Comision]]</f>
        <v>1.10882352941176</v>
      </c>
      <c r="M741" s="35"/>
    </row>
    <row r="742" ht="20" customHeight="1" spans="1:13">
      <c r="A742" s="29">
        <v>45329</v>
      </c>
      <c r="B742" s="30"/>
      <c r="C742" s="30"/>
      <c r="D742" s="30"/>
      <c r="E742" s="30" t="s">
        <v>1798</v>
      </c>
      <c r="F742" s="34" t="str">
        <f>IFERROR(VLOOKUP(VENTAS[[#This Row],[Código del producto Vendido]],STOCK[],5,FALSE),"-")</f>
        <v>Horquillas en forma de lazo</v>
      </c>
      <c r="G742" s="34">
        <v>2</v>
      </c>
      <c r="H742" s="35">
        <v>2.5</v>
      </c>
      <c r="I742" s="35">
        <f>VENTAS[[#This Row],[Cantidad]]*VENTAS[[#This Row],[Precio Venta]]</f>
        <v>5</v>
      </c>
      <c r="J742" s="35">
        <f>IF(VENTAS[[#This Row],[Nombre del Gestor]]&gt;1,VENTAS[[#This Row],[Total]]*10%,0)</f>
        <v>0</v>
      </c>
      <c r="K742" s="35">
        <f>IFERROR(VLOOKUP(VENTAS[[#This Row],[Código del producto Vendido]],STOCK[],16,FALSE)*VENTAS[[#This Row],[Cantidad]]+VLOOKUP(VENTAS[[#This Row],[Código del producto Vendido]],STOCK[],19,FALSE)*VENTAS[[#This Row],[Cantidad]],VENTAS[[#This Row],[Total]])</f>
        <v>2.78235294117647</v>
      </c>
      <c r="L742" s="35">
        <f>VENTAS[[#This Row],[Total]]-VENTAS[[#This Row],[Comisión 10%]]-VENTAS[[#This Row],[Costo SIN Comision]]</f>
        <v>2.21764705882353</v>
      </c>
      <c r="M742" s="35"/>
    </row>
    <row r="743" ht="20" customHeight="1" spans="1:13">
      <c r="A743" s="29"/>
      <c r="B743" s="30"/>
      <c r="C743" s="30"/>
      <c r="D743" s="30"/>
      <c r="E743" s="30" t="s">
        <v>1805</v>
      </c>
      <c r="F743" s="34" t="str">
        <f>IFERROR(VLOOKUP(VENTAS[[#This Row],[Código del producto Vendido]],STOCK[],5,FALSE),"-")</f>
        <v>Pasador de cabello en forma de lazo</v>
      </c>
      <c r="G743" s="34">
        <v>1</v>
      </c>
      <c r="H743" s="35">
        <v>2.5</v>
      </c>
      <c r="I743" s="35">
        <f>VENTAS[[#This Row],[Cantidad]]*VENTAS[[#This Row],[Precio Venta]]</f>
        <v>2.5</v>
      </c>
      <c r="J743" s="35">
        <f>IF(VENTAS[[#This Row],[Nombre del Gestor]]&gt;1,VENTAS[[#This Row],[Total]]*10%,0)</f>
        <v>0</v>
      </c>
      <c r="K743" s="35">
        <f>IFERROR(VLOOKUP(VENTAS[[#This Row],[Código del producto Vendido]],STOCK[],16,FALSE)*VENTAS[[#This Row],[Cantidad]]+VLOOKUP(VENTAS[[#This Row],[Código del producto Vendido]],STOCK[],19,FALSE)*VENTAS[[#This Row],[Cantidad]],VENTAS[[#This Row],[Total]])</f>
        <v>1.73529411764706</v>
      </c>
      <c r="L743" s="35">
        <f>VENTAS[[#This Row],[Total]]-VENTAS[[#This Row],[Comisión 10%]]-VENTAS[[#This Row],[Costo SIN Comision]]</f>
        <v>0.76470588235294</v>
      </c>
      <c r="M743" s="35"/>
    </row>
    <row r="744" ht="20" customHeight="1" spans="1:13">
      <c r="A744" s="29">
        <v>45337</v>
      </c>
      <c r="B744" s="30"/>
      <c r="C744" s="30"/>
      <c r="D744" s="30" t="s">
        <v>3365</v>
      </c>
      <c r="E744" s="30" t="s">
        <v>1798</v>
      </c>
      <c r="F744" s="34" t="str">
        <f>IFERROR(VLOOKUP(VENTAS[[#This Row],[Código del producto Vendido]],STOCK[],5,FALSE),"-")</f>
        <v>Horquillas en forma de lazo</v>
      </c>
      <c r="G744" s="34">
        <v>1</v>
      </c>
      <c r="H744" s="35">
        <v>2.5</v>
      </c>
      <c r="I744" s="35">
        <f>VENTAS[[#This Row],[Cantidad]]*VENTAS[[#This Row],[Precio Venta]]</f>
        <v>2.5</v>
      </c>
      <c r="J744" s="35">
        <f>IF(VENTAS[[#This Row],[Nombre del Gestor]]&gt;1,VENTAS[[#This Row],[Total]]*10%,0)</f>
        <v>0.25</v>
      </c>
      <c r="K744" s="35">
        <f>IFERROR(VLOOKUP(VENTAS[[#This Row],[Código del producto Vendido]],STOCK[],16,FALSE)*VENTAS[[#This Row],[Cantidad]]+VLOOKUP(VENTAS[[#This Row],[Código del producto Vendido]],STOCK[],19,FALSE)*VENTAS[[#This Row],[Cantidad]],VENTAS[[#This Row],[Total]])</f>
        <v>1.39117647058824</v>
      </c>
      <c r="L744" s="35">
        <f>VENTAS[[#This Row],[Total]]-VENTAS[[#This Row],[Comisión 10%]]-VENTAS[[#This Row],[Costo SIN Comision]]</f>
        <v>0.858823529411765</v>
      </c>
      <c r="M744" s="35"/>
    </row>
    <row r="745" ht="20" customHeight="1" spans="1:13">
      <c r="A745" s="29">
        <v>45337</v>
      </c>
      <c r="B745" s="30"/>
      <c r="C745" s="30"/>
      <c r="D745" s="30" t="s">
        <v>3365</v>
      </c>
      <c r="E745" s="30" t="s">
        <v>1808</v>
      </c>
      <c r="F745" s="34" t="str">
        <f>IFERROR(VLOOKUP(VENTAS[[#This Row],[Código del producto Vendido]],STOCK[],5,FALSE),"-")</f>
        <v>Lazo para coletas</v>
      </c>
      <c r="G745" s="34">
        <v>1</v>
      </c>
      <c r="H745" s="35">
        <v>2</v>
      </c>
      <c r="I745" s="35">
        <f>VENTAS[[#This Row],[Cantidad]]*VENTAS[[#This Row],[Precio Venta]]</f>
        <v>2</v>
      </c>
      <c r="J745" s="35">
        <f>IF(VENTAS[[#This Row],[Nombre del Gestor]]&gt;1,VENTAS[[#This Row],[Total]]*10%,0)</f>
        <v>0.2</v>
      </c>
      <c r="K745" s="35">
        <f>IFERROR(VLOOKUP(VENTAS[[#This Row],[Código del producto Vendido]],STOCK[],16,FALSE)*VENTAS[[#This Row],[Cantidad]]+VLOOKUP(VENTAS[[#This Row],[Código del producto Vendido]],STOCK[],19,FALSE)*VENTAS[[#This Row],[Cantidad]],VENTAS[[#This Row],[Total]])</f>
        <v>1.91176470588235</v>
      </c>
      <c r="L745" s="35">
        <f>VENTAS[[#This Row],[Total]]-VENTAS[[#This Row],[Comisión 10%]]-VENTAS[[#This Row],[Costo SIN Comision]]</f>
        <v>-0.11176470588235</v>
      </c>
      <c r="M745" s="35"/>
    </row>
    <row r="746" ht="20" customHeight="1" spans="1:13">
      <c r="A746" s="29">
        <v>45337</v>
      </c>
      <c r="B746" s="30"/>
      <c r="C746" s="30" t="s">
        <v>3337</v>
      </c>
      <c r="D746" s="30"/>
      <c r="E746" s="30" t="s">
        <v>150</v>
      </c>
      <c r="F746" s="34" t="str">
        <f>IFERROR(VLOOKUP(VENTAS[[#This Row],[Código del producto Vendido]],STOCK[],5,FALSE),"-")</f>
        <v>Jean Boyfriend con rotos</v>
      </c>
      <c r="G746" s="34">
        <v>1</v>
      </c>
      <c r="H746" s="35">
        <v>30</v>
      </c>
      <c r="I746" s="35">
        <f>VENTAS[[#This Row],[Cantidad]]*VENTAS[[#This Row],[Precio Venta]]</f>
        <v>30</v>
      </c>
      <c r="J746" s="35">
        <f>IF(VENTAS[[#This Row],[Nombre del Gestor]]&gt;1,VENTAS[[#This Row],[Total]]*10%,0)</f>
        <v>0</v>
      </c>
      <c r="K746" s="35">
        <f>IFERROR(VLOOKUP(VENTAS[[#This Row],[Código del producto Vendido]],STOCK[],16,FALSE)*VENTAS[[#This Row],[Cantidad]]+VLOOKUP(VENTAS[[#This Row],[Código del producto Vendido]],STOCK[],19,FALSE)*VENTAS[[#This Row],[Cantidad]],VENTAS[[#This Row],[Total]])</f>
        <v>18.6866666666667</v>
      </c>
      <c r="L746" s="35">
        <f>VENTAS[[#This Row],[Total]]-VENTAS[[#This Row],[Comisión 10%]]-VENTAS[[#This Row],[Costo SIN Comision]]</f>
        <v>11.3133333333333</v>
      </c>
      <c r="M746" s="35"/>
    </row>
    <row r="747" ht="20" customHeight="1" spans="1:13">
      <c r="A747" s="29" t="s">
        <v>3462</v>
      </c>
      <c r="B747" s="30"/>
      <c r="C747" s="30"/>
      <c r="D747" s="30"/>
      <c r="E747" s="30" t="s">
        <v>1121</v>
      </c>
      <c r="F747" s="34" t="str">
        <f>IFERROR(VLOOKUP(VENTAS[[#This Row],[Código del producto Vendido]],STOCK[],5,FALSE),"-")</f>
        <v>Set de lencería de encaje</v>
      </c>
      <c r="G747" s="34">
        <v>1</v>
      </c>
      <c r="H747" s="35">
        <v>15</v>
      </c>
      <c r="I747" s="35">
        <f>VENTAS[[#This Row],[Cantidad]]*VENTAS[[#This Row],[Precio Venta]]</f>
        <v>15</v>
      </c>
      <c r="J747" s="35">
        <f>IF(VENTAS[[#This Row],[Nombre del Gestor]]&gt;1,VENTAS[[#This Row],[Total]]*10%,0)</f>
        <v>0</v>
      </c>
      <c r="K747" s="35">
        <f>IFERROR(VLOOKUP(VENTAS[[#This Row],[Código del producto Vendido]],STOCK[],16,FALSE)*VENTAS[[#This Row],[Cantidad]]+VLOOKUP(VENTAS[[#This Row],[Código del producto Vendido]],STOCK[],19,FALSE)*VENTAS[[#This Row],[Cantidad]],VENTAS[[#This Row],[Total]])</f>
        <v>7.10882352941176</v>
      </c>
      <c r="L747" s="35">
        <f>VENTAS[[#This Row],[Total]]-VENTAS[[#This Row],[Comisión 10%]]-VENTAS[[#This Row],[Costo SIN Comision]]</f>
        <v>7.89117647058824</v>
      </c>
      <c r="M747" s="35"/>
    </row>
    <row r="748" ht="20" customHeight="1" spans="1:13">
      <c r="A748" s="29">
        <v>45329</v>
      </c>
      <c r="B748" s="30"/>
      <c r="C748" s="30" t="s">
        <v>3470</v>
      </c>
      <c r="D748" s="30"/>
      <c r="E748" s="30" t="s">
        <v>396</v>
      </c>
      <c r="F748" s="34" t="str">
        <f>IFERROR(VLOOKUP(VENTAS[[#This Row],[Código del producto Vendido]],STOCK[],5,FALSE),"-")</f>
        <v>Cinturones Casual</v>
      </c>
      <c r="G748" s="34">
        <v>1</v>
      </c>
      <c r="H748" s="35">
        <v>10</v>
      </c>
      <c r="I748" s="35">
        <f>VENTAS[[#This Row],[Cantidad]]*VENTAS[[#This Row],[Precio Venta]]</f>
        <v>10</v>
      </c>
      <c r="J748" s="35">
        <f>IF(VENTAS[[#This Row],[Nombre del Gestor]]&gt;1,VENTAS[[#This Row],[Total]]*10%,0)</f>
        <v>0</v>
      </c>
      <c r="K748" s="35">
        <f>IFERROR(VLOOKUP(VENTAS[[#This Row],[Código del producto Vendido]],STOCK[],16,FALSE)*VENTAS[[#This Row],[Cantidad]]+VLOOKUP(VENTAS[[#This Row],[Código del producto Vendido]],STOCK[],19,FALSE)*VENTAS[[#This Row],[Cantidad]],VENTAS[[#This Row],[Total]])</f>
        <v>4.38166666666667</v>
      </c>
      <c r="L748" s="35">
        <f>VENTAS[[#This Row],[Total]]-VENTAS[[#This Row],[Comisión 10%]]-VENTAS[[#This Row],[Costo SIN Comision]]</f>
        <v>5.61833333333333</v>
      </c>
      <c r="M748" s="35"/>
    </row>
    <row r="749" ht="20" customHeight="1" spans="1:13">
      <c r="A749" s="29">
        <v>45337</v>
      </c>
      <c r="B749" s="30"/>
      <c r="C749" s="30" t="s">
        <v>3471</v>
      </c>
      <c r="D749" s="30"/>
      <c r="E749" s="30" t="s">
        <v>1597</v>
      </c>
      <c r="F749" s="34" t="str">
        <f>IFERROR(VLOOKUP(VENTAS[[#This Row],[Código del producto Vendido]],STOCK[],5,FALSE),"-")</f>
        <v>Cardigan classy</v>
      </c>
      <c r="G749" s="34">
        <v>1</v>
      </c>
      <c r="H749" s="35">
        <v>22</v>
      </c>
      <c r="I749" s="35">
        <f>VENTAS[[#This Row],[Cantidad]]*VENTAS[[#This Row],[Precio Venta]]</f>
        <v>22</v>
      </c>
      <c r="J749" s="35">
        <f>IF(VENTAS[[#This Row],[Nombre del Gestor]]&gt;1,VENTAS[[#This Row],[Total]]*10%,0)</f>
        <v>0</v>
      </c>
      <c r="K749" s="35">
        <f>IFERROR(VLOOKUP(VENTAS[[#This Row],[Código del producto Vendido]],STOCK[],16,FALSE)*VENTAS[[#This Row],[Cantidad]]+VLOOKUP(VENTAS[[#This Row],[Código del producto Vendido]],STOCK[],19,FALSE)*VENTAS[[#This Row],[Cantidad]],VENTAS[[#This Row],[Total]])</f>
        <v>11.8</v>
      </c>
      <c r="L749" s="35">
        <f>VENTAS[[#This Row],[Total]]-VENTAS[[#This Row],[Comisión 10%]]-VENTAS[[#This Row],[Costo SIN Comision]]</f>
        <v>10.2</v>
      </c>
      <c r="M749" s="35"/>
    </row>
    <row r="750" ht="20" customHeight="1" spans="1:13">
      <c r="A750" s="29">
        <v>45337</v>
      </c>
      <c r="B750" s="30"/>
      <c r="C750" s="30" t="s">
        <v>3471</v>
      </c>
      <c r="D750" s="30"/>
      <c r="E750" s="30" t="s">
        <v>1604</v>
      </c>
      <c r="F750" s="34" t="str">
        <f>IFERROR(VLOOKUP(VENTAS[[#This Row],[Código del producto Vendido]],STOCK[],5,FALSE),"-")</f>
        <v>Vestido camisa modely</v>
      </c>
      <c r="G750" s="34">
        <v>1</v>
      </c>
      <c r="H750" s="35">
        <v>35</v>
      </c>
      <c r="I750" s="35">
        <f>VENTAS[[#This Row],[Cantidad]]*VENTAS[[#This Row],[Precio Venta]]</f>
        <v>35</v>
      </c>
      <c r="J750" s="35">
        <f>IF(VENTAS[[#This Row],[Nombre del Gestor]]&gt;1,VENTAS[[#This Row],[Total]]*10%,0)</f>
        <v>0</v>
      </c>
      <c r="K750" s="35">
        <f>IFERROR(VLOOKUP(VENTAS[[#This Row],[Código del producto Vendido]],STOCK[],16,FALSE)*VENTAS[[#This Row],[Cantidad]]+VLOOKUP(VENTAS[[#This Row],[Código del producto Vendido]],STOCK[],19,FALSE)*VENTAS[[#This Row],[Cantidad]],VENTAS[[#This Row],[Total]])</f>
        <v>14.84</v>
      </c>
      <c r="L750" s="35">
        <f>VENTAS[[#This Row],[Total]]-VENTAS[[#This Row],[Comisión 10%]]-VENTAS[[#This Row],[Costo SIN Comision]]</f>
        <v>20.16</v>
      </c>
      <c r="M750" s="35"/>
    </row>
    <row r="751" ht="20" customHeight="1" spans="1:13">
      <c r="A751" s="29">
        <v>45337</v>
      </c>
      <c r="B751" s="30"/>
      <c r="C751" s="30" t="s">
        <v>3471</v>
      </c>
      <c r="D751" s="30"/>
      <c r="E751" s="30" t="s">
        <v>1786</v>
      </c>
      <c r="F751" s="34" t="str">
        <f>IFERROR(VLOOKUP(VENTAS[[#This Row],[Código del producto Vendido]],STOCK[],5,FALSE),"-")</f>
        <v>Cinturón básico grueso Negro</v>
      </c>
      <c r="G751" s="34">
        <v>1</v>
      </c>
      <c r="H751" s="35">
        <v>8</v>
      </c>
      <c r="I751" s="35">
        <f>VENTAS[[#This Row],[Cantidad]]*VENTAS[[#This Row],[Precio Venta]]</f>
        <v>8</v>
      </c>
      <c r="J751" s="35">
        <f>IF(VENTAS[[#This Row],[Nombre del Gestor]]&gt;1,VENTAS[[#This Row],[Total]]*10%,0)</f>
        <v>0</v>
      </c>
      <c r="K751" s="35">
        <f>IFERROR(VLOOKUP(VENTAS[[#This Row],[Código del producto Vendido]],STOCK[],16,FALSE)*VENTAS[[#This Row],[Cantidad]]+VLOOKUP(VENTAS[[#This Row],[Código del producto Vendido]],STOCK[],19,FALSE)*VENTAS[[#This Row],[Cantidad]],VENTAS[[#This Row],[Total]])</f>
        <v>4.23529411764706</v>
      </c>
      <c r="L751" s="35">
        <f>VENTAS[[#This Row],[Total]]-VENTAS[[#This Row],[Comisión 10%]]-VENTAS[[#This Row],[Costo SIN Comision]]</f>
        <v>3.76470588235294</v>
      </c>
      <c r="M751" s="35"/>
    </row>
    <row r="752" ht="20" customHeight="1" spans="1:13">
      <c r="A752" s="29">
        <v>45337</v>
      </c>
      <c r="B752" s="30"/>
      <c r="C752" s="30" t="s">
        <v>3466</v>
      </c>
      <c r="D752" s="30"/>
      <c r="E752" s="30" t="s">
        <v>359</v>
      </c>
      <c r="F752" s="34" t="str">
        <f>IFERROR(VLOOKUP(VENTAS[[#This Row],[Código del producto Vendido]],STOCK[],5,FALSE),"-")</f>
        <v>Pantalón tejido de rayas </v>
      </c>
      <c r="G752" s="34">
        <v>1</v>
      </c>
      <c r="H752" s="35">
        <v>20</v>
      </c>
      <c r="I752" s="35">
        <f>VENTAS[[#This Row],[Cantidad]]*VENTAS[[#This Row],[Precio Venta]]</f>
        <v>20</v>
      </c>
      <c r="J752" s="35">
        <f>IF(VENTAS[[#This Row],[Nombre del Gestor]]&gt;1,VENTAS[[#This Row],[Total]]*10%,0)</f>
        <v>0</v>
      </c>
      <c r="K752" s="35">
        <f>IFERROR(VLOOKUP(VENTAS[[#This Row],[Código del producto Vendido]],STOCK[],16,FALSE)*VENTAS[[#This Row],[Cantidad]]+VLOOKUP(VENTAS[[#This Row],[Código del producto Vendido]],STOCK[],19,FALSE)*VENTAS[[#This Row],[Cantidad]],VENTAS[[#This Row],[Total]])</f>
        <v>12.8833333333333</v>
      </c>
      <c r="L752" s="35">
        <f>VENTAS[[#This Row],[Total]]-VENTAS[[#This Row],[Comisión 10%]]-VENTAS[[#This Row],[Costo SIN Comision]]</f>
        <v>7.1166666666667</v>
      </c>
      <c r="M752" s="35"/>
    </row>
    <row r="753" ht="20" customHeight="1" spans="1:13">
      <c r="A753" s="29">
        <v>45337</v>
      </c>
      <c r="B753" s="30"/>
      <c r="C753" s="30" t="s">
        <v>3456</v>
      </c>
      <c r="D753" s="30"/>
      <c r="E753" s="30" t="s">
        <v>1483</v>
      </c>
      <c r="F753" s="34" t="str">
        <f>IFERROR(VLOOKUP(VENTAS[[#This Row],[Código del producto Vendido]],STOCK[],5,FALSE),"-")</f>
        <v>Sandalias de tacón fino</v>
      </c>
      <c r="G753" s="34">
        <v>1</v>
      </c>
      <c r="H753" s="35">
        <v>35</v>
      </c>
      <c r="I753" s="35">
        <f>VENTAS[[#This Row],[Cantidad]]*VENTAS[[#This Row],[Precio Venta]]</f>
        <v>35</v>
      </c>
      <c r="J753" s="35">
        <f>IF(VENTAS[[#This Row],[Nombre del Gestor]]&gt;1,VENTAS[[#This Row],[Total]]*10%,0)</f>
        <v>0</v>
      </c>
      <c r="K753" s="35">
        <f>IFERROR(VLOOKUP(VENTAS[[#This Row],[Código del producto Vendido]],STOCK[],16,FALSE)*VENTAS[[#This Row],[Cantidad]]+VLOOKUP(VENTAS[[#This Row],[Código del producto Vendido]],STOCK[],19,FALSE)*VENTAS[[#This Row],[Cantidad]],VENTAS[[#This Row],[Total]])</f>
        <v>23.5</v>
      </c>
      <c r="L753" s="35">
        <f>VENTAS[[#This Row],[Total]]-VENTAS[[#This Row],[Comisión 10%]]-VENTAS[[#This Row],[Costo SIN Comision]]</f>
        <v>11.5</v>
      </c>
      <c r="M753" s="35"/>
    </row>
    <row r="754" ht="20" customHeight="1" spans="1:13">
      <c r="A754" s="29">
        <v>45337</v>
      </c>
      <c r="B754" s="30"/>
      <c r="C754" s="30"/>
      <c r="D754" s="30"/>
      <c r="E754" s="30" t="s">
        <v>1796</v>
      </c>
      <c r="F754" s="34" t="str">
        <f>IFERROR(VLOOKUP(VENTAS[[#This Row],[Código del producto Vendido]],STOCK[],5,FALSE),"-")</f>
        <v>Horquillas en forma de lazo</v>
      </c>
      <c r="G754" s="34">
        <v>1</v>
      </c>
      <c r="H754" s="35">
        <v>2.5</v>
      </c>
      <c r="I754" s="35">
        <f>VENTAS[[#This Row],[Cantidad]]*VENTAS[[#This Row],[Precio Venta]]</f>
        <v>2.5</v>
      </c>
      <c r="J754" s="35">
        <f>IF(VENTAS[[#This Row],[Nombre del Gestor]]&gt;1,VENTAS[[#This Row],[Total]]*10%,0)</f>
        <v>0</v>
      </c>
      <c r="K754" s="35">
        <f>IFERROR(VLOOKUP(VENTAS[[#This Row],[Código del producto Vendido]],STOCK[],16,FALSE)*VENTAS[[#This Row],[Cantidad]]+VLOOKUP(VENTAS[[#This Row],[Código del producto Vendido]],STOCK[],19,FALSE)*VENTAS[[#This Row],[Cantidad]],VENTAS[[#This Row],[Total]])</f>
        <v>1.39117647058824</v>
      </c>
      <c r="L754" s="35">
        <f>VENTAS[[#This Row],[Total]]-VENTAS[[#This Row],[Comisión 10%]]-VENTAS[[#This Row],[Costo SIN Comision]]</f>
        <v>1.10882352941176</v>
      </c>
      <c r="M754" s="35"/>
    </row>
    <row r="755" ht="20" customHeight="1" spans="1:13">
      <c r="A755" s="29">
        <v>45343</v>
      </c>
      <c r="B755" s="30"/>
      <c r="C755" s="30" t="s">
        <v>3472</v>
      </c>
      <c r="D755" s="30"/>
      <c r="E755" s="30" t="s">
        <v>1722</v>
      </c>
      <c r="F755" s="34" t="str">
        <f>IFERROR(VLOOKUP(VENTAS[[#This Row],[Código del producto Vendido]],STOCK[],5,FALSE),"-")</f>
        <v>Vestido negro corte A</v>
      </c>
      <c r="G755" s="34">
        <v>1</v>
      </c>
      <c r="H755" s="35">
        <v>20</v>
      </c>
      <c r="I755" s="35">
        <f>VENTAS[[#This Row],[Cantidad]]*VENTAS[[#This Row],[Precio Venta]]</f>
        <v>20</v>
      </c>
      <c r="J755" s="35">
        <f>IF(VENTAS[[#This Row],[Nombre del Gestor]]&gt;1,VENTAS[[#This Row],[Total]]*10%,0)</f>
        <v>0</v>
      </c>
      <c r="K755" s="35">
        <f>IFERROR(VLOOKUP(VENTAS[[#This Row],[Código del producto Vendido]],STOCK[],16,FALSE)*VENTAS[[#This Row],[Cantidad]]+VLOOKUP(VENTAS[[#This Row],[Código del producto Vendido]],STOCK[],19,FALSE)*VENTAS[[#This Row],[Cantidad]],VENTAS[[#This Row],[Total]])</f>
        <v>11</v>
      </c>
      <c r="L755" s="35">
        <f>VENTAS[[#This Row],[Total]]-VENTAS[[#This Row],[Comisión 10%]]-VENTAS[[#This Row],[Costo SIN Comision]]</f>
        <v>9</v>
      </c>
      <c r="M755" s="35"/>
    </row>
    <row r="756" ht="20" customHeight="1" spans="1:13">
      <c r="A756" s="29">
        <v>45324</v>
      </c>
      <c r="B756" s="30"/>
      <c r="C756" s="30"/>
      <c r="D756" s="30"/>
      <c r="E756" s="30"/>
      <c r="F756" s="34" t="str">
        <f>IFERROR(VLOOKUP(VENTAS[[#This Row],[Código del producto Vendido]],STOCK[],5,FALSE),"-")</f>
        <v>-</v>
      </c>
      <c r="G756" s="34">
        <v>1</v>
      </c>
      <c r="H756" s="35">
        <v>28</v>
      </c>
      <c r="I756" s="35">
        <f>VENTAS[[#This Row],[Cantidad]]*VENTAS[[#This Row],[Precio Venta]]</f>
        <v>28</v>
      </c>
      <c r="J756" s="35">
        <f>IF(VENTAS[[#This Row],[Nombre del Gestor]]&gt;1,VENTAS[[#This Row],[Total]]*10%,0)</f>
        <v>0</v>
      </c>
      <c r="K756" s="35">
        <f>IFERROR(VLOOKUP(VENTAS[[#This Row],[Código del producto Vendido]],STOCK[],16,FALSE)*VENTAS[[#This Row],[Cantidad]]+VLOOKUP(VENTAS[[#This Row],[Código del producto Vendido]],STOCK[],19,FALSE)*VENTAS[[#This Row],[Cantidad]],VENTAS[[#This Row],[Total]])</f>
        <v>28</v>
      </c>
      <c r="L756" s="35">
        <f>VENTAS[[#This Row],[Total]]-VENTAS[[#This Row],[Comisión 10%]]-VENTAS[[#This Row],[Costo SIN Comision]]</f>
        <v>0</v>
      </c>
      <c r="M756" s="35"/>
    </row>
    <row r="757" ht="20" customHeight="1" spans="1:13">
      <c r="A757" s="29">
        <v>45324</v>
      </c>
      <c r="B757" s="30"/>
      <c r="C757" s="30"/>
      <c r="D757" s="30"/>
      <c r="E757" s="30" t="s">
        <v>1670</v>
      </c>
      <c r="F757" s="34" t="str">
        <f>IFERROR(VLOOKUP(VENTAS[[#This Row],[Código del producto Vendido]],STOCK[],5,FALSE),"-")</f>
        <v>Conjunto Albaricoque</v>
      </c>
      <c r="G757" s="34">
        <v>1</v>
      </c>
      <c r="H757" s="35">
        <v>28</v>
      </c>
      <c r="I757" s="35">
        <f>VENTAS[[#This Row],[Cantidad]]*VENTAS[[#This Row],[Precio Venta]]</f>
        <v>28</v>
      </c>
      <c r="J757" s="35">
        <f>IF(VENTAS[[#This Row],[Nombre del Gestor]]&gt;1,VENTAS[[#This Row],[Total]]*10%,0)</f>
        <v>0</v>
      </c>
      <c r="K757" s="35">
        <f>IFERROR(VLOOKUP(VENTAS[[#This Row],[Código del producto Vendido]],STOCK[],16,FALSE)*VENTAS[[#This Row],[Cantidad]]+VLOOKUP(VENTAS[[#This Row],[Código del producto Vendido]],STOCK[],19,FALSE)*VENTAS[[#This Row],[Cantidad]],VENTAS[[#This Row],[Total]])</f>
        <v>13.97</v>
      </c>
      <c r="L757" s="35">
        <f>VENTAS[[#This Row],[Total]]-VENTAS[[#This Row],[Comisión 10%]]-VENTAS[[#This Row],[Costo SIN Comision]]</f>
        <v>14.03</v>
      </c>
      <c r="M757" s="35"/>
    </row>
    <row r="758" ht="20" customHeight="1" spans="1:13">
      <c r="A758" s="29">
        <v>45324</v>
      </c>
      <c r="B758" s="30"/>
      <c r="C758" s="30"/>
      <c r="D758" s="30"/>
      <c r="E758" s="30" t="s">
        <v>1610</v>
      </c>
      <c r="F758" s="34" t="str">
        <f>IFERROR(VLOOKUP(VENTAS[[#This Row],[Código del producto Vendido]],STOCK[],5,FALSE),"-")</f>
        <v>Camisa Modely</v>
      </c>
      <c r="G758" s="34">
        <v>1</v>
      </c>
      <c r="H758" s="35">
        <v>22</v>
      </c>
      <c r="I758" s="35">
        <f>VENTAS[[#This Row],[Cantidad]]*VENTAS[[#This Row],[Precio Venta]]</f>
        <v>22</v>
      </c>
      <c r="J758" s="35">
        <f>IF(VENTAS[[#This Row],[Nombre del Gestor]]&gt;1,VENTAS[[#This Row],[Total]]*10%,0)</f>
        <v>0</v>
      </c>
      <c r="K758" s="35">
        <f>IFERROR(VLOOKUP(VENTAS[[#This Row],[Código del producto Vendido]],STOCK[],16,FALSE)*VENTAS[[#This Row],[Cantidad]]+VLOOKUP(VENTAS[[#This Row],[Código del producto Vendido]],STOCK[],19,FALSE)*VENTAS[[#This Row],[Cantidad]],VENTAS[[#This Row],[Total]])</f>
        <v>9.74</v>
      </c>
      <c r="L758" s="35">
        <f>VENTAS[[#This Row],[Total]]-VENTAS[[#This Row],[Comisión 10%]]-VENTAS[[#This Row],[Costo SIN Comision]]</f>
        <v>12.26</v>
      </c>
      <c r="M758" s="35"/>
    </row>
    <row r="759" ht="20" customHeight="1" spans="1:13">
      <c r="A759" s="29">
        <v>45347</v>
      </c>
      <c r="B759" s="30"/>
      <c r="C759" s="30"/>
      <c r="D759" s="30"/>
      <c r="E759" s="30" t="s">
        <v>1597</v>
      </c>
      <c r="F759" s="34" t="str">
        <f>IFERROR(VLOOKUP(VENTAS[[#This Row],[Código del producto Vendido]],STOCK[],5,FALSE),"-")</f>
        <v>Cardigan classy</v>
      </c>
      <c r="G759" s="34">
        <v>1</v>
      </c>
      <c r="H759" s="35">
        <v>22</v>
      </c>
      <c r="I759" s="35">
        <f>VENTAS[[#This Row],[Cantidad]]*VENTAS[[#This Row],[Precio Venta]]</f>
        <v>22</v>
      </c>
      <c r="J759" s="35">
        <f>IF(VENTAS[[#This Row],[Nombre del Gestor]]&gt;1,VENTAS[[#This Row],[Total]]*10%,0)</f>
        <v>0</v>
      </c>
      <c r="K759" s="35">
        <f>IFERROR(VLOOKUP(VENTAS[[#This Row],[Código del producto Vendido]],STOCK[],16,FALSE)*VENTAS[[#This Row],[Cantidad]]+VLOOKUP(VENTAS[[#This Row],[Código del producto Vendido]],STOCK[],19,FALSE)*VENTAS[[#This Row],[Cantidad]],VENTAS[[#This Row],[Total]])</f>
        <v>11.8</v>
      </c>
      <c r="L759" s="35">
        <f>VENTAS[[#This Row],[Total]]-VENTAS[[#This Row],[Comisión 10%]]-VENTAS[[#This Row],[Costo SIN Comision]]</f>
        <v>10.2</v>
      </c>
      <c r="M759" s="35"/>
    </row>
    <row r="760" ht="20" customHeight="1" spans="1:13">
      <c r="A760" s="29">
        <v>45339</v>
      </c>
      <c r="B760" s="30"/>
      <c r="C760" s="30"/>
      <c r="D760" s="30"/>
      <c r="E760" s="30" t="s">
        <v>1743</v>
      </c>
      <c r="F760" s="34" t="str">
        <f>IFERROR(VLOOKUP(VENTAS[[#This Row],[Código del producto Vendido]],STOCK[],5,FALSE),"-")</f>
        <v>Kimono Dazy Elegante</v>
      </c>
      <c r="G760" s="34">
        <v>1</v>
      </c>
      <c r="H760" s="35">
        <v>22</v>
      </c>
      <c r="I760" s="35">
        <f>VENTAS[[#This Row],[Cantidad]]*VENTAS[[#This Row],[Precio Venta]]</f>
        <v>22</v>
      </c>
      <c r="J760" s="35">
        <f>IF(VENTAS[[#This Row],[Nombre del Gestor]]&gt;1,VENTAS[[#This Row],[Total]]*10%,0)</f>
        <v>0</v>
      </c>
      <c r="K760" s="35">
        <f>IFERROR(VLOOKUP(VENTAS[[#This Row],[Código del producto Vendido]],STOCK[],16,FALSE)*VENTAS[[#This Row],[Cantidad]]+VLOOKUP(VENTAS[[#This Row],[Código del producto Vendido]],STOCK[],19,FALSE)*VENTAS[[#This Row],[Cantidad]],VENTAS[[#This Row],[Total]])</f>
        <v>13.3529411764706</v>
      </c>
      <c r="L760" s="35">
        <f>VENTAS[[#This Row],[Total]]-VENTAS[[#This Row],[Comisión 10%]]-VENTAS[[#This Row],[Costo SIN Comision]]</f>
        <v>8.64705882352941</v>
      </c>
      <c r="M760" s="35"/>
    </row>
    <row r="761" ht="20" customHeight="1" spans="1:13">
      <c r="A761" s="29">
        <v>45326</v>
      </c>
      <c r="B761" s="30"/>
      <c r="C761" s="30" t="s">
        <v>3321</v>
      </c>
      <c r="D761" s="30" t="s">
        <v>3430</v>
      </c>
      <c r="E761" s="30" t="s">
        <v>769</v>
      </c>
      <c r="F761" s="34" t="str">
        <f>IFERROR(VLOOKUP(VENTAS[[#This Row],[Código del producto Vendido]],STOCK[],5,FALSE),"-")</f>
        <v>Sandalias atadas </v>
      </c>
      <c r="G761" s="34">
        <v>1</v>
      </c>
      <c r="H761" s="35">
        <v>39</v>
      </c>
      <c r="I761" s="35">
        <f>VENTAS[[#This Row],[Cantidad]]*VENTAS[[#This Row],[Precio Venta]]</f>
        <v>39</v>
      </c>
      <c r="J761" s="35">
        <f>IF(VENTAS[[#This Row],[Nombre del Gestor]]&gt;1,VENTAS[[#This Row],[Total]]*10%,0)</f>
        <v>3.9</v>
      </c>
      <c r="K761" s="35">
        <f>IFERROR(VLOOKUP(VENTAS[[#This Row],[Código del producto Vendido]],STOCK[],16,FALSE)*VENTAS[[#This Row],[Cantidad]]+VLOOKUP(VENTAS[[#This Row],[Código del producto Vendido]],STOCK[],19,FALSE)*VENTAS[[#This Row],[Cantidad]],VENTAS[[#This Row],[Total]])</f>
        <v>29.5</v>
      </c>
      <c r="L761" s="35">
        <f>VENTAS[[#This Row],[Total]]-VENTAS[[#This Row],[Comisión 10%]]-VENTAS[[#This Row],[Costo SIN Comision]]</f>
        <v>5.6</v>
      </c>
      <c r="M761" s="35"/>
    </row>
    <row r="762" ht="20" customHeight="1" spans="1:13">
      <c r="A762" s="29">
        <v>45350</v>
      </c>
      <c r="B762" s="30"/>
      <c r="C762" s="30" t="s">
        <v>3437</v>
      </c>
      <c r="D762" s="30" t="s">
        <v>3430</v>
      </c>
      <c r="E762" s="30" t="s">
        <v>1527</v>
      </c>
      <c r="F762" s="34" t="str">
        <f>IFERROR(VLOOKUP(VENTAS[[#This Row],[Código del producto Vendido]],STOCK[],5,FALSE),"-")</f>
        <v>Sandalias de tacón fino</v>
      </c>
      <c r="G762" s="34">
        <v>1</v>
      </c>
      <c r="H762" s="35">
        <v>35</v>
      </c>
      <c r="I762" s="35">
        <f>VENTAS[[#This Row],[Cantidad]]*VENTAS[[#This Row],[Precio Venta]]</f>
        <v>35</v>
      </c>
      <c r="J762" s="35">
        <f>IF(VENTAS[[#This Row],[Nombre del Gestor]]&gt;1,VENTAS[[#This Row],[Total]]*10%,0)</f>
        <v>3.5</v>
      </c>
      <c r="K762" s="35">
        <f>IFERROR(VLOOKUP(VENTAS[[#This Row],[Código del producto Vendido]],STOCK[],16,FALSE)*VENTAS[[#This Row],[Cantidad]]+VLOOKUP(VENTAS[[#This Row],[Código del producto Vendido]],STOCK[],19,FALSE)*VENTAS[[#This Row],[Cantidad]],VENTAS[[#This Row],[Total]])</f>
        <v>20</v>
      </c>
      <c r="L762" s="35">
        <f>VENTAS[[#This Row],[Total]]-VENTAS[[#This Row],[Comisión 10%]]-VENTAS[[#This Row],[Costo SIN Comision]]</f>
        <v>11.5</v>
      </c>
      <c r="M762" s="35"/>
    </row>
    <row r="763" ht="20" customHeight="1" spans="1:13">
      <c r="A763" s="29">
        <v>45346</v>
      </c>
      <c r="B763" s="30"/>
      <c r="C763" s="30" t="s">
        <v>3469</v>
      </c>
      <c r="D763" s="30"/>
      <c r="E763" s="30" t="s">
        <v>150</v>
      </c>
      <c r="F763" s="34" t="str">
        <f>IFERROR(VLOOKUP(VENTAS[[#This Row],[Código del producto Vendido]],STOCK[],5,FALSE),"-")</f>
        <v>Jean Boyfriend con rotos</v>
      </c>
      <c r="G763" s="34">
        <v>1</v>
      </c>
      <c r="H763" s="35">
        <v>30</v>
      </c>
      <c r="I763" s="35">
        <f>VENTAS[[#This Row],[Cantidad]]*VENTAS[[#This Row],[Precio Venta]]</f>
        <v>30</v>
      </c>
      <c r="J763" s="35">
        <f>IF(VENTAS[[#This Row],[Nombre del Gestor]]&gt;1,VENTAS[[#This Row],[Total]]*10%,0)</f>
        <v>0</v>
      </c>
      <c r="K763" s="35">
        <f>IFERROR(VLOOKUP(VENTAS[[#This Row],[Código del producto Vendido]],STOCK[],16,FALSE)*VENTAS[[#This Row],[Cantidad]]+VLOOKUP(VENTAS[[#This Row],[Código del producto Vendido]],STOCK[],19,FALSE)*VENTAS[[#This Row],[Cantidad]],VENTAS[[#This Row],[Total]])</f>
        <v>18.6866666666667</v>
      </c>
      <c r="L763" s="35">
        <f>VENTAS[[#This Row],[Total]]-VENTAS[[#This Row],[Comisión 10%]]-VENTAS[[#This Row],[Costo SIN Comision]]</f>
        <v>11.3133333333333</v>
      </c>
      <c r="M763" s="35"/>
    </row>
    <row r="764" ht="20" customHeight="1" spans="1:13">
      <c r="A764" s="29">
        <v>45346</v>
      </c>
      <c r="B764" s="30"/>
      <c r="C764" s="30" t="s">
        <v>3469</v>
      </c>
      <c r="D764" s="30"/>
      <c r="E764" s="30" t="s">
        <v>1612</v>
      </c>
      <c r="F764" s="34" t="str">
        <f>IFERROR(VLOOKUP(VENTAS[[#This Row],[Código del producto Vendido]],STOCK[],5,FALSE),"-")</f>
        <v>Camisa Modely</v>
      </c>
      <c r="G764" s="34">
        <v>1</v>
      </c>
      <c r="H764" s="35">
        <v>22</v>
      </c>
      <c r="I764" s="35">
        <f>VENTAS[[#This Row],[Cantidad]]*VENTAS[[#This Row],[Precio Venta]]</f>
        <v>22</v>
      </c>
      <c r="J764" s="35">
        <f>IF(VENTAS[[#This Row],[Nombre del Gestor]]&gt;1,VENTAS[[#This Row],[Total]]*10%,0)</f>
        <v>0</v>
      </c>
      <c r="K764" s="35">
        <f>IFERROR(VLOOKUP(VENTAS[[#This Row],[Código del producto Vendido]],STOCK[],16,FALSE)*VENTAS[[#This Row],[Cantidad]]+VLOOKUP(VENTAS[[#This Row],[Código del producto Vendido]],STOCK[],19,FALSE)*VENTAS[[#This Row],[Cantidad]],VENTAS[[#This Row],[Total]])</f>
        <v>9.74</v>
      </c>
      <c r="L764" s="35">
        <f>VENTAS[[#This Row],[Total]]-VENTAS[[#This Row],[Comisión 10%]]-VENTAS[[#This Row],[Costo SIN Comision]]</f>
        <v>12.26</v>
      </c>
      <c r="M764" s="35"/>
    </row>
    <row r="765" ht="20" customHeight="1" spans="1:13">
      <c r="A765" s="29">
        <v>45346</v>
      </c>
      <c r="B765" s="30"/>
      <c r="C765" s="30"/>
      <c r="D765" s="30"/>
      <c r="E765" s="30" t="s">
        <v>1301</v>
      </c>
      <c r="F765" s="34" t="str">
        <f>IFERROR(VLOOKUP(VENTAS[[#This Row],[Código del producto Vendido]],STOCK[],5,FALSE),"-")</f>
        <v>Jean ajustado Claro</v>
      </c>
      <c r="G765" s="34">
        <v>1</v>
      </c>
      <c r="H765" s="35">
        <v>32</v>
      </c>
      <c r="I765" s="35">
        <f>VENTAS[[#This Row],[Cantidad]]*VENTAS[[#This Row],[Precio Venta]]</f>
        <v>32</v>
      </c>
      <c r="J765" s="35">
        <f>IF(VENTAS[[#This Row],[Nombre del Gestor]]&gt;1,VENTAS[[#This Row],[Total]]*10%,0)</f>
        <v>0</v>
      </c>
      <c r="K765" s="35">
        <f>IFERROR(VLOOKUP(VENTAS[[#This Row],[Código del producto Vendido]],STOCK[],16,FALSE)*VENTAS[[#This Row],[Cantidad]]+VLOOKUP(VENTAS[[#This Row],[Código del producto Vendido]],STOCK[],19,FALSE)*VENTAS[[#This Row],[Cantidad]],VENTAS[[#This Row],[Total]])</f>
        <v>23.79</v>
      </c>
      <c r="L765" s="35">
        <f>VENTAS[[#This Row],[Total]]-VENTAS[[#This Row],[Comisión 10%]]-VENTAS[[#This Row],[Costo SIN Comision]]</f>
        <v>8.21</v>
      </c>
      <c r="M765" s="35"/>
    </row>
    <row r="766" ht="20" customHeight="1" spans="1:13">
      <c r="A766" s="29">
        <v>45346</v>
      </c>
      <c r="B766" s="30"/>
      <c r="C766" s="30"/>
      <c r="D766" s="30" t="s">
        <v>3365</v>
      </c>
      <c r="E766" s="30" t="s">
        <v>937</v>
      </c>
      <c r="F766" s="34" t="str">
        <f>IFERROR(VLOOKUP(VENTAS[[#This Row],[Código del producto Vendido]],STOCK[],5,FALSE),"-")</f>
        <v>Vestido tropical</v>
      </c>
      <c r="G766" s="34">
        <v>1</v>
      </c>
      <c r="H766" s="35">
        <v>30</v>
      </c>
      <c r="I766" s="35">
        <f>VENTAS[[#This Row],[Cantidad]]*VENTAS[[#This Row],[Precio Venta]]</f>
        <v>30</v>
      </c>
      <c r="J766" s="35">
        <f>IF(VENTAS[[#This Row],[Nombre del Gestor]]&gt;1,VENTAS[[#This Row],[Total]]*10%,0)</f>
        <v>3</v>
      </c>
      <c r="K766" s="35">
        <f>IFERROR(VLOOKUP(VENTAS[[#This Row],[Código del producto Vendido]],STOCK[],16,FALSE)*VENTAS[[#This Row],[Cantidad]]+VLOOKUP(VENTAS[[#This Row],[Código del producto Vendido]],STOCK[],19,FALSE)*VENTAS[[#This Row],[Cantidad]],VENTAS[[#This Row],[Total]])</f>
        <v>19.0186363636364</v>
      </c>
      <c r="L766" s="35">
        <f>VENTAS[[#This Row],[Total]]-VENTAS[[#This Row],[Comisión 10%]]-VENTAS[[#This Row],[Costo SIN Comision]]</f>
        <v>7.9813636363636</v>
      </c>
      <c r="M766" s="35"/>
    </row>
    <row r="767" ht="20" customHeight="1" spans="1:13">
      <c r="A767" s="29">
        <v>45346</v>
      </c>
      <c r="B767" s="30"/>
      <c r="C767" s="30" t="s">
        <v>3473</v>
      </c>
      <c r="D767" s="30"/>
      <c r="E767" s="30" t="s">
        <v>1194</v>
      </c>
      <c r="F767" s="34" t="str">
        <f>IFERROR(VLOOKUP(VENTAS[[#This Row],[Código del producto Vendido]],STOCK[],5,FALSE),"-")</f>
        <v>Conjunto de top y falda cruzada</v>
      </c>
      <c r="G767" s="34">
        <v>1</v>
      </c>
      <c r="H767" s="35">
        <v>0</v>
      </c>
      <c r="I767" s="35">
        <f>VENTAS[[#This Row],[Cantidad]]*VENTAS[[#This Row],[Precio Venta]]</f>
        <v>0</v>
      </c>
      <c r="J767" s="35">
        <f>IF(VENTAS[[#This Row],[Nombre del Gestor]]&gt;1,VENTAS[[#This Row],[Total]]*10%,0)</f>
        <v>0</v>
      </c>
      <c r="K767" s="35">
        <f>IFERROR(VLOOKUP(VENTAS[[#This Row],[Código del producto Vendido]],STOCK[],16,FALSE)*VENTAS[[#This Row],[Cantidad]]+VLOOKUP(VENTAS[[#This Row],[Código del producto Vendido]],STOCK[],19,FALSE)*VENTAS[[#This Row],[Cantidad]],VENTAS[[#This Row],[Total]])</f>
        <v>27.82</v>
      </c>
      <c r="L767" s="35">
        <f>VENTAS[[#This Row],[Total]]-VENTAS[[#This Row],[Comisión 10%]]-VENTAS[[#This Row],[Costo SIN Comision]]</f>
        <v>-27.82</v>
      </c>
      <c r="M767" s="35"/>
    </row>
    <row r="768" ht="20" customHeight="1" spans="1:13">
      <c r="A768" s="29">
        <v>45346</v>
      </c>
      <c r="B768" s="30"/>
      <c r="C768" s="30" t="s">
        <v>3474</v>
      </c>
      <c r="D768" s="30"/>
      <c r="E768" s="30"/>
      <c r="F768" s="34" t="str">
        <f>IFERROR(VLOOKUP(VENTAS[[#This Row],[Código del producto Vendido]],STOCK[],5,FALSE),"-")</f>
        <v>-</v>
      </c>
      <c r="G768" s="34">
        <v>10</v>
      </c>
      <c r="H768" s="35">
        <v>1.8</v>
      </c>
      <c r="I768" s="35">
        <f>VENTAS[[#This Row],[Cantidad]]*VENTAS[[#This Row],[Precio Venta]]</f>
        <v>18</v>
      </c>
      <c r="J768" s="35">
        <f>IF(VENTAS[[#This Row],[Nombre del Gestor]]&gt;1,VENTAS[[#This Row],[Total]]*10%,0)</f>
        <v>0</v>
      </c>
      <c r="K768" s="35">
        <f>IFERROR(VLOOKUP(VENTAS[[#This Row],[Código del producto Vendido]],STOCK[],16,FALSE)*VENTAS[[#This Row],[Cantidad]]+VLOOKUP(VENTAS[[#This Row],[Código del producto Vendido]],STOCK[],19,FALSE)*VENTAS[[#This Row],[Cantidad]],VENTAS[[#This Row],[Total]])</f>
        <v>18</v>
      </c>
      <c r="L768" s="35">
        <f>VENTAS[[#This Row],[Total]]-VENTAS[[#This Row],[Comisión 10%]]-VENTAS[[#This Row],[Costo SIN Comision]]</f>
        <v>0</v>
      </c>
      <c r="M768" s="35"/>
    </row>
    <row r="769" ht="20" customHeight="1" spans="1:13">
      <c r="A769" s="29">
        <v>45346</v>
      </c>
      <c r="B769" s="30"/>
      <c r="C769" s="30" t="s">
        <v>3466</v>
      </c>
      <c r="D769" s="30"/>
      <c r="E769" s="30" t="s">
        <v>225</v>
      </c>
      <c r="F769" s="34" t="str">
        <f>IFERROR(VLOOKUP(VENTAS[[#This Row],[Código del producto Vendido]],STOCK[],5,FALSE),"-")</f>
        <v> Pantalón ancho con cinturón</v>
      </c>
      <c r="G769" s="34">
        <v>1</v>
      </c>
      <c r="H769" s="35">
        <v>23</v>
      </c>
      <c r="I769" s="35">
        <f>VENTAS[[#This Row],[Cantidad]]*VENTAS[[#This Row],[Precio Venta]]</f>
        <v>23</v>
      </c>
      <c r="J769" s="35">
        <f>IF(VENTAS[[#This Row],[Nombre del Gestor]]&gt;1,VENTAS[[#This Row],[Total]]*10%,0)</f>
        <v>0</v>
      </c>
      <c r="K769" s="35">
        <f>IFERROR(VLOOKUP(VENTAS[[#This Row],[Código del producto Vendido]],STOCK[],16,FALSE)*VENTAS[[#This Row],[Cantidad]]+VLOOKUP(VENTAS[[#This Row],[Código del producto Vendido]],STOCK[],19,FALSE)*VENTAS[[#This Row],[Cantidad]],VENTAS[[#This Row],[Total]])</f>
        <v>13.9444444444444</v>
      </c>
      <c r="L769" s="35">
        <f>VENTAS[[#This Row],[Total]]-VENTAS[[#This Row],[Comisión 10%]]-VENTAS[[#This Row],[Costo SIN Comision]]</f>
        <v>9.0555555555556</v>
      </c>
      <c r="M769" s="35"/>
    </row>
    <row r="770" ht="20" customHeight="1" spans="1:13">
      <c r="A770" s="29">
        <v>45346</v>
      </c>
      <c r="B770" s="30"/>
      <c r="C770" s="30" t="s">
        <v>3475</v>
      </c>
      <c r="D770" s="30"/>
      <c r="E770" s="30" t="s">
        <v>290</v>
      </c>
      <c r="F770" s="34" t="str">
        <f>IFERROR(VLOOKUP(VENTAS[[#This Row],[Código del producto Vendido]],STOCK[],5,FALSE),"-")</f>
        <v> Conjunto elegante acanalado </v>
      </c>
      <c r="G770" s="34">
        <v>1</v>
      </c>
      <c r="H770" s="35">
        <v>30</v>
      </c>
      <c r="I770" s="35">
        <f>VENTAS[[#This Row],[Cantidad]]*VENTAS[[#This Row],[Precio Venta]]</f>
        <v>30</v>
      </c>
      <c r="J770" s="35">
        <f>IF(VENTAS[[#This Row],[Nombre del Gestor]]&gt;1,VENTAS[[#This Row],[Total]]*10%,0)</f>
        <v>0</v>
      </c>
      <c r="K770" s="35">
        <f>IFERROR(VLOOKUP(VENTAS[[#This Row],[Código del producto Vendido]],STOCK[],16,FALSE)*VENTAS[[#This Row],[Cantidad]]+VLOOKUP(VENTAS[[#This Row],[Código del producto Vendido]],STOCK[],19,FALSE)*VENTAS[[#This Row],[Cantidad]],VENTAS[[#This Row],[Total]])</f>
        <v>14.7933333333333</v>
      </c>
      <c r="L770" s="35">
        <f>VENTAS[[#This Row],[Total]]-VENTAS[[#This Row],[Comisión 10%]]-VENTAS[[#This Row],[Costo SIN Comision]]</f>
        <v>15.2066666666667</v>
      </c>
      <c r="M770" s="35"/>
    </row>
    <row r="771" ht="20" customHeight="1" spans="1:13">
      <c r="A771" s="29">
        <v>45346</v>
      </c>
      <c r="B771" s="30"/>
      <c r="C771" s="30" t="s">
        <v>3476</v>
      </c>
      <c r="D771" s="30"/>
      <c r="E771" s="30" t="s">
        <v>639</v>
      </c>
      <c r="F771" s="34" t="str">
        <f>IFERROR(VLOOKUP(VENTAS[[#This Row],[Código del producto Vendido]],STOCK[],5,FALSE),"-")</f>
        <v>Vestido con estampado floral</v>
      </c>
      <c r="G771" s="34">
        <v>1</v>
      </c>
      <c r="H771" s="35">
        <v>0</v>
      </c>
      <c r="I771" s="35">
        <f>VENTAS[[#This Row],[Cantidad]]*VENTAS[[#This Row],[Precio Venta]]</f>
        <v>0</v>
      </c>
      <c r="J771" s="35">
        <f>IF(VENTAS[[#This Row],[Nombre del Gestor]]&gt;1,VENTAS[[#This Row],[Total]]*10%,0)</f>
        <v>0</v>
      </c>
      <c r="K771" s="35">
        <f>IFERROR(VLOOKUP(VENTAS[[#This Row],[Código del producto Vendido]],STOCK[],16,FALSE)*VENTAS[[#This Row],[Cantidad]]+VLOOKUP(VENTAS[[#This Row],[Código del producto Vendido]],STOCK[],19,FALSE)*VENTAS[[#This Row],[Cantidad]],VENTAS[[#This Row],[Total]])</f>
        <v>10.7222222222222</v>
      </c>
      <c r="L771" s="35">
        <f>VENTAS[[#This Row],[Total]]-VENTAS[[#This Row],[Comisión 10%]]-VENTAS[[#This Row],[Costo SIN Comision]]</f>
        <v>-10.7222222222222</v>
      </c>
      <c r="M771" s="35"/>
    </row>
    <row r="772" ht="20" customHeight="1" spans="1:13">
      <c r="A772" s="29">
        <v>45346</v>
      </c>
      <c r="B772" s="30"/>
      <c r="C772" s="30" t="s">
        <v>3475</v>
      </c>
      <c r="D772" s="30"/>
      <c r="E772" s="30" t="s">
        <v>788</v>
      </c>
      <c r="F772" s="34" t="str">
        <f>IFERROR(VLOOKUP(VENTAS[[#This Row],[Código del producto Vendido]],STOCK[],5,FALSE),"-")</f>
        <v>Visera rosa</v>
      </c>
      <c r="G772" s="34">
        <v>1</v>
      </c>
      <c r="H772" s="35">
        <v>15</v>
      </c>
      <c r="I772" s="35">
        <f>VENTAS[[#This Row],[Cantidad]]*VENTAS[[#This Row],[Precio Venta]]</f>
        <v>15</v>
      </c>
      <c r="J772" s="35">
        <f>IF(VENTAS[[#This Row],[Nombre del Gestor]]&gt;1,VENTAS[[#This Row],[Total]]*10%,0)</f>
        <v>0</v>
      </c>
      <c r="K772" s="35">
        <f>IFERROR(VLOOKUP(VENTAS[[#This Row],[Código del producto Vendido]],STOCK[],16,FALSE)*VENTAS[[#This Row],[Cantidad]]+VLOOKUP(VENTAS[[#This Row],[Código del producto Vendido]],STOCK[],19,FALSE)*VENTAS[[#This Row],[Cantidad]],VENTAS[[#This Row],[Total]])</f>
        <v>11.5555555555556</v>
      </c>
      <c r="L772" s="35">
        <f>VENTAS[[#This Row],[Total]]-VENTAS[[#This Row],[Comisión 10%]]-VENTAS[[#This Row],[Costo SIN Comision]]</f>
        <v>3.4444444444444</v>
      </c>
      <c r="M772" s="35"/>
    </row>
    <row r="773" ht="20" customHeight="1" spans="1:13">
      <c r="A773" s="29">
        <v>45346</v>
      </c>
      <c r="B773" s="30"/>
      <c r="C773" s="30" t="s">
        <v>3475</v>
      </c>
      <c r="D773" s="30"/>
      <c r="E773" s="30" t="s">
        <v>1766</v>
      </c>
      <c r="F773" s="34" t="str">
        <f>IFERROR(VLOOKUP(VENTAS[[#This Row],[Código del producto Vendido]],STOCK[],5,FALSE),"-")</f>
        <v>Calcetines bajos</v>
      </c>
      <c r="G773" s="34">
        <v>2</v>
      </c>
      <c r="H773" s="35">
        <v>1</v>
      </c>
      <c r="I773" s="35">
        <f>VENTAS[[#This Row],[Cantidad]]*VENTAS[[#This Row],[Precio Venta]]</f>
        <v>2</v>
      </c>
      <c r="J773" s="35">
        <f>IF(VENTAS[[#This Row],[Nombre del Gestor]]&gt;1,VENTAS[[#This Row],[Total]]*10%,0)</f>
        <v>0</v>
      </c>
      <c r="K773" s="35">
        <f>IFERROR(VLOOKUP(VENTAS[[#This Row],[Código del producto Vendido]],STOCK[],16,FALSE)*VENTAS[[#This Row],[Cantidad]]+VLOOKUP(VENTAS[[#This Row],[Código del producto Vendido]],STOCK[],19,FALSE)*VENTAS[[#This Row],[Cantidad]],VENTAS[[#This Row],[Total]])</f>
        <v>0.858823529411764</v>
      </c>
      <c r="L773" s="35">
        <f>VENTAS[[#This Row],[Total]]-VENTAS[[#This Row],[Comisión 10%]]-VENTAS[[#This Row],[Costo SIN Comision]]</f>
        <v>1.14117647058824</v>
      </c>
      <c r="M773" s="35"/>
    </row>
    <row r="774" ht="20" customHeight="1" spans="1:13">
      <c r="A774" s="29">
        <v>45359</v>
      </c>
      <c r="B774" s="30"/>
      <c r="C774" s="30" t="s">
        <v>3365</v>
      </c>
      <c r="D774" s="30"/>
      <c r="E774" s="30" t="s">
        <v>1783</v>
      </c>
      <c r="F774" s="34" t="str">
        <f>IFERROR(VLOOKUP(VENTAS[[#This Row],[Código del producto Vendido]],STOCK[],5,FALSE),"-")</f>
        <v>Traje de baño blanco sexy </v>
      </c>
      <c r="G774" s="34">
        <v>1</v>
      </c>
      <c r="H774" s="35">
        <v>20</v>
      </c>
      <c r="I774" s="35">
        <f>VENTAS[[#This Row],[Cantidad]]*VENTAS[[#This Row],[Precio Venta]]</f>
        <v>20</v>
      </c>
      <c r="J774" s="35">
        <f>IF(VENTAS[[#This Row],[Nombre del Gestor]]&gt;1,VENTAS[[#This Row],[Total]]*10%,0)</f>
        <v>0</v>
      </c>
      <c r="K774" s="35">
        <f>IFERROR(VLOOKUP(VENTAS[[#This Row],[Código del producto Vendido]],STOCK[],16,FALSE)*VENTAS[[#This Row],[Cantidad]]+VLOOKUP(VENTAS[[#This Row],[Código del producto Vendido]],STOCK[],19,FALSE)*VENTAS[[#This Row],[Cantidad]],VENTAS[[#This Row],[Total]])</f>
        <v>9.58823529411765</v>
      </c>
      <c r="L774" s="35">
        <f>VENTAS[[#This Row],[Total]]-VENTAS[[#This Row],[Comisión 10%]]-VENTAS[[#This Row],[Costo SIN Comision]]</f>
        <v>10.4117647058823</v>
      </c>
      <c r="M774" s="35"/>
    </row>
    <row r="775" ht="20" customHeight="1" spans="1:13">
      <c r="A775" s="29">
        <v>45359</v>
      </c>
      <c r="B775" s="30"/>
      <c r="C775" s="30" t="s">
        <v>3365</v>
      </c>
      <c r="D775" s="30"/>
      <c r="E775" s="30" t="s">
        <v>945</v>
      </c>
      <c r="F775" s="34" t="str">
        <f>IFERROR(VLOOKUP(VENTAS[[#This Row],[Código del producto Vendido]],STOCK[],5,FALSE),"-")</f>
        <v> Top Básico Business </v>
      </c>
      <c r="G775" s="34">
        <v>1</v>
      </c>
      <c r="H775" s="35">
        <v>12</v>
      </c>
      <c r="I775" s="35">
        <f>VENTAS[[#This Row],[Cantidad]]*VENTAS[[#This Row],[Precio Venta]]</f>
        <v>12</v>
      </c>
      <c r="J775" s="35">
        <f>IF(VENTAS[[#This Row],[Nombre del Gestor]]&gt;1,VENTAS[[#This Row],[Total]]*10%,0)</f>
        <v>0</v>
      </c>
      <c r="K775" s="35">
        <f>IFERROR(VLOOKUP(VENTAS[[#This Row],[Código del producto Vendido]],STOCK[],16,FALSE)*VENTAS[[#This Row],[Cantidad]]+VLOOKUP(VENTAS[[#This Row],[Código del producto Vendido]],STOCK[],19,FALSE)*VENTAS[[#This Row],[Cantidad]],VENTAS[[#This Row],[Total]])</f>
        <v>7.20909090909091</v>
      </c>
      <c r="L775" s="35">
        <f>VENTAS[[#This Row],[Total]]-VENTAS[[#This Row],[Comisión 10%]]-VENTAS[[#This Row],[Costo SIN Comision]]</f>
        <v>4.79090909090909</v>
      </c>
      <c r="M775" s="35"/>
    </row>
    <row r="776" ht="20" customHeight="1" spans="1:13">
      <c r="A776" s="29">
        <v>45359</v>
      </c>
      <c r="B776" s="30"/>
      <c r="C776" s="30" t="s">
        <v>3446</v>
      </c>
      <c r="D776" s="30"/>
      <c r="E776" s="30" t="s">
        <v>1670</v>
      </c>
      <c r="F776" s="34" t="str">
        <f>IFERROR(VLOOKUP(VENTAS[[#This Row],[Código del producto Vendido]],STOCK[],5,FALSE),"-")</f>
        <v>Conjunto Albaricoque</v>
      </c>
      <c r="G776" s="34">
        <v>1</v>
      </c>
      <c r="H776" s="35">
        <v>28</v>
      </c>
      <c r="I776" s="35">
        <f>VENTAS[[#This Row],[Cantidad]]*VENTAS[[#This Row],[Precio Venta]]</f>
        <v>28</v>
      </c>
      <c r="J776" s="35">
        <f>IF(VENTAS[[#This Row],[Nombre del Gestor]]&gt;1,VENTAS[[#This Row],[Total]]*10%,0)</f>
        <v>0</v>
      </c>
      <c r="K776" s="35">
        <f>IFERROR(VLOOKUP(VENTAS[[#This Row],[Código del producto Vendido]],STOCK[],16,FALSE)*VENTAS[[#This Row],[Cantidad]]+VLOOKUP(VENTAS[[#This Row],[Código del producto Vendido]],STOCK[],19,FALSE)*VENTAS[[#This Row],[Cantidad]],VENTAS[[#This Row],[Total]])</f>
        <v>13.97</v>
      </c>
      <c r="L776" s="35">
        <f>VENTAS[[#This Row],[Total]]-VENTAS[[#This Row],[Comisión 10%]]-VENTAS[[#This Row],[Costo SIN Comision]]</f>
        <v>14.03</v>
      </c>
      <c r="M776" s="35"/>
    </row>
    <row r="777" ht="20" customHeight="1" spans="1:13">
      <c r="A777" s="29">
        <v>45361</v>
      </c>
      <c r="B777" s="30"/>
      <c r="C777" s="30" t="s">
        <v>3477</v>
      </c>
      <c r="D777" s="30"/>
      <c r="E777" s="30" t="s">
        <v>1285</v>
      </c>
      <c r="F777" s="34" t="str">
        <f>IFERROR(VLOOKUP(VENTAS[[#This Row],[Código del producto Vendido]],STOCK[],5,FALSE),"-")</f>
        <v>Pantalón de corte recto</v>
      </c>
      <c r="G777" s="34">
        <v>1</v>
      </c>
      <c r="H777" s="35">
        <v>25</v>
      </c>
      <c r="I777" s="35">
        <f>VENTAS[[#This Row],[Cantidad]]*VENTAS[[#This Row],[Precio Venta]]</f>
        <v>25</v>
      </c>
      <c r="J777" s="35">
        <f>IF(VENTAS[[#This Row],[Nombre del Gestor]]&gt;1,VENTAS[[#This Row],[Total]]*10%,0)</f>
        <v>0</v>
      </c>
      <c r="K777" s="35">
        <f>IFERROR(VLOOKUP(VENTAS[[#This Row],[Código del producto Vendido]],STOCK[],16,FALSE)*VENTAS[[#This Row],[Cantidad]]+VLOOKUP(VENTAS[[#This Row],[Código del producto Vendido]],STOCK[],19,FALSE)*VENTAS[[#This Row],[Cantidad]],VENTAS[[#This Row],[Total]])</f>
        <v>20.78</v>
      </c>
      <c r="L777" s="35">
        <f>VENTAS[[#This Row],[Total]]-VENTAS[[#This Row],[Comisión 10%]]-VENTAS[[#This Row],[Costo SIN Comision]]</f>
        <v>4.22</v>
      </c>
      <c r="M777" s="35"/>
    </row>
    <row r="778" ht="20" customHeight="1" spans="1:13">
      <c r="A778" s="29">
        <v>45361</v>
      </c>
      <c r="B778" s="30"/>
      <c r="C778" s="30" t="s">
        <v>3477</v>
      </c>
      <c r="D778" s="30"/>
      <c r="E778" s="30" t="s">
        <v>1407</v>
      </c>
      <c r="F778" s="34" t="str">
        <f>IFERROR(VLOOKUP(VENTAS[[#This Row],[Código del producto Vendido]],STOCK[],5,FALSE),"-")</f>
        <v>Pantaloneta con abertura y bolsillos</v>
      </c>
      <c r="G778" s="34">
        <v>1</v>
      </c>
      <c r="H778" s="35">
        <v>23</v>
      </c>
      <c r="I778" s="35">
        <f>VENTAS[[#This Row],[Cantidad]]*VENTAS[[#This Row],[Precio Venta]]</f>
        <v>23</v>
      </c>
      <c r="J778" s="35">
        <f>IF(VENTAS[[#This Row],[Nombre del Gestor]]&gt;1,VENTAS[[#This Row],[Total]]*10%,0)</f>
        <v>0</v>
      </c>
      <c r="K778" s="35">
        <f>IFERROR(VLOOKUP(VENTAS[[#This Row],[Código del producto Vendido]],STOCK[],16,FALSE)*VENTAS[[#This Row],[Cantidad]]+VLOOKUP(VENTAS[[#This Row],[Código del producto Vendido]],STOCK[],19,FALSE)*VENTAS[[#This Row],[Cantidad]],VENTAS[[#This Row],[Total]])</f>
        <v>14.22</v>
      </c>
      <c r="L778" s="35">
        <f>VENTAS[[#This Row],[Total]]-VENTAS[[#This Row],[Comisión 10%]]-VENTAS[[#This Row],[Costo SIN Comision]]</f>
        <v>8.78</v>
      </c>
      <c r="M778" s="35"/>
    </row>
    <row r="779" ht="20" customHeight="1" spans="1:13">
      <c r="A779" s="29">
        <v>45363</v>
      </c>
      <c r="B779" s="30"/>
      <c r="C779" s="30"/>
      <c r="D779" s="30"/>
      <c r="E779" s="30" t="s">
        <v>1461</v>
      </c>
      <c r="F779" s="34" t="str">
        <f>IFERROR(VLOOKUP(VENTAS[[#This Row],[Código del producto Vendido]],STOCK[],5,FALSE),"-")</f>
        <v>Pantalón alto de bajo elegante</v>
      </c>
      <c r="G779" s="34">
        <v>2</v>
      </c>
      <c r="H779" s="35">
        <v>32</v>
      </c>
      <c r="I779" s="35">
        <f>VENTAS[[#This Row],[Cantidad]]*VENTAS[[#This Row],[Precio Venta]]</f>
        <v>64</v>
      </c>
      <c r="J779" s="35">
        <f>IF(VENTAS[[#This Row],[Nombre del Gestor]]&gt;1,VENTAS[[#This Row],[Total]]*10%,0)</f>
        <v>0</v>
      </c>
      <c r="K779" s="35">
        <f>IFERROR(VLOOKUP(VENTAS[[#This Row],[Código del producto Vendido]],STOCK[],16,FALSE)*VENTAS[[#This Row],[Cantidad]]+VLOOKUP(VENTAS[[#This Row],[Código del producto Vendido]],STOCK[],19,FALSE)*VENTAS[[#This Row],[Cantidad]],VENTAS[[#This Row],[Total]])</f>
        <v>32.38</v>
      </c>
      <c r="L779" s="35">
        <f>VENTAS[[#This Row],[Total]]-VENTAS[[#This Row],[Comisión 10%]]-VENTAS[[#This Row],[Costo SIN Comision]]</f>
        <v>31.62</v>
      </c>
      <c r="M779" s="35"/>
    </row>
    <row r="780" ht="20" customHeight="1" spans="1:13">
      <c r="A780" s="29">
        <v>45364</v>
      </c>
      <c r="B780" s="30"/>
      <c r="C780" s="30"/>
      <c r="D780" s="30"/>
      <c r="E780" s="30" t="s">
        <v>1696</v>
      </c>
      <c r="F780" s="34" t="str">
        <f>IFERROR(VLOOKUP(VENTAS[[#This Row],[Código del producto Vendido]],STOCK[],5,FALSE),"-")</f>
        <v>Jean Mom con bajo descosido</v>
      </c>
      <c r="G780" s="34">
        <v>1</v>
      </c>
      <c r="H780" s="35">
        <v>30</v>
      </c>
      <c r="I780" s="35">
        <f>VENTAS[[#This Row],[Cantidad]]*VENTAS[[#This Row],[Precio Venta]]</f>
        <v>30</v>
      </c>
      <c r="J780" s="35">
        <f>IF(VENTAS[[#This Row],[Nombre del Gestor]]&gt;1,VENTAS[[#This Row],[Total]]*10%,0)</f>
        <v>0</v>
      </c>
      <c r="K780" s="35">
        <f>IFERROR(VLOOKUP(VENTAS[[#This Row],[Código del producto Vendido]],STOCK[],16,FALSE)*VENTAS[[#This Row],[Cantidad]]+VLOOKUP(VENTAS[[#This Row],[Código del producto Vendido]],STOCK[],19,FALSE)*VENTAS[[#This Row],[Cantidad]],VENTAS[[#This Row],[Total]])</f>
        <v>20.5</v>
      </c>
      <c r="L780" s="35">
        <f>VENTAS[[#This Row],[Total]]-VENTAS[[#This Row],[Comisión 10%]]-VENTAS[[#This Row],[Costo SIN Comision]]</f>
        <v>9.5</v>
      </c>
      <c r="M780" s="35"/>
    </row>
    <row r="781" ht="20" customHeight="1" spans="1:13">
      <c r="A781" s="29">
        <v>45365</v>
      </c>
      <c r="B781" s="30"/>
      <c r="C781" s="30"/>
      <c r="D781" s="30"/>
      <c r="E781" s="30" t="s">
        <v>1414</v>
      </c>
      <c r="F781" s="34" t="str">
        <f>IFERROR(VLOOKUP(VENTAS[[#This Row],[Código del producto Vendido]],STOCK[],5,FALSE),"-")</f>
        <v>Jean MOM con rotos</v>
      </c>
      <c r="G781" s="34">
        <v>1</v>
      </c>
      <c r="H781" s="35">
        <v>32</v>
      </c>
      <c r="I781" s="35">
        <f>VENTAS[[#This Row],[Cantidad]]*VENTAS[[#This Row],[Precio Venta]]</f>
        <v>32</v>
      </c>
      <c r="J781" s="35">
        <f>IF(VENTAS[[#This Row],[Nombre del Gestor]]&gt;1,VENTAS[[#This Row],[Total]]*10%,0)</f>
        <v>0</v>
      </c>
      <c r="K781" s="35">
        <f>IFERROR(VLOOKUP(VENTAS[[#This Row],[Código del producto Vendido]],STOCK[],16,FALSE)*VENTAS[[#This Row],[Cantidad]]+VLOOKUP(VENTAS[[#This Row],[Código del producto Vendido]],STOCK[],19,FALSE)*VENTAS[[#This Row],[Cantidad]],VENTAS[[#This Row],[Total]])</f>
        <v>20</v>
      </c>
      <c r="L781" s="35">
        <f>VENTAS[[#This Row],[Total]]-VENTAS[[#This Row],[Comisión 10%]]-VENTAS[[#This Row],[Costo SIN Comision]]</f>
        <v>12</v>
      </c>
      <c r="M781" s="35"/>
    </row>
    <row r="782" ht="20" customHeight="1" spans="1:13">
      <c r="A782" s="29">
        <v>45366</v>
      </c>
      <c r="B782" s="30"/>
      <c r="C782" s="30"/>
      <c r="D782" s="30" t="s">
        <v>3478</v>
      </c>
      <c r="E782" s="30" t="s">
        <v>129</v>
      </c>
      <c r="F782" s="34" t="str">
        <f>IFERROR(VLOOKUP(VENTAS[[#This Row],[Código del producto Vendido]],STOCK[],5,FALSE),"-")</f>
        <v>Bibiki niñita Pez</v>
      </c>
      <c r="G782" s="34">
        <v>1</v>
      </c>
      <c r="H782" s="35">
        <v>18</v>
      </c>
      <c r="I782" s="35">
        <f>VENTAS[[#This Row],[Cantidad]]*VENTAS[[#This Row],[Precio Venta]]</f>
        <v>18</v>
      </c>
      <c r="J782" s="35">
        <f>IF(VENTAS[[#This Row],[Nombre del Gestor]]&gt;1,VENTAS[[#This Row],[Total]]*10%,0)</f>
        <v>1.8</v>
      </c>
      <c r="K782" s="35">
        <f>IFERROR(VLOOKUP(VENTAS[[#This Row],[Código del producto Vendido]],STOCK[],16,FALSE)*VENTAS[[#This Row],[Cantidad]]+VLOOKUP(VENTAS[[#This Row],[Código del producto Vendido]],STOCK[],19,FALSE)*VENTAS[[#This Row],[Cantidad]],VENTAS[[#This Row],[Total]])</f>
        <v>11.0988888888889</v>
      </c>
      <c r="L782" s="35">
        <f>VENTAS[[#This Row],[Total]]-VENTAS[[#This Row],[Comisión 10%]]-VENTAS[[#This Row],[Costo SIN Comision]]</f>
        <v>5.10111111111111</v>
      </c>
      <c r="M782" s="35"/>
    </row>
    <row r="783" ht="20" customHeight="1" spans="1:13">
      <c r="A783" s="29">
        <v>45367</v>
      </c>
      <c r="B783" s="30"/>
      <c r="C783" s="30"/>
      <c r="D783" s="30" t="s">
        <v>3478</v>
      </c>
      <c r="E783" s="30" t="s">
        <v>1414</v>
      </c>
      <c r="F783" s="34" t="str">
        <f>IFERROR(VLOOKUP(VENTAS[[#This Row],[Código del producto Vendido]],STOCK[],5,FALSE),"-")</f>
        <v>Jean MOM con rotos</v>
      </c>
      <c r="G783" s="34">
        <v>1</v>
      </c>
      <c r="H783" s="35">
        <v>32</v>
      </c>
      <c r="I783" s="35">
        <f>VENTAS[[#This Row],[Cantidad]]*VENTAS[[#This Row],[Precio Venta]]</f>
        <v>32</v>
      </c>
      <c r="J783" s="35">
        <f>IF(VENTAS[[#This Row],[Nombre del Gestor]]&gt;1,VENTAS[[#This Row],[Total]]*10%,0)</f>
        <v>3.2</v>
      </c>
      <c r="K783" s="35">
        <f>IFERROR(VLOOKUP(VENTAS[[#This Row],[Código del producto Vendido]],STOCK[],16,FALSE)*VENTAS[[#This Row],[Cantidad]]+VLOOKUP(VENTAS[[#This Row],[Código del producto Vendido]],STOCK[],19,FALSE)*VENTAS[[#This Row],[Cantidad]],VENTAS[[#This Row],[Total]])</f>
        <v>20</v>
      </c>
      <c r="L783" s="35">
        <f>VENTAS[[#This Row],[Total]]-VENTAS[[#This Row],[Comisión 10%]]-VENTAS[[#This Row],[Costo SIN Comision]]</f>
        <v>8.8</v>
      </c>
      <c r="M783" s="35"/>
    </row>
    <row r="784" ht="20" customHeight="1" spans="1:13">
      <c r="A784" s="29">
        <v>45368</v>
      </c>
      <c r="B784" s="30"/>
      <c r="C784" s="30"/>
      <c r="D784" s="30" t="s">
        <v>3478</v>
      </c>
      <c r="E784" s="30" t="s">
        <v>1301</v>
      </c>
      <c r="F784" s="34" t="str">
        <f>IFERROR(VLOOKUP(VENTAS[[#This Row],[Código del producto Vendido]],STOCK[],5,FALSE),"-")</f>
        <v>Jean ajustado Claro</v>
      </c>
      <c r="G784" s="34">
        <v>1</v>
      </c>
      <c r="H784" s="35">
        <v>32</v>
      </c>
      <c r="I784" s="35">
        <f>VENTAS[[#This Row],[Cantidad]]*VENTAS[[#This Row],[Precio Venta]]</f>
        <v>32</v>
      </c>
      <c r="J784" s="35">
        <f>IF(VENTAS[[#This Row],[Nombre del Gestor]]&gt;1,VENTAS[[#This Row],[Total]]*10%,0)</f>
        <v>3.2</v>
      </c>
      <c r="K784" s="35">
        <f>IFERROR(VLOOKUP(VENTAS[[#This Row],[Código del producto Vendido]],STOCK[],16,FALSE)*VENTAS[[#This Row],[Cantidad]]+VLOOKUP(VENTAS[[#This Row],[Código del producto Vendido]],STOCK[],19,FALSE)*VENTAS[[#This Row],[Cantidad]],VENTAS[[#This Row],[Total]])</f>
        <v>23.79</v>
      </c>
      <c r="L784" s="35">
        <f>VENTAS[[#This Row],[Total]]-VENTAS[[#This Row],[Comisión 10%]]-VENTAS[[#This Row],[Costo SIN Comision]]</f>
        <v>5.01</v>
      </c>
      <c r="M784" s="35"/>
    </row>
    <row r="785" ht="20" customHeight="1" spans="1:13">
      <c r="A785" s="29">
        <v>45366</v>
      </c>
      <c r="B785" s="30"/>
      <c r="C785" s="30"/>
      <c r="D785" s="30"/>
      <c r="E785" s="30" t="s">
        <v>1395</v>
      </c>
      <c r="F785" s="34" t="str">
        <f>IFERROR(VLOOKUP(VENTAS[[#This Row],[Código del producto Vendido]],STOCK[],5,FALSE),"-")</f>
        <v>Camiseta acanalada de bajo asimétrico blanco</v>
      </c>
      <c r="G785" s="34">
        <v>1</v>
      </c>
      <c r="H785" s="35">
        <v>12</v>
      </c>
      <c r="I785" s="35">
        <f>VENTAS[[#This Row],[Cantidad]]*VENTAS[[#This Row],[Precio Venta]]</f>
        <v>12</v>
      </c>
      <c r="J785" s="35">
        <f>IF(VENTAS[[#This Row],[Nombre del Gestor]]&gt;1,VENTAS[[#This Row],[Total]]*10%,0)</f>
        <v>0</v>
      </c>
      <c r="K785" s="35">
        <f>IFERROR(VLOOKUP(VENTAS[[#This Row],[Código del producto Vendido]],STOCK[],16,FALSE)*VENTAS[[#This Row],[Cantidad]]+VLOOKUP(VENTAS[[#This Row],[Código del producto Vendido]],STOCK[],19,FALSE)*VENTAS[[#This Row],[Cantidad]],VENTAS[[#This Row],[Total]])</f>
        <v>9</v>
      </c>
      <c r="L785" s="35">
        <f>VENTAS[[#This Row],[Total]]-VENTAS[[#This Row],[Comisión 10%]]-VENTAS[[#This Row],[Costo SIN Comision]]</f>
        <v>3</v>
      </c>
      <c r="M785" s="35"/>
    </row>
    <row r="786" ht="20" customHeight="1" spans="1:13">
      <c r="A786" s="29">
        <v>45367</v>
      </c>
      <c r="B786" s="30"/>
      <c r="C786" s="30"/>
      <c r="D786" s="30"/>
      <c r="E786" s="30" t="s">
        <v>1309</v>
      </c>
      <c r="F786" s="34" t="str">
        <f>IFERROR(VLOOKUP(VENTAS[[#This Row],[Código del producto Vendido]],STOCK[],5,FALSE),"-")</f>
        <v>Short de mezclilla suave con cinturón</v>
      </c>
      <c r="G786" s="34">
        <v>1</v>
      </c>
      <c r="H786" s="35">
        <v>19</v>
      </c>
      <c r="I786" s="35">
        <f>VENTAS[[#This Row],[Cantidad]]*VENTAS[[#This Row],[Precio Venta]]</f>
        <v>19</v>
      </c>
      <c r="J786" s="35">
        <f>IF(VENTAS[[#This Row],[Nombre del Gestor]]&gt;1,VENTAS[[#This Row],[Total]]*10%,0)</f>
        <v>0</v>
      </c>
      <c r="K786" s="35">
        <f>IFERROR(VLOOKUP(VENTAS[[#This Row],[Código del producto Vendido]],STOCK[],16,FALSE)*VENTAS[[#This Row],[Cantidad]]+VLOOKUP(VENTAS[[#This Row],[Código del producto Vendido]],STOCK[],19,FALSE)*VENTAS[[#This Row],[Cantidad]],VENTAS[[#This Row],[Total]])</f>
        <v>11</v>
      </c>
      <c r="L786" s="35">
        <f>VENTAS[[#This Row],[Total]]-VENTAS[[#This Row],[Comisión 10%]]-VENTAS[[#This Row],[Costo SIN Comision]]</f>
        <v>8</v>
      </c>
      <c r="M786" s="35"/>
    </row>
    <row r="787" ht="20" customHeight="1" spans="1:13">
      <c r="A787" s="29">
        <v>45368</v>
      </c>
      <c r="B787" s="30"/>
      <c r="C787" s="30"/>
      <c r="D787" s="30"/>
      <c r="E787" s="30" t="s">
        <v>1464</v>
      </c>
      <c r="F787" s="34" t="str">
        <f>IFERROR(VLOOKUP(VENTAS[[#This Row],[Código del producto Vendido]],STOCK[],5,FALSE),"-")</f>
        <v>Bermuda negra denim</v>
      </c>
      <c r="G787" s="34">
        <v>1</v>
      </c>
      <c r="H787" s="35">
        <v>20</v>
      </c>
      <c r="I787" s="35">
        <f>VENTAS[[#This Row],[Cantidad]]*VENTAS[[#This Row],[Precio Venta]]</f>
        <v>20</v>
      </c>
      <c r="J787" s="35">
        <f>IF(VENTAS[[#This Row],[Nombre del Gestor]]&gt;1,VENTAS[[#This Row],[Total]]*10%,0)</f>
        <v>0</v>
      </c>
      <c r="K787" s="35">
        <f>IFERROR(VLOOKUP(VENTAS[[#This Row],[Código del producto Vendido]],STOCK[],16,FALSE)*VENTAS[[#This Row],[Cantidad]]+VLOOKUP(VENTAS[[#This Row],[Código del producto Vendido]],STOCK[],19,FALSE)*VENTAS[[#This Row],[Cantidad]],VENTAS[[#This Row],[Total]])</f>
        <v>17</v>
      </c>
      <c r="L787" s="35">
        <f>VENTAS[[#This Row],[Total]]-VENTAS[[#This Row],[Comisión 10%]]-VENTAS[[#This Row],[Costo SIN Comision]]</f>
        <v>3</v>
      </c>
      <c r="M787" s="35"/>
    </row>
    <row r="788" ht="20" customHeight="1" spans="1:13">
      <c r="A788" s="29">
        <v>45369</v>
      </c>
      <c r="B788" s="30"/>
      <c r="C788" s="30"/>
      <c r="D788" s="30"/>
      <c r="E788" s="30" t="s">
        <v>1509</v>
      </c>
      <c r="F788" s="34" t="str">
        <f>IFERROR(VLOOKUP(VENTAS[[#This Row],[Código del producto Vendido]],STOCK[],5,FALSE),"-")</f>
        <v>Pantalón acampanado Blanco</v>
      </c>
      <c r="G788" s="34">
        <v>1</v>
      </c>
      <c r="H788" s="35">
        <v>28</v>
      </c>
      <c r="I788" s="35">
        <f>VENTAS[[#This Row],[Cantidad]]*VENTAS[[#This Row],[Precio Venta]]</f>
        <v>28</v>
      </c>
      <c r="J788" s="35">
        <f>IF(VENTAS[[#This Row],[Nombre del Gestor]]&gt;1,VENTAS[[#This Row],[Total]]*10%,0)</f>
        <v>0</v>
      </c>
      <c r="K788" s="35">
        <f>IFERROR(VLOOKUP(VENTAS[[#This Row],[Código del producto Vendido]],STOCK[],16,FALSE)*VENTAS[[#This Row],[Cantidad]]+VLOOKUP(VENTAS[[#This Row],[Código del producto Vendido]],STOCK[],19,FALSE)*VENTAS[[#This Row],[Cantidad]],VENTAS[[#This Row],[Total]])</f>
        <v>16.5</v>
      </c>
      <c r="L788" s="35">
        <f>VENTAS[[#This Row],[Total]]-VENTAS[[#This Row],[Comisión 10%]]-VENTAS[[#This Row],[Costo SIN Comision]]</f>
        <v>11.5</v>
      </c>
      <c r="M788" s="35"/>
    </row>
    <row r="789" ht="20" customHeight="1" spans="1:13">
      <c r="A789" s="30"/>
      <c r="B789" s="30"/>
      <c r="C789" s="30"/>
      <c r="D789" s="30"/>
      <c r="E789" s="30" t="s">
        <v>1744</v>
      </c>
      <c r="F789" s="34" t="str">
        <f>IFERROR(VLOOKUP(VENTAS[[#This Row],[Código del producto Vendido]],STOCK[],5,FALSE),"-")</f>
        <v>Traje de baño blanco sexy </v>
      </c>
      <c r="G789" s="34">
        <v>1</v>
      </c>
      <c r="H789" s="35">
        <v>20</v>
      </c>
      <c r="I789" s="35">
        <f>VENTAS[[#This Row],[Cantidad]]*VENTAS[[#This Row],[Precio Venta]]</f>
        <v>20</v>
      </c>
      <c r="J789" s="35">
        <f>IF(VENTAS[[#This Row],[Nombre del Gestor]]&gt;1,VENTAS[[#This Row],[Total]]*10%,0)</f>
        <v>0</v>
      </c>
      <c r="K789" s="35">
        <f>IFERROR(VLOOKUP(VENTAS[[#This Row],[Código del producto Vendido]],STOCK[],16,FALSE)*VENTAS[[#This Row],[Cantidad]]+VLOOKUP(VENTAS[[#This Row],[Código del producto Vendido]],STOCK[],19,FALSE)*VENTAS[[#This Row],[Cantidad]],VENTAS[[#This Row],[Total]])</f>
        <v>9.58823529411765</v>
      </c>
      <c r="L789" s="35">
        <f>VENTAS[[#This Row],[Total]]-VENTAS[[#This Row],[Comisión 10%]]-VENTAS[[#This Row],[Costo SIN Comision]]</f>
        <v>10.4117647058823</v>
      </c>
      <c r="M789" s="35" t="s">
        <v>3479</v>
      </c>
    </row>
    <row r="790" ht="20" customHeight="1" spans="1:13">
      <c r="A790" s="30"/>
      <c r="B790" s="30"/>
      <c r="C790" s="30" t="s">
        <v>3318</v>
      </c>
      <c r="D790" s="30"/>
      <c r="E790" s="30" t="s">
        <v>1738</v>
      </c>
      <c r="F790" s="34" t="str">
        <f>IFERROR(VLOOKUP(VENTAS[[#This Row],[Código del producto Vendido]],STOCK[],5,FALSE),"-")</f>
        <v>Chaleco de traje Blanco</v>
      </c>
      <c r="G790" s="34">
        <v>1</v>
      </c>
      <c r="H790" s="35">
        <v>25</v>
      </c>
      <c r="I790" s="35">
        <f>VENTAS[[#This Row],[Cantidad]]*VENTAS[[#This Row],[Precio Venta]]</f>
        <v>25</v>
      </c>
      <c r="J790" s="35">
        <f>IF(VENTAS[[#This Row],[Nombre del Gestor]]&gt;1,VENTAS[[#This Row],[Total]]*10%,0)</f>
        <v>0</v>
      </c>
      <c r="K790" s="35">
        <f>IFERROR(VLOOKUP(VENTAS[[#This Row],[Código del producto Vendido]],STOCK[],16,FALSE)*VENTAS[[#This Row],[Cantidad]]+VLOOKUP(VENTAS[[#This Row],[Código del producto Vendido]],STOCK[],19,FALSE)*VENTAS[[#This Row],[Cantidad]],VENTAS[[#This Row],[Total]])</f>
        <v>17.9411764705882</v>
      </c>
      <c r="L790" s="35">
        <f>VENTAS[[#This Row],[Total]]-VENTAS[[#This Row],[Comisión 10%]]-VENTAS[[#This Row],[Costo SIN Comision]]</f>
        <v>7.0588235294118</v>
      </c>
      <c r="M790" s="35"/>
    </row>
    <row r="791" ht="20" customHeight="1" spans="1:13">
      <c r="A791" s="30"/>
      <c r="B791" s="30"/>
      <c r="C791" s="30"/>
      <c r="D791" s="30"/>
      <c r="E791" s="30" t="s">
        <v>1673</v>
      </c>
      <c r="F791" s="34" t="str">
        <f>IFERROR(VLOOKUP(VENTAS[[#This Row],[Código del producto Vendido]],STOCK[],5,FALSE),"-")</f>
        <v>Conjunto Beis</v>
      </c>
      <c r="G791" s="34">
        <v>1</v>
      </c>
      <c r="H791" s="35">
        <v>28</v>
      </c>
      <c r="I791" s="35">
        <f>VENTAS[[#This Row],[Cantidad]]*VENTAS[[#This Row],[Precio Venta]]</f>
        <v>28</v>
      </c>
      <c r="J791" s="35">
        <f>IF(VENTAS[[#This Row],[Nombre del Gestor]]&gt;1,VENTAS[[#This Row],[Total]]*10%,0)</f>
        <v>0</v>
      </c>
      <c r="K791" s="35">
        <f>IFERROR(VLOOKUP(VENTAS[[#This Row],[Código del producto Vendido]],STOCK[],16,FALSE)*VENTAS[[#This Row],[Cantidad]]+VLOOKUP(VENTAS[[#This Row],[Código del producto Vendido]],STOCK[],19,FALSE)*VENTAS[[#This Row],[Cantidad]],VENTAS[[#This Row],[Total]])</f>
        <v>16.7</v>
      </c>
      <c r="L791" s="35">
        <f>VENTAS[[#This Row],[Total]]-VENTAS[[#This Row],[Comisión 10%]]-VENTAS[[#This Row],[Costo SIN Comision]]</f>
        <v>11.3</v>
      </c>
      <c r="M791" s="35"/>
    </row>
    <row r="792" ht="20" customHeight="1" spans="1:13">
      <c r="A792" s="30"/>
      <c r="B792" s="30"/>
      <c r="C792" s="30"/>
      <c r="D792" s="30"/>
      <c r="E792" s="30" t="s">
        <v>1622</v>
      </c>
      <c r="F792" s="34" t="str">
        <f>IFERROR(VLOOKUP(VENTAS[[#This Row],[Código del producto Vendido]],STOCK[],5,FALSE),"-")</f>
        <v>Vestido Tarsha</v>
      </c>
      <c r="G792" s="34">
        <v>1</v>
      </c>
      <c r="H792" s="35">
        <v>27</v>
      </c>
      <c r="I792" s="35">
        <f>VENTAS[[#This Row],[Cantidad]]*VENTAS[[#This Row],[Precio Venta]]</f>
        <v>27</v>
      </c>
      <c r="J792" s="35">
        <f>IF(VENTAS[[#This Row],[Nombre del Gestor]]&gt;1,VENTAS[[#This Row],[Total]]*10%,0)</f>
        <v>0</v>
      </c>
      <c r="K792" s="35">
        <f>IFERROR(VLOOKUP(VENTAS[[#This Row],[Código del producto Vendido]],STOCK[],16,FALSE)*VENTAS[[#This Row],[Cantidad]]+VLOOKUP(VENTAS[[#This Row],[Código del producto Vendido]],STOCK[],19,FALSE)*VENTAS[[#This Row],[Cantidad]],VENTAS[[#This Row],[Total]])</f>
        <v>13.97</v>
      </c>
      <c r="L792" s="35">
        <f>VENTAS[[#This Row],[Total]]-VENTAS[[#This Row],[Comisión 10%]]-VENTAS[[#This Row],[Costo SIN Comision]]</f>
        <v>13.03</v>
      </c>
      <c r="M792" s="35"/>
    </row>
    <row r="793" ht="20" customHeight="1" spans="1:13">
      <c r="A793" s="30"/>
      <c r="B793" s="30"/>
      <c r="C793" s="30"/>
      <c r="D793" s="30"/>
      <c r="E793" s="30" t="s">
        <v>1624</v>
      </c>
      <c r="F793" s="34" t="str">
        <f>IFERROR(VLOOKUP(VENTAS[[#This Row],[Código del producto Vendido]],STOCK[],5,FALSE),"-")</f>
        <v>Vestido Tarsha</v>
      </c>
      <c r="G793" s="34">
        <v>1</v>
      </c>
      <c r="H793" s="35">
        <v>27</v>
      </c>
      <c r="I793" s="35">
        <f>VENTAS[[#This Row],[Cantidad]]*VENTAS[[#This Row],[Precio Venta]]</f>
        <v>27</v>
      </c>
      <c r="J793" s="35">
        <f>IF(VENTAS[[#This Row],[Nombre del Gestor]]&gt;1,VENTAS[[#This Row],[Total]]*10%,0)</f>
        <v>0</v>
      </c>
      <c r="K793" s="35">
        <f>IFERROR(VLOOKUP(VENTAS[[#This Row],[Código del producto Vendido]],STOCK[],16,FALSE)*VENTAS[[#This Row],[Cantidad]]+VLOOKUP(VENTAS[[#This Row],[Código del producto Vendido]],STOCK[],19,FALSE)*VENTAS[[#This Row],[Cantidad]],VENTAS[[#This Row],[Total]])</f>
        <v>13.97</v>
      </c>
      <c r="L793" s="35">
        <f>VENTAS[[#This Row],[Total]]-VENTAS[[#This Row],[Comisión 10%]]-VENTAS[[#This Row],[Costo SIN Comision]]</f>
        <v>13.03</v>
      </c>
      <c r="M793" s="35"/>
    </row>
    <row r="794" ht="20" customHeight="1" spans="1:13">
      <c r="A794" s="29">
        <v>45363</v>
      </c>
      <c r="B794" s="30"/>
      <c r="C794" s="30"/>
      <c r="D794" s="30" t="s">
        <v>3478</v>
      </c>
      <c r="E794" s="30" t="s">
        <v>1805</v>
      </c>
      <c r="F794" s="34" t="str">
        <f>IFERROR(VLOOKUP(VENTAS[[#This Row],[Código del producto Vendido]],STOCK[],5,FALSE),"-")</f>
        <v>Pasador de cabello en forma de lazo</v>
      </c>
      <c r="G794" s="34">
        <v>1</v>
      </c>
      <c r="H794" s="35">
        <v>3</v>
      </c>
      <c r="I794" s="35">
        <f>VENTAS[[#This Row],[Cantidad]]*VENTAS[[#This Row],[Precio Venta]]</f>
        <v>3</v>
      </c>
      <c r="J794" s="35">
        <f>IF(VENTAS[[#This Row],[Nombre del Gestor]]&gt;1,VENTAS[[#This Row],[Total]]*10%,0)</f>
        <v>0.3</v>
      </c>
      <c r="K794" s="35">
        <f>IFERROR(VLOOKUP(VENTAS[[#This Row],[Código del producto Vendido]],STOCK[],16,FALSE)*VENTAS[[#This Row],[Cantidad]]+VLOOKUP(VENTAS[[#This Row],[Código del producto Vendido]],STOCK[],19,FALSE)*VENTAS[[#This Row],[Cantidad]],VENTAS[[#This Row],[Total]])</f>
        <v>1.73529411764706</v>
      </c>
      <c r="L794" s="35">
        <f>VENTAS[[#This Row],[Total]]-VENTAS[[#This Row],[Comisión 10%]]-VENTAS[[#This Row],[Costo SIN Comision]]</f>
        <v>0.96470588235294</v>
      </c>
      <c r="M794" s="35"/>
    </row>
    <row r="795" ht="20" customHeight="1" spans="1:13">
      <c r="A795" s="29">
        <v>45363</v>
      </c>
      <c r="B795" s="30"/>
      <c r="C795" s="30"/>
      <c r="D795" s="30" t="s">
        <v>3478</v>
      </c>
      <c r="E795" s="30" t="s">
        <v>1159</v>
      </c>
      <c r="F795" s="34" t="str">
        <f>IFERROR(VLOOKUP(VENTAS[[#This Row],[Código del producto Vendido]],STOCK[],5,FALSE),"-")</f>
        <v>Pezoneras de silicona</v>
      </c>
      <c r="G795" s="34">
        <v>1</v>
      </c>
      <c r="H795" s="35">
        <v>5</v>
      </c>
      <c r="I795" s="35">
        <f>VENTAS[[#This Row],[Cantidad]]*VENTAS[[#This Row],[Precio Venta]]</f>
        <v>5</v>
      </c>
      <c r="J795" s="35">
        <f>IF(VENTAS[[#This Row],[Nombre del Gestor]]&gt;1,VENTAS[[#This Row],[Total]]*10%,0)</f>
        <v>0.5</v>
      </c>
      <c r="K795" s="35">
        <f>IFERROR(VLOOKUP(VENTAS[[#This Row],[Código del producto Vendido]],STOCK[],16,FALSE)*VENTAS[[#This Row],[Cantidad]]+VLOOKUP(VENTAS[[#This Row],[Código del producto Vendido]],STOCK[],19,FALSE)*VENTAS[[#This Row],[Cantidad]],VENTAS[[#This Row],[Total]])</f>
        <v>2.03</v>
      </c>
      <c r="L795" s="35">
        <f>VENTAS[[#This Row],[Total]]-VENTAS[[#This Row],[Comisión 10%]]-VENTAS[[#This Row],[Costo SIN Comision]]</f>
        <v>2.47</v>
      </c>
      <c r="M795" s="35"/>
    </row>
    <row r="796" ht="20" customHeight="1" spans="1:13">
      <c r="A796" s="29">
        <v>45367</v>
      </c>
      <c r="B796" s="30"/>
      <c r="C796" s="30"/>
      <c r="D796" s="30"/>
      <c r="E796" s="30" t="s">
        <v>2016</v>
      </c>
      <c r="F796" s="34" t="str">
        <f>IFERROR(VLOOKUP(VENTAS[[#This Row],[Código del producto Vendido]],STOCK[],5,FALSE),"-")</f>
        <v>Jogger afelpado de talle alto (Nuevo)</v>
      </c>
      <c r="G796" s="34">
        <v>1</v>
      </c>
      <c r="H796" s="35">
        <v>22</v>
      </c>
      <c r="I796" s="35">
        <f>VENTAS[[#This Row],[Cantidad]]*VENTAS[[#This Row],[Precio Venta]]</f>
        <v>22</v>
      </c>
      <c r="J796" s="35">
        <f>IF(VENTAS[[#This Row],[Nombre del Gestor]]&gt;1,VENTAS[[#This Row],[Total]]*10%,0)</f>
        <v>0</v>
      </c>
      <c r="K796" s="35">
        <f>IFERROR(VLOOKUP(VENTAS[[#This Row],[Código del producto Vendido]],STOCK[],16,FALSE)*VENTAS[[#This Row],[Cantidad]]+VLOOKUP(VENTAS[[#This Row],[Código del producto Vendido]],STOCK[],19,FALSE)*VENTAS[[#This Row],[Cantidad]],VENTAS[[#This Row],[Total]])</f>
        <v>0</v>
      </c>
      <c r="L796" s="35">
        <f>VENTAS[[#This Row],[Total]]-VENTAS[[#This Row],[Comisión 10%]]-VENTAS[[#This Row],[Costo SIN Comision]]</f>
        <v>22</v>
      </c>
      <c r="M796" s="35" t="s">
        <v>3480</v>
      </c>
    </row>
    <row r="797" ht="20" customHeight="1" spans="1:13">
      <c r="A797" s="29">
        <v>45367</v>
      </c>
      <c r="B797" s="30"/>
      <c r="C797" s="30"/>
      <c r="D797" s="30" t="s">
        <v>3459</v>
      </c>
      <c r="E797" s="30" t="s">
        <v>1568</v>
      </c>
      <c r="F797" s="34" t="str">
        <f>IFERROR(VLOOKUP(VENTAS[[#This Row],[Código del producto Vendido]],STOCK[],5,FALSE),"-")</f>
        <v>Sandalias de tiras</v>
      </c>
      <c r="G797" s="34">
        <v>1</v>
      </c>
      <c r="H797" s="35">
        <v>25</v>
      </c>
      <c r="I797" s="35">
        <f>VENTAS[[#This Row],[Cantidad]]*VENTAS[[#This Row],[Precio Venta]]</f>
        <v>25</v>
      </c>
      <c r="J797" s="35">
        <f>IF(VENTAS[[#This Row],[Nombre del Gestor]]&gt;1,VENTAS[[#This Row],[Total]]*10%,0)</f>
        <v>2.5</v>
      </c>
      <c r="K797" s="35">
        <f>IFERROR(VLOOKUP(VENTAS[[#This Row],[Código del producto Vendido]],STOCK[],16,FALSE)*VENTAS[[#This Row],[Cantidad]]+VLOOKUP(VENTAS[[#This Row],[Código del producto Vendido]],STOCK[],19,FALSE)*VENTAS[[#This Row],[Cantidad]],VENTAS[[#This Row],[Total]])</f>
        <v>14</v>
      </c>
      <c r="L797" s="35">
        <f>VENTAS[[#This Row],[Total]]-VENTAS[[#This Row],[Comisión 10%]]-VENTAS[[#This Row],[Costo SIN Comision]]</f>
        <v>8.5</v>
      </c>
      <c r="M797" s="35"/>
    </row>
    <row r="798" ht="20" customHeight="1" spans="1:13">
      <c r="A798" s="29">
        <v>45371</v>
      </c>
      <c r="B798" s="30"/>
      <c r="C798" s="30" t="s">
        <v>3481</v>
      </c>
      <c r="D798" s="30" t="s">
        <v>3365</v>
      </c>
      <c r="E798" s="30" t="s">
        <v>1727</v>
      </c>
      <c r="F798" s="34" t="str">
        <f>IFERROR(VLOOKUP(VENTAS[[#This Row],[Código del producto Vendido]],STOCK[],5,FALSE),"-")</f>
        <v>Chaleco de traje Crema</v>
      </c>
      <c r="G798" s="34">
        <v>1</v>
      </c>
      <c r="H798" s="35">
        <v>25</v>
      </c>
      <c r="I798" s="35">
        <f>VENTAS[[#This Row],[Cantidad]]*VENTAS[[#This Row],[Precio Venta]]</f>
        <v>25</v>
      </c>
      <c r="J798" s="35">
        <f>IF(VENTAS[[#This Row],[Nombre del Gestor]]&gt;1,VENTAS[[#This Row],[Total]]*10%,0)</f>
        <v>2.5</v>
      </c>
      <c r="K798" s="35">
        <f>IFERROR(VLOOKUP(VENTAS[[#This Row],[Código del producto Vendido]],STOCK[],16,FALSE)*VENTAS[[#This Row],[Cantidad]]+VLOOKUP(VENTAS[[#This Row],[Código del producto Vendido]],STOCK[],19,FALSE)*VENTAS[[#This Row],[Cantidad]],VENTAS[[#This Row],[Total]])</f>
        <v>17.9411764705882</v>
      </c>
      <c r="L798" s="35">
        <f>VENTAS[[#This Row],[Total]]-VENTAS[[#This Row],[Comisión 10%]]-VENTAS[[#This Row],[Costo SIN Comision]]</f>
        <v>4.5588235294118</v>
      </c>
      <c r="M798" s="35"/>
    </row>
    <row r="799" ht="20" customHeight="1" spans="1:13">
      <c r="A799" s="29">
        <v>45372</v>
      </c>
      <c r="B799" s="30"/>
      <c r="C799" s="30" t="s">
        <v>3482</v>
      </c>
      <c r="D799" s="30"/>
      <c r="E799" s="30" t="s">
        <v>1607</v>
      </c>
      <c r="F799" s="34" t="str">
        <f>IFERROR(VLOOKUP(VENTAS[[#This Row],[Código del producto Vendido]],STOCK[],5,FALSE),"-")</f>
        <v>Vestido camisero con estampado floral </v>
      </c>
      <c r="G799" s="34">
        <v>1</v>
      </c>
      <c r="H799" s="35">
        <v>35</v>
      </c>
      <c r="I799" s="35">
        <f>VENTAS[[#This Row],[Cantidad]]*VENTAS[[#This Row],[Precio Venta]]</f>
        <v>35</v>
      </c>
      <c r="J799" s="35">
        <f>IF(VENTAS[[#This Row],[Nombre del Gestor]]&gt;1,VENTAS[[#This Row],[Total]]*10%,0)</f>
        <v>0</v>
      </c>
      <c r="K799" s="35">
        <f>IFERROR(VLOOKUP(VENTAS[[#This Row],[Código del producto Vendido]],STOCK[],16,FALSE)*VENTAS[[#This Row],[Cantidad]]+VLOOKUP(VENTAS[[#This Row],[Código del producto Vendido]],STOCK[],19,FALSE)*VENTAS[[#This Row],[Cantidad]],VENTAS[[#This Row],[Total]])</f>
        <v>14.84</v>
      </c>
      <c r="L799" s="35">
        <f>VENTAS[[#This Row],[Total]]-VENTAS[[#This Row],[Comisión 10%]]-VENTAS[[#This Row],[Costo SIN Comision]]</f>
        <v>20.16</v>
      </c>
      <c r="M799" s="35"/>
    </row>
    <row r="800" ht="20" customHeight="1" spans="1:13">
      <c r="A800" s="29">
        <v>45361</v>
      </c>
      <c r="B800" s="30"/>
      <c r="C800" s="30" t="s">
        <v>3477</v>
      </c>
      <c r="D800" s="30"/>
      <c r="E800" s="30" t="s">
        <v>1614</v>
      </c>
      <c r="F800" s="34" t="str">
        <f>IFERROR(VLOOKUP(VENTAS[[#This Row],[Código del producto Vendido]],STOCK[],5,FALSE),"-")</f>
        <v>Vestido largo estampado</v>
      </c>
      <c r="G800" s="34">
        <v>1</v>
      </c>
      <c r="H800" s="35">
        <v>35</v>
      </c>
      <c r="I800" s="35">
        <f>VENTAS[[#This Row],[Cantidad]]*VENTAS[[#This Row],[Precio Venta]]</f>
        <v>35</v>
      </c>
      <c r="J800" s="35">
        <f>IF(VENTAS[[#This Row],[Nombre del Gestor]]&gt;1,VENTAS[[#This Row],[Total]]*10%,0)</f>
        <v>0</v>
      </c>
      <c r="K800" s="35">
        <f>IFERROR(VLOOKUP(VENTAS[[#This Row],[Código del producto Vendido]],STOCK[],16,FALSE)*VENTAS[[#This Row],[Cantidad]]+VLOOKUP(VENTAS[[#This Row],[Código del producto Vendido]],STOCK[],19,FALSE)*VENTAS[[#This Row],[Cantidad]],VENTAS[[#This Row],[Total]])</f>
        <v>15.09</v>
      </c>
      <c r="L800" s="35">
        <f>VENTAS[[#This Row],[Total]]-VENTAS[[#This Row],[Comisión 10%]]-VENTAS[[#This Row],[Costo SIN Comision]]</f>
        <v>19.91</v>
      </c>
      <c r="M800" s="35"/>
    </row>
    <row r="801" ht="20" customHeight="1" spans="1:13">
      <c r="A801" s="29">
        <v>45372</v>
      </c>
      <c r="B801" s="30"/>
      <c r="C801" s="30" t="s">
        <v>3482</v>
      </c>
      <c r="D801" s="30"/>
      <c r="E801" s="30" t="s">
        <v>1786</v>
      </c>
      <c r="F801" s="34" t="str">
        <f>IFERROR(VLOOKUP(VENTAS[[#This Row],[Código del producto Vendido]],STOCK[],5,FALSE),"-")</f>
        <v>Cinturón básico grueso Negro</v>
      </c>
      <c r="G801" s="34">
        <v>1</v>
      </c>
      <c r="H801" s="35">
        <v>8</v>
      </c>
      <c r="I801" s="35">
        <f>VENTAS[[#This Row],[Cantidad]]*VENTAS[[#This Row],[Precio Venta]]</f>
        <v>8</v>
      </c>
      <c r="J801" s="35">
        <f>IF(VENTAS[[#This Row],[Nombre del Gestor]]&gt;1,VENTAS[[#This Row],[Total]]*10%,0)</f>
        <v>0</v>
      </c>
      <c r="K801" s="35">
        <f>IFERROR(VLOOKUP(VENTAS[[#This Row],[Código del producto Vendido]],STOCK[],16,FALSE)*VENTAS[[#This Row],[Cantidad]]+VLOOKUP(VENTAS[[#This Row],[Código del producto Vendido]],STOCK[],19,FALSE)*VENTAS[[#This Row],[Cantidad]],VENTAS[[#This Row],[Total]])</f>
        <v>4.23529411764706</v>
      </c>
      <c r="L801" s="35">
        <f>VENTAS[[#This Row],[Total]]-VENTAS[[#This Row],[Comisión 10%]]-VENTAS[[#This Row],[Costo SIN Comision]]</f>
        <v>3.76470588235294</v>
      </c>
      <c r="M801" s="35"/>
    </row>
    <row r="802" ht="20" customHeight="1" spans="1:13">
      <c r="A802" s="29">
        <v>45375</v>
      </c>
      <c r="B802" s="30"/>
      <c r="C802" s="30"/>
      <c r="D802" s="30" t="s">
        <v>3478</v>
      </c>
      <c r="E802" s="30" t="s">
        <v>1086</v>
      </c>
      <c r="F802" s="34" t="str">
        <f>IFERROR(VLOOKUP(VENTAS[[#This Row],[Código del producto Vendido]],STOCK[],5,FALSE),"-")</f>
        <v>Cobertor de traje de baño</v>
      </c>
      <c r="G802" s="34">
        <v>1</v>
      </c>
      <c r="H802" s="35">
        <v>10</v>
      </c>
      <c r="I802" s="35">
        <f>VENTAS[[#This Row],[Cantidad]]*VENTAS[[#This Row],[Precio Venta]]</f>
        <v>10</v>
      </c>
      <c r="J802" s="35">
        <f>IF(VENTAS[[#This Row],[Nombre del Gestor]]&gt;1,VENTAS[[#This Row],[Total]]*10%,0)</f>
        <v>1</v>
      </c>
      <c r="K802" s="35">
        <f>IFERROR(VLOOKUP(VENTAS[[#This Row],[Código del producto Vendido]],STOCK[],16,FALSE)*VENTAS[[#This Row],[Cantidad]]+VLOOKUP(VENTAS[[#This Row],[Código del producto Vendido]],STOCK[],19,FALSE)*VENTAS[[#This Row],[Cantidad]],VENTAS[[#This Row],[Total]])</f>
        <v>4.52205882352941</v>
      </c>
      <c r="L802" s="35">
        <f>VENTAS[[#This Row],[Total]]-VENTAS[[#This Row],[Comisión 10%]]-VENTAS[[#This Row],[Costo SIN Comision]]</f>
        <v>4.47794117647059</v>
      </c>
      <c r="M802" s="35"/>
    </row>
    <row r="803" ht="20" customHeight="1" spans="1:13">
      <c r="A803" s="29">
        <v>45375</v>
      </c>
      <c r="B803" s="30"/>
      <c r="C803" s="30"/>
      <c r="D803" s="30" t="s">
        <v>3478</v>
      </c>
      <c r="E803" s="30" t="s">
        <v>828</v>
      </c>
      <c r="F803" s="34" t="str">
        <f>IFERROR(VLOOKUP(VENTAS[[#This Row],[Código del producto Vendido]],STOCK[],5,FALSE),"-")</f>
        <v>Set de bikini malva</v>
      </c>
      <c r="G803" s="34">
        <v>1</v>
      </c>
      <c r="H803" s="35">
        <v>15</v>
      </c>
      <c r="I803" s="35">
        <f>VENTAS[[#This Row],[Cantidad]]*VENTAS[[#This Row],[Precio Venta]]</f>
        <v>15</v>
      </c>
      <c r="J803" s="35">
        <f>IF(VENTAS[[#This Row],[Nombre del Gestor]]&gt;1,VENTAS[[#This Row],[Total]]*10%,0)</f>
        <v>1.5</v>
      </c>
      <c r="K803" s="35">
        <f>IFERROR(VLOOKUP(VENTAS[[#This Row],[Código del producto Vendido]],STOCK[],16,FALSE)*VENTAS[[#This Row],[Cantidad]]+VLOOKUP(VENTAS[[#This Row],[Código del producto Vendido]],STOCK[],19,FALSE)*VENTAS[[#This Row],[Cantidad]],VENTAS[[#This Row],[Total]])</f>
        <v>9.22222222222222</v>
      </c>
      <c r="L803" s="35">
        <f>VENTAS[[#This Row],[Total]]-VENTAS[[#This Row],[Comisión 10%]]-VENTAS[[#This Row],[Costo SIN Comision]]</f>
        <v>4.27777777777778</v>
      </c>
      <c r="M803" s="35"/>
    </row>
    <row r="804" ht="20" customHeight="1" spans="1:13">
      <c r="A804" s="29">
        <v>45361</v>
      </c>
      <c r="B804" s="30"/>
      <c r="C804" s="30" t="s">
        <v>3477</v>
      </c>
      <c r="D804" s="30"/>
      <c r="E804" s="30" t="s">
        <v>818</v>
      </c>
      <c r="F804" s="34" t="str">
        <f>IFERROR(VLOOKUP(VENTAS[[#This Row],[Código del producto Vendido]],STOCK[],5,FALSE),"-")</f>
        <v>Blusa atada bohemia</v>
      </c>
      <c r="G804" s="34">
        <v>1</v>
      </c>
      <c r="H804" s="35">
        <v>10</v>
      </c>
      <c r="I804" s="35">
        <f>VENTAS[[#This Row],[Cantidad]]*VENTAS[[#This Row],[Precio Venta]]</f>
        <v>10</v>
      </c>
      <c r="J804" s="35">
        <f>IF(VENTAS[[#This Row],[Nombre del Gestor]]&gt;1,VENTAS[[#This Row],[Total]]*10%,0)</f>
        <v>0</v>
      </c>
      <c r="K804" s="35">
        <f>IFERROR(VLOOKUP(VENTAS[[#This Row],[Código del producto Vendido]],STOCK[],16,FALSE)*VENTAS[[#This Row],[Cantidad]]+VLOOKUP(VENTAS[[#This Row],[Código del producto Vendido]],STOCK[],19,FALSE)*VENTAS[[#This Row],[Cantidad]],VENTAS[[#This Row],[Total]])</f>
        <v>8</v>
      </c>
      <c r="L804" s="35">
        <f>VENTAS[[#This Row],[Total]]-VENTAS[[#This Row],[Comisión 10%]]-VENTAS[[#This Row],[Costo SIN Comision]]</f>
        <v>2</v>
      </c>
      <c r="M804" s="35"/>
    </row>
    <row r="805" ht="20" customHeight="1" spans="1:13">
      <c r="A805" s="29">
        <v>45376</v>
      </c>
      <c r="B805" s="30"/>
      <c r="C805" s="30"/>
      <c r="D805" s="30" t="s">
        <v>3478</v>
      </c>
      <c r="E805" s="30" t="s">
        <v>404</v>
      </c>
      <c r="F805" s="34" t="str">
        <f>IFERROR(VLOOKUP(VENTAS[[#This Row],[Código del producto Vendido]],STOCK[],5,FALSE),"-")</f>
        <v>Vestido Bohemio</v>
      </c>
      <c r="G805" s="34">
        <v>1</v>
      </c>
      <c r="H805" s="35">
        <v>20</v>
      </c>
      <c r="I805" s="35">
        <f>VENTAS[[#This Row],[Cantidad]]*VENTAS[[#This Row],[Precio Venta]]</f>
        <v>20</v>
      </c>
      <c r="J805" s="35">
        <f>IF(VENTAS[[#This Row],[Nombre del Gestor]]&gt;1,VENTAS[[#This Row],[Total]]*10%,0)</f>
        <v>2</v>
      </c>
      <c r="K805" s="35">
        <f>IFERROR(VLOOKUP(VENTAS[[#This Row],[Código del producto Vendido]],STOCK[],16,FALSE)*VENTAS[[#This Row],[Cantidad]]+VLOOKUP(VENTAS[[#This Row],[Código del producto Vendido]],STOCK[],19,FALSE)*VENTAS[[#This Row],[Cantidad]],VENTAS[[#This Row],[Total]])</f>
        <v>12.5705555555556</v>
      </c>
      <c r="L805" s="35">
        <f>VENTAS[[#This Row],[Total]]-VENTAS[[#This Row],[Comisión 10%]]-VENTAS[[#This Row],[Costo SIN Comision]]</f>
        <v>5.42944444444444</v>
      </c>
      <c r="M805" s="35"/>
    </row>
    <row r="806" ht="20" customHeight="1" spans="1:13">
      <c r="A806" s="29">
        <v>45376</v>
      </c>
      <c r="B806" s="30"/>
      <c r="C806" s="30"/>
      <c r="D806" s="30"/>
      <c r="E806" s="30" t="s">
        <v>1588</v>
      </c>
      <c r="F806" s="34" t="str">
        <f>IFERROR(VLOOKUP(VENTAS[[#This Row],[Código del producto Vendido]],STOCK[],5,FALSE),"-")</f>
        <v>Sandalias flip de plataforma Naranja Marca F21</v>
      </c>
      <c r="G806" s="34">
        <v>1</v>
      </c>
      <c r="H806" s="35">
        <v>15</v>
      </c>
      <c r="I806" s="35">
        <f>VENTAS[[#This Row],[Cantidad]]*VENTAS[[#This Row],[Precio Venta]]</f>
        <v>15</v>
      </c>
      <c r="J806" s="35">
        <f>IF(VENTAS[[#This Row],[Nombre del Gestor]]&gt;1,VENTAS[[#This Row],[Total]]*10%,0)</f>
        <v>0</v>
      </c>
      <c r="K806" s="35">
        <f>IFERROR(VLOOKUP(VENTAS[[#This Row],[Código del producto Vendido]],STOCK[],16,FALSE)*VENTAS[[#This Row],[Cantidad]]+VLOOKUP(VENTAS[[#This Row],[Código del producto Vendido]],STOCK[],19,FALSE)*VENTAS[[#This Row],[Cantidad]],VENTAS[[#This Row],[Total]])</f>
        <v>9.49</v>
      </c>
      <c r="L806" s="35">
        <f>VENTAS[[#This Row],[Total]]-VENTAS[[#This Row],[Comisión 10%]]-VENTAS[[#This Row],[Costo SIN Comision]]</f>
        <v>5.51</v>
      </c>
      <c r="M806" s="35"/>
    </row>
    <row r="807" ht="20" customHeight="1" spans="1:13">
      <c r="A807" s="29">
        <v>45376</v>
      </c>
      <c r="B807" s="30"/>
      <c r="C807" s="30"/>
      <c r="D807" s="30"/>
      <c r="E807" s="30" t="s">
        <v>75</v>
      </c>
      <c r="F807" s="34" t="str">
        <f>IFERROR(VLOOKUP(VENTAS[[#This Row],[Código del producto Vendido]],STOCK[],5,FALSE),"-")</f>
        <v>Pareo pantalón de malla</v>
      </c>
      <c r="G807" s="34">
        <v>1</v>
      </c>
      <c r="H807" s="35">
        <v>15</v>
      </c>
      <c r="I807" s="35">
        <f>VENTAS[[#This Row],[Cantidad]]*VENTAS[[#This Row],[Precio Venta]]</f>
        <v>15</v>
      </c>
      <c r="J807" s="35">
        <f>IF(VENTAS[[#This Row],[Nombre del Gestor]]&gt;1,VENTAS[[#This Row],[Total]]*10%,0)</f>
        <v>0</v>
      </c>
      <c r="K807" s="35">
        <f>IFERROR(VLOOKUP(VENTAS[[#This Row],[Código del producto Vendido]],STOCK[],16,FALSE)*VENTAS[[#This Row],[Cantidad]]+VLOOKUP(VENTAS[[#This Row],[Código del producto Vendido]],STOCK[],19,FALSE)*VENTAS[[#This Row],[Cantidad]],VENTAS[[#This Row],[Total]])</f>
        <v>9.36055555555556</v>
      </c>
      <c r="L807" s="35">
        <f>VENTAS[[#This Row],[Total]]-VENTAS[[#This Row],[Comisión 10%]]-VENTAS[[#This Row],[Costo SIN Comision]]</f>
        <v>5.63944444444444</v>
      </c>
      <c r="M807" s="35"/>
    </row>
    <row r="808" ht="20" customHeight="1" spans="1:13">
      <c r="A808" s="29">
        <v>45376</v>
      </c>
      <c r="B808" s="30"/>
      <c r="C808" s="30"/>
      <c r="D808" s="30"/>
      <c r="E808" s="30" t="s">
        <v>482</v>
      </c>
      <c r="F808" s="34" t="str">
        <f>IFERROR(VLOOKUP(VENTAS[[#This Row],[Código del producto Vendido]],STOCK[],5,FALSE),"-")</f>
        <v>Bikini estampado cebra</v>
      </c>
      <c r="G808" s="34">
        <v>1</v>
      </c>
      <c r="H808" s="35">
        <v>15</v>
      </c>
      <c r="I808" s="35">
        <f>VENTAS[[#This Row],[Cantidad]]*VENTAS[[#This Row],[Precio Venta]]</f>
        <v>15</v>
      </c>
      <c r="J808" s="35">
        <f>IF(VENTAS[[#This Row],[Nombre del Gestor]]&gt;1,VENTAS[[#This Row],[Total]]*10%,0)</f>
        <v>0</v>
      </c>
      <c r="K808" s="35">
        <f>IFERROR(VLOOKUP(VENTAS[[#This Row],[Código del producto Vendido]],STOCK[],16,FALSE)*VENTAS[[#This Row],[Cantidad]]+VLOOKUP(VENTAS[[#This Row],[Código del producto Vendido]],STOCK[],19,FALSE)*VENTAS[[#This Row],[Cantidad]],VENTAS[[#This Row],[Total]])</f>
        <v>8.78722222222222</v>
      </c>
      <c r="L808" s="35">
        <f>VENTAS[[#This Row],[Total]]-VENTAS[[#This Row],[Comisión 10%]]-VENTAS[[#This Row],[Costo SIN Comision]]</f>
        <v>6.21277777777778</v>
      </c>
      <c r="M808" s="35"/>
    </row>
    <row r="809" ht="20" customHeight="1" spans="1:13">
      <c r="A809" s="29">
        <v>45376</v>
      </c>
      <c r="B809" s="30"/>
      <c r="C809" s="30"/>
      <c r="D809" s="30"/>
      <c r="E809" s="30" t="s">
        <v>498</v>
      </c>
      <c r="F809" s="34" t="str">
        <f>IFERROR(VLOOKUP(VENTAS[[#This Row],[Código del producto Vendido]],STOCK[],5,FALSE),"-")</f>
        <v>Vestido Bohemio</v>
      </c>
      <c r="G809" s="34">
        <v>1</v>
      </c>
      <c r="H809" s="35">
        <v>25</v>
      </c>
      <c r="I809" s="35">
        <f>VENTAS[[#This Row],[Cantidad]]*VENTAS[[#This Row],[Precio Venta]]</f>
        <v>25</v>
      </c>
      <c r="J809" s="35">
        <f>IF(VENTAS[[#This Row],[Nombre del Gestor]]&gt;1,VENTAS[[#This Row],[Total]]*10%,0)</f>
        <v>0</v>
      </c>
      <c r="K809" s="35">
        <f>IFERROR(VLOOKUP(VENTAS[[#This Row],[Código del producto Vendido]],STOCK[],16,FALSE)*VENTAS[[#This Row],[Cantidad]]+VLOOKUP(VENTAS[[#This Row],[Código del producto Vendido]],STOCK[],19,FALSE)*VENTAS[[#This Row],[Cantidad]],VENTAS[[#This Row],[Total]])</f>
        <v>10.1894444444444</v>
      </c>
      <c r="L809" s="35">
        <f>VENTAS[[#This Row],[Total]]-VENTAS[[#This Row],[Comisión 10%]]-VENTAS[[#This Row],[Costo SIN Comision]]</f>
        <v>14.8105555555556</v>
      </c>
      <c r="M809" s="35"/>
    </row>
    <row r="810" ht="20" customHeight="1" spans="1:13">
      <c r="A810" s="29">
        <v>45376</v>
      </c>
      <c r="B810" s="30"/>
      <c r="C810" s="30"/>
      <c r="D810" s="30"/>
      <c r="E810" s="30" t="s">
        <v>1397</v>
      </c>
      <c r="F810" s="34" t="str">
        <f>IFERROR(VLOOKUP(VENTAS[[#This Row],[Código del producto Vendido]],STOCK[],5,FALSE),"-")</f>
        <v>Camiseta acanalada de bajo asimétrico blanco</v>
      </c>
      <c r="G810" s="34">
        <v>1</v>
      </c>
      <c r="H810" s="35">
        <v>12</v>
      </c>
      <c r="I810" s="35">
        <f>VENTAS[[#This Row],[Cantidad]]*VENTAS[[#This Row],[Precio Venta]]</f>
        <v>12</v>
      </c>
      <c r="J810" s="35">
        <f>IF(VENTAS[[#This Row],[Nombre del Gestor]]&gt;1,VENTAS[[#This Row],[Total]]*10%,0)</f>
        <v>0</v>
      </c>
      <c r="K810" s="35">
        <f>IFERROR(VLOOKUP(VENTAS[[#This Row],[Código del producto Vendido]],STOCK[],16,FALSE)*VENTAS[[#This Row],[Cantidad]]+VLOOKUP(VENTAS[[#This Row],[Código del producto Vendido]],STOCK[],19,FALSE)*VENTAS[[#This Row],[Cantidad]],VENTAS[[#This Row],[Total]])</f>
        <v>9</v>
      </c>
      <c r="L810" s="35">
        <f>VENTAS[[#This Row],[Total]]-VENTAS[[#This Row],[Comisión 10%]]-VENTAS[[#This Row],[Costo SIN Comision]]</f>
        <v>3</v>
      </c>
      <c r="M810" s="35"/>
    </row>
    <row r="811" ht="20" customHeight="1" spans="1:13">
      <c r="A811" s="29">
        <v>45378</v>
      </c>
      <c r="B811" s="30"/>
      <c r="C811" s="30"/>
      <c r="D811" s="30"/>
      <c r="E811" s="30" t="s">
        <v>1529</v>
      </c>
      <c r="F811" s="34" t="str">
        <f>IFERROR(VLOOKUP(VENTAS[[#This Row],[Código del producto Vendido]],STOCK[],5,FALSE),"-")</f>
        <v>Bolso de Mimbre</v>
      </c>
      <c r="G811" s="34">
        <v>1</v>
      </c>
      <c r="H811" s="35">
        <v>22</v>
      </c>
      <c r="I811" s="35">
        <f>VENTAS[[#This Row],[Cantidad]]*VENTAS[[#This Row],[Precio Venta]]</f>
        <v>22</v>
      </c>
      <c r="J811" s="35">
        <f>IF(VENTAS[[#This Row],[Nombre del Gestor]]&gt;1,VENTAS[[#This Row],[Total]]*10%,0)</f>
        <v>0</v>
      </c>
      <c r="K811" s="35">
        <f>IFERROR(VLOOKUP(VENTAS[[#This Row],[Código del producto Vendido]],STOCK[],16,FALSE)*VENTAS[[#This Row],[Cantidad]]+VLOOKUP(VENTAS[[#This Row],[Código del producto Vendido]],STOCK[],19,FALSE)*VENTAS[[#This Row],[Cantidad]],VENTAS[[#This Row],[Total]])</f>
        <v>14.5</v>
      </c>
      <c r="L811" s="35">
        <f>VENTAS[[#This Row],[Total]]-VENTAS[[#This Row],[Comisión 10%]]-VENTAS[[#This Row],[Costo SIN Comision]]</f>
        <v>7.5</v>
      </c>
      <c r="M811" s="35"/>
    </row>
    <row r="812" ht="20" customHeight="1" spans="1:13">
      <c r="A812" s="29">
        <v>45378</v>
      </c>
      <c r="B812" s="30"/>
      <c r="C812" s="30"/>
      <c r="D812" s="30" t="s">
        <v>3478</v>
      </c>
      <c r="E812" s="30" t="s">
        <v>1529</v>
      </c>
      <c r="F812" s="34" t="str">
        <f>IFERROR(VLOOKUP(VENTAS[[#This Row],[Código del producto Vendido]],STOCK[],5,FALSE),"-")</f>
        <v>Bolso de Mimbre</v>
      </c>
      <c r="G812" s="34">
        <v>1</v>
      </c>
      <c r="H812" s="35">
        <v>22</v>
      </c>
      <c r="I812" s="35">
        <f>VENTAS[[#This Row],[Cantidad]]*VENTAS[[#This Row],[Precio Venta]]</f>
        <v>22</v>
      </c>
      <c r="J812" s="35">
        <f>IF(VENTAS[[#This Row],[Nombre del Gestor]]&gt;1,VENTAS[[#This Row],[Total]]*10%,0)</f>
        <v>2.2</v>
      </c>
      <c r="K812" s="35">
        <f>IFERROR(VLOOKUP(VENTAS[[#This Row],[Código del producto Vendido]],STOCK[],16,FALSE)*VENTAS[[#This Row],[Cantidad]]+VLOOKUP(VENTAS[[#This Row],[Código del producto Vendido]],STOCK[],19,FALSE)*VENTAS[[#This Row],[Cantidad]],VENTAS[[#This Row],[Total]])</f>
        <v>14.5</v>
      </c>
      <c r="L812" s="35">
        <f>VENTAS[[#This Row],[Total]]-VENTAS[[#This Row],[Comisión 10%]]-VENTAS[[#This Row],[Costo SIN Comision]]</f>
        <v>5.3</v>
      </c>
      <c r="M812" s="35"/>
    </row>
    <row r="813" ht="20" customHeight="1" spans="1:13">
      <c r="A813" s="29">
        <v>45378</v>
      </c>
      <c r="B813" s="30"/>
      <c r="C813" s="30"/>
      <c r="D813" s="30"/>
      <c r="E813" s="30" t="s">
        <v>1010</v>
      </c>
      <c r="F813" s="34" t="str">
        <f>IFERROR(VLOOKUP(VENTAS[[#This Row],[Código del producto Vendido]],STOCK[],5,FALSE),"-")</f>
        <v>Maxi Vestido con Bolsillo</v>
      </c>
      <c r="G813" s="34">
        <v>1</v>
      </c>
      <c r="H813" s="35">
        <v>35</v>
      </c>
      <c r="I813" s="35">
        <f>VENTAS[[#This Row],[Cantidad]]*VENTAS[[#This Row],[Precio Venta]]</f>
        <v>35</v>
      </c>
      <c r="J813" s="35">
        <f>IF(VENTAS[[#This Row],[Nombre del Gestor]]&gt;1,VENTAS[[#This Row],[Total]]*10%,0)</f>
        <v>0</v>
      </c>
      <c r="K813" s="35">
        <f>IFERROR(VLOOKUP(VENTAS[[#This Row],[Código del producto Vendido]],STOCK[],16,FALSE)*VENTAS[[#This Row],[Cantidad]]+VLOOKUP(VENTAS[[#This Row],[Código del producto Vendido]],STOCK[],19,FALSE)*VENTAS[[#This Row],[Cantidad]],VENTAS[[#This Row],[Total]])</f>
        <v>24.2045454545455</v>
      </c>
      <c r="L813" s="35">
        <f>VENTAS[[#This Row],[Total]]-VENTAS[[#This Row],[Comisión 10%]]-VENTAS[[#This Row],[Costo SIN Comision]]</f>
        <v>10.7954545454545</v>
      </c>
      <c r="M813" s="35"/>
    </row>
    <row r="814" ht="20" customHeight="1" spans="1:13">
      <c r="A814" s="29">
        <v>45380</v>
      </c>
      <c r="B814" s="30"/>
      <c r="C814" s="30"/>
      <c r="D814" s="30" t="s">
        <v>3365</v>
      </c>
      <c r="E814" s="30" t="s">
        <v>1757</v>
      </c>
      <c r="F814" s="34" t="str">
        <f>IFERROR(VLOOKUP(VENTAS[[#This Row],[Código del producto Vendido]],STOCK[],5,FALSE),"-")</f>
        <v>Zapatillas blanco casual</v>
      </c>
      <c r="G814" s="34">
        <v>1</v>
      </c>
      <c r="H814" s="35">
        <v>35</v>
      </c>
      <c r="I814" s="35">
        <f>VENTAS[[#This Row],[Cantidad]]*VENTAS[[#This Row],[Precio Venta]]</f>
        <v>35</v>
      </c>
      <c r="J814" s="35">
        <f>IF(VENTAS[[#This Row],[Nombre del Gestor]]&gt;1,VENTAS[[#This Row],[Total]]*10%,0)</f>
        <v>3.5</v>
      </c>
      <c r="K814" s="35">
        <f>IFERROR(VLOOKUP(VENTAS[[#This Row],[Código del producto Vendido]],STOCK[],16,FALSE)*VENTAS[[#This Row],[Cantidad]]+VLOOKUP(VENTAS[[#This Row],[Código del producto Vendido]],STOCK[],19,FALSE)*VENTAS[[#This Row],[Cantidad]],VENTAS[[#This Row],[Total]])</f>
        <v>25.4705882352941</v>
      </c>
      <c r="L814" s="35">
        <f>VENTAS[[#This Row],[Total]]-VENTAS[[#This Row],[Comisión 10%]]-VENTAS[[#This Row],[Costo SIN Comision]]</f>
        <v>6.0294117647059</v>
      </c>
      <c r="M814" s="35"/>
    </row>
    <row r="815" ht="20" customHeight="1" spans="1:13">
      <c r="A815" s="29">
        <v>45381</v>
      </c>
      <c r="B815" s="30"/>
      <c r="C815" s="30"/>
      <c r="D815" s="30" t="s">
        <v>3478</v>
      </c>
      <c r="E815" s="30" t="s">
        <v>1621</v>
      </c>
      <c r="F815" s="34" t="str">
        <f>IFERROR(VLOOKUP(VENTAS[[#This Row],[Código del producto Vendido]],STOCK[],5,FALSE),"-")</f>
        <v>Sandalias minimalistas de tacón</v>
      </c>
      <c r="G815" s="34">
        <v>1</v>
      </c>
      <c r="H815" s="35">
        <v>39</v>
      </c>
      <c r="I815" s="35">
        <f>VENTAS[[#This Row],[Cantidad]]*VENTAS[[#This Row],[Precio Venta]]</f>
        <v>39</v>
      </c>
      <c r="J815" s="35">
        <f>IF(VENTAS[[#This Row],[Nombre del Gestor]]&gt;1,VENTAS[[#This Row],[Total]]*10%,0)</f>
        <v>3.9</v>
      </c>
      <c r="K815" s="35">
        <f>IFERROR(VLOOKUP(VENTAS[[#This Row],[Código del producto Vendido]],STOCK[],16,FALSE)*VENTAS[[#This Row],[Cantidad]]+VLOOKUP(VENTAS[[#This Row],[Código del producto Vendido]],STOCK[],19,FALSE)*VENTAS[[#This Row],[Cantidad]],VENTAS[[#This Row],[Total]])</f>
        <v>20.86</v>
      </c>
      <c r="L815" s="35">
        <f>VENTAS[[#This Row],[Total]]-VENTAS[[#This Row],[Comisión 10%]]-VENTAS[[#This Row],[Costo SIN Comision]]</f>
        <v>14.24</v>
      </c>
      <c r="M815" s="35"/>
    </row>
    <row r="816" ht="20" customHeight="1" spans="1:13">
      <c r="A816" s="29">
        <v>45381</v>
      </c>
      <c r="B816" s="30"/>
      <c r="C816" s="30"/>
      <c r="D816" s="30" t="s">
        <v>3478</v>
      </c>
      <c r="E816" s="30" t="s">
        <v>1726</v>
      </c>
      <c r="F816" s="34" t="str">
        <f>IFERROR(VLOOKUP(VENTAS[[#This Row],[Código del producto Vendido]],STOCK[],5,FALSE),"-")</f>
        <v>Zapato de punta fina y Tacón Cuadrado</v>
      </c>
      <c r="G816" s="34">
        <v>1</v>
      </c>
      <c r="H816" s="35">
        <v>40</v>
      </c>
      <c r="I816" s="35">
        <f>VENTAS[[#This Row],[Cantidad]]*VENTAS[[#This Row],[Precio Venta]]</f>
        <v>40</v>
      </c>
      <c r="J816" s="35">
        <f>IF(VENTAS[[#This Row],[Nombre del Gestor]]&gt;1,VENTAS[[#This Row],[Total]]*10%,0)</f>
        <v>4</v>
      </c>
      <c r="K816" s="35">
        <f>IFERROR(VLOOKUP(VENTAS[[#This Row],[Código del producto Vendido]],STOCK[],16,FALSE)*VENTAS[[#This Row],[Cantidad]]+VLOOKUP(VENTAS[[#This Row],[Código del producto Vendido]],STOCK[],19,FALSE)*VENTAS[[#This Row],[Cantidad]],VENTAS[[#This Row],[Total]])</f>
        <v>27.5</v>
      </c>
      <c r="L816" s="35">
        <f>VENTAS[[#This Row],[Total]]-VENTAS[[#This Row],[Comisión 10%]]-VENTAS[[#This Row],[Costo SIN Comision]]</f>
        <v>8.5</v>
      </c>
      <c r="M816" s="35"/>
    </row>
    <row r="817" ht="20" customHeight="1" spans="1:13">
      <c r="A817" s="29">
        <v>45381</v>
      </c>
      <c r="B817" s="30"/>
      <c r="C817" s="30"/>
      <c r="D817" s="30" t="s">
        <v>3478</v>
      </c>
      <c r="E817" s="30" t="s">
        <v>1682</v>
      </c>
      <c r="F817" s="34" t="str">
        <f>IFERROR(VLOOKUP(VENTAS[[#This Row],[Código del producto Vendido]],STOCK[],5,FALSE),"-")</f>
        <v>Vestido de mangas en contraste</v>
      </c>
      <c r="G817" s="34">
        <v>1</v>
      </c>
      <c r="H817" s="35">
        <v>28</v>
      </c>
      <c r="I817" s="35">
        <f>VENTAS[[#This Row],[Cantidad]]*VENTAS[[#This Row],[Precio Venta]]</f>
        <v>28</v>
      </c>
      <c r="J817" s="35">
        <f>IF(VENTAS[[#This Row],[Nombre del Gestor]]&gt;1,VENTAS[[#This Row],[Total]]*10%,0)</f>
        <v>2.8</v>
      </c>
      <c r="K817" s="35">
        <f>IFERROR(VLOOKUP(VENTAS[[#This Row],[Código del producto Vendido]],STOCK[],16,FALSE)*VENTAS[[#This Row],[Cantidad]]+VLOOKUP(VENTAS[[#This Row],[Código del producto Vendido]],STOCK[],19,FALSE)*VENTAS[[#This Row],[Cantidad]],VENTAS[[#This Row],[Total]])</f>
        <v>17.25</v>
      </c>
      <c r="L817" s="35">
        <f>VENTAS[[#This Row],[Total]]-VENTAS[[#This Row],[Comisión 10%]]-VENTAS[[#This Row],[Costo SIN Comision]]</f>
        <v>7.95</v>
      </c>
      <c r="M817" s="35"/>
    </row>
    <row r="818" ht="20" customHeight="1" spans="1:13">
      <c r="A818" s="29">
        <v>45382</v>
      </c>
      <c r="B818" s="30"/>
      <c r="C818" s="30"/>
      <c r="D818" s="30"/>
      <c r="E818" s="30" t="s">
        <v>100</v>
      </c>
      <c r="F818" s="34" t="str">
        <f>IFERROR(VLOOKUP(VENTAS[[#This Row],[Código del producto Vendido]],STOCK[],5,FALSE),"-")</f>
        <v>Pareo pantalón de malla</v>
      </c>
      <c r="G818" s="34">
        <v>1</v>
      </c>
      <c r="H818" s="35">
        <v>15</v>
      </c>
      <c r="I818" s="35">
        <f>VENTAS[[#This Row],[Cantidad]]*VENTAS[[#This Row],[Precio Venta]]</f>
        <v>15</v>
      </c>
      <c r="J818" s="35">
        <f>IF(VENTAS[[#This Row],[Nombre del Gestor]]&gt;1,VENTAS[[#This Row],[Total]]*10%,0)</f>
        <v>0</v>
      </c>
      <c r="K818" s="35">
        <f>IFERROR(VLOOKUP(VENTAS[[#This Row],[Código del producto Vendido]],STOCK[],16,FALSE)*VENTAS[[#This Row],[Cantidad]]+VLOOKUP(VENTAS[[#This Row],[Código del producto Vendido]],STOCK[],19,FALSE)*VENTAS[[#This Row],[Cantidad]],VENTAS[[#This Row],[Total]])</f>
        <v>9.78555555555556</v>
      </c>
      <c r="L818" s="35">
        <f>VENTAS[[#This Row],[Total]]-VENTAS[[#This Row],[Comisión 10%]]-VENTAS[[#This Row],[Costo SIN Comision]]</f>
        <v>5.21444444444444</v>
      </c>
      <c r="M818" s="35"/>
    </row>
    <row r="819" ht="20" customHeight="1" spans="1:13">
      <c r="A819" s="30"/>
      <c r="B819" s="30"/>
      <c r="C819" s="30" t="s">
        <v>3477</v>
      </c>
      <c r="D819" s="30"/>
      <c r="E819" s="30" t="s">
        <v>1738</v>
      </c>
      <c r="F819" s="34" t="str">
        <f>IFERROR(VLOOKUP(VENTAS[[#This Row],[Código del producto Vendido]],STOCK[],5,FALSE),"-")</f>
        <v>Chaleco de traje Blanco</v>
      </c>
      <c r="G819" s="34">
        <v>1</v>
      </c>
      <c r="H819" s="35">
        <v>25</v>
      </c>
      <c r="I819" s="35">
        <f>VENTAS[[#This Row],[Cantidad]]*VENTAS[[#This Row],[Precio Venta]]</f>
        <v>25</v>
      </c>
      <c r="J819" s="35">
        <f>IF(VENTAS[[#This Row],[Nombre del Gestor]]&gt;1,VENTAS[[#This Row],[Total]]*10%,0)</f>
        <v>0</v>
      </c>
      <c r="K819" s="35">
        <f>IFERROR(VLOOKUP(VENTAS[[#This Row],[Código del producto Vendido]],STOCK[],16,FALSE)*VENTAS[[#This Row],[Cantidad]]+VLOOKUP(VENTAS[[#This Row],[Código del producto Vendido]],STOCK[],19,FALSE)*VENTAS[[#This Row],[Cantidad]],VENTAS[[#This Row],[Total]])</f>
        <v>17.9411764705882</v>
      </c>
      <c r="L819" s="35">
        <f>VENTAS[[#This Row],[Total]]-VENTAS[[#This Row],[Comisión 10%]]-VENTAS[[#This Row],[Costo SIN Comision]]</f>
        <v>7.0588235294118</v>
      </c>
      <c r="M819" s="35"/>
    </row>
    <row r="820" ht="20" customHeight="1" spans="1:13">
      <c r="A820" s="29">
        <v>45381</v>
      </c>
      <c r="B820" s="30"/>
      <c r="C820" s="30"/>
      <c r="D820" s="30"/>
      <c r="E820" s="30" t="s">
        <v>1584</v>
      </c>
      <c r="F820" s="34" t="str">
        <f>IFERROR(VLOOKUP(VENTAS[[#This Row],[Código del producto Vendido]],STOCK[],5,FALSE),"-")</f>
        <v>Sandalias de hebilla</v>
      </c>
      <c r="G820" s="34">
        <v>1</v>
      </c>
      <c r="H820" s="35">
        <v>18</v>
      </c>
      <c r="I820" s="35">
        <f>VENTAS[[#This Row],[Cantidad]]*VENTAS[[#This Row],[Precio Venta]]</f>
        <v>18</v>
      </c>
      <c r="J820" s="35">
        <f>IF(VENTAS[[#This Row],[Nombre del Gestor]]&gt;1,VENTAS[[#This Row],[Total]]*10%,0)</f>
        <v>0</v>
      </c>
      <c r="K820" s="35">
        <f>IFERROR(VLOOKUP(VENTAS[[#This Row],[Código del producto Vendido]],STOCK[],16,FALSE)*VENTAS[[#This Row],[Cantidad]]+VLOOKUP(VENTAS[[#This Row],[Código del producto Vendido]],STOCK[],19,FALSE)*VENTAS[[#This Row],[Cantidad]],VENTAS[[#This Row],[Total]])</f>
        <v>11</v>
      </c>
      <c r="L820" s="35">
        <f>VENTAS[[#This Row],[Total]]-VENTAS[[#This Row],[Comisión 10%]]-VENTAS[[#This Row],[Costo SIN Comision]]</f>
        <v>7</v>
      </c>
      <c r="M820" s="35"/>
    </row>
    <row r="821" ht="20" customHeight="1" spans="1:13">
      <c r="A821" s="29">
        <v>45381</v>
      </c>
      <c r="B821" s="30"/>
      <c r="C821" s="30"/>
      <c r="D821" s="30"/>
      <c r="E821" s="30" t="s">
        <v>1522</v>
      </c>
      <c r="F821" s="34" t="str">
        <f>IFERROR(VLOOKUP(VENTAS[[#This Row],[Código del producto Vendido]],STOCK[],5,FALSE),"-")</f>
        <v>Zapato de punta fina y Tacón Cuadrado</v>
      </c>
      <c r="G821" s="34">
        <v>1</v>
      </c>
      <c r="H821" s="35">
        <v>45</v>
      </c>
      <c r="I821" s="35">
        <f>VENTAS[[#This Row],[Cantidad]]*VENTAS[[#This Row],[Precio Venta]]</f>
        <v>45</v>
      </c>
      <c r="J821" s="35">
        <f>IF(VENTAS[[#This Row],[Nombre del Gestor]]&gt;1,VENTAS[[#This Row],[Total]]*10%,0)</f>
        <v>0</v>
      </c>
      <c r="K821" s="35">
        <f>IFERROR(VLOOKUP(VENTAS[[#This Row],[Código del producto Vendido]],STOCK[],16,FALSE)*VENTAS[[#This Row],[Cantidad]]+VLOOKUP(VENTAS[[#This Row],[Código del producto Vendido]],STOCK[],19,FALSE)*VENTAS[[#This Row],[Cantidad]],VENTAS[[#This Row],[Total]])</f>
        <v>31</v>
      </c>
      <c r="L821" s="35">
        <f>VENTAS[[#This Row],[Total]]-VENTAS[[#This Row],[Comisión 10%]]-VENTAS[[#This Row],[Costo SIN Comision]]</f>
        <v>14</v>
      </c>
      <c r="M821" s="35"/>
    </row>
    <row r="822" ht="20" customHeight="1" spans="1:13">
      <c r="A822" s="29">
        <v>45384</v>
      </c>
      <c r="B822" s="30"/>
      <c r="C822" s="30"/>
      <c r="D822" s="30"/>
      <c r="E822" s="30" t="s">
        <v>1760</v>
      </c>
      <c r="F822" s="34" t="str">
        <f>IFERROR(VLOOKUP(VENTAS[[#This Row],[Código del producto Vendido]],STOCK[],5,FALSE),"-")</f>
        <v>Zapatillas blanco casual</v>
      </c>
      <c r="G822" s="34">
        <v>1</v>
      </c>
      <c r="H822" s="35">
        <v>35</v>
      </c>
      <c r="I822" s="35">
        <f>VENTAS[[#This Row],[Cantidad]]*VENTAS[[#This Row],[Precio Venta]]</f>
        <v>35</v>
      </c>
      <c r="J822" s="35">
        <f>IF(VENTAS[[#This Row],[Nombre del Gestor]]&gt;1,VENTAS[[#This Row],[Total]]*10%,0)</f>
        <v>0</v>
      </c>
      <c r="K822" s="35">
        <f>IFERROR(VLOOKUP(VENTAS[[#This Row],[Código del producto Vendido]],STOCK[],16,FALSE)*VENTAS[[#This Row],[Cantidad]]+VLOOKUP(VENTAS[[#This Row],[Código del producto Vendido]],STOCK[],19,FALSE)*VENTAS[[#This Row],[Cantidad]],VENTAS[[#This Row],[Total]])</f>
        <v>25.4705882352941</v>
      </c>
      <c r="L822" s="35">
        <f>VENTAS[[#This Row],[Total]]-VENTAS[[#This Row],[Comisión 10%]]-VENTAS[[#This Row],[Costo SIN Comision]]</f>
        <v>9.5294117647059</v>
      </c>
      <c r="M822" s="35"/>
    </row>
    <row r="823" ht="20" customHeight="1" spans="1:13">
      <c r="A823" s="29">
        <v>45384</v>
      </c>
      <c r="B823" s="30"/>
      <c r="C823" s="30"/>
      <c r="D823" s="30" t="s">
        <v>3478</v>
      </c>
      <c r="E823" s="30" t="s">
        <v>29</v>
      </c>
      <c r="F823" s="34" t="str">
        <f>IFERROR(VLOOKUP(VENTAS[[#This Row],[Código del producto Vendido]],STOCK[],5,FALSE),"-")</f>
        <v>Pareo falda </v>
      </c>
      <c r="G823" s="34">
        <v>1</v>
      </c>
      <c r="H823" s="35">
        <v>8</v>
      </c>
      <c r="I823" s="35">
        <f>VENTAS[[#This Row],[Cantidad]]*VENTAS[[#This Row],[Precio Venta]]</f>
        <v>8</v>
      </c>
      <c r="J823" s="35">
        <f>IF(VENTAS[[#This Row],[Nombre del Gestor]]&gt;1,VENTAS[[#This Row],[Total]]*10%,0)</f>
        <v>0.8</v>
      </c>
      <c r="K823" s="35">
        <f>IFERROR(VLOOKUP(VENTAS[[#This Row],[Código del producto Vendido]],STOCK[],16,FALSE)*VENTAS[[#This Row],[Cantidad]]+VLOOKUP(VENTAS[[#This Row],[Código del producto Vendido]],STOCK[],19,FALSE)*VENTAS[[#This Row],[Cantidad]],VENTAS[[#This Row],[Total]])</f>
        <v>4.33722222222222</v>
      </c>
      <c r="L823" s="35">
        <f>VENTAS[[#This Row],[Total]]-VENTAS[[#This Row],[Comisión 10%]]-VENTAS[[#This Row],[Costo SIN Comision]]</f>
        <v>2.86277777777778</v>
      </c>
      <c r="M823" s="35"/>
    </row>
    <row r="824" ht="20" customHeight="1" spans="1:13">
      <c r="A824" s="29">
        <v>45384</v>
      </c>
      <c r="B824" s="30"/>
      <c r="C824" s="30"/>
      <c r="D824" s="30" t="s">
        <v>3478</v>
      </c>
      <c r="E824" s="30" t="s">
        <v>1784</v>
      </c>
      <c r="F824" s="34" t="str">
        <f>IFERROR(VLOOKUP(VENTAS[[#This Row],[Código del producto Vendido]],STOCK[],5,FALSE),"-")</f>
        <v>Traje de baño blanco sexy</v>
      </c>
      <c r="G824" s="34">
        <v>1</v>
      </c>
      <c r="H824" s="35">
        <v>20</v>
      </c>
      <c r="I824" s="35">
        <f>VENTAS[[#This Row],[Cantidad]]*VENTAS[[#This Row],[Precio Venta]]</f>
        <v>20</v>
      </c>
      <c r="J824" s="35">
        <f>IF(VENTAS[[#This Row],[Nombre del Gestor]]&gt;1,VENTAS[[#This Row],[Total]]*10%,0)</f>
        <v>2</v>
      </c>
      <c r="K824" s="35">
        <f>IFERROR(VLOOKUP(VENTAS[[#This Row],[Código del producto Vendido]],STOCK[],16,FALSE)*VENTAS[[#This Row],[Cantidad]]+VLOOKUP(VENTAS[[#This Row],[Código del producto Vendido]],STOCK[],19,FALSE)*VENTAS[[#This Row],[Cantidad]],VENTAS[[#This Row],[Total]])</f>
        <v>9.58823529411765</v>
      </c>
      <c r="L824" s="35">
        <f>VENTAS[[#This Row],[Total]]-VENTAS[[#This Row],[Comisión 10%]]-VENTAS[[#This Row],[Costo SIN Comision]]</f>
        <v>8.41176470588235</v>
      </c>
      <c r="M824" s="35"/>
    </row>
    <row r="825" ht="20" customHeight="1" spans="1:13">
      <c r="A825" s="29">
        <v>45386</v>
      </c>
      <c r="B825" s="30"/>
      <c r="C825" s="30"/>
      <c r="D825" s="30" t="s">
        <v>3478</v>
      </c>
      <c r="E825" s="30" t="s">
        <v>825</v>
      </c>
      <c r="F825" s="34" t="str">
        <f>IFERROR(VLOOKUP(VENTAS[[#This Row],[Código del producto Vendido]],STOCK[],5,FALSE),"-")</f>
        <v>Bikini cintura alta</v>
      </c>
      <c r="G825" s="34">
        <v>1</v>
      </c>
      <c r="H825" s="35">
        <v>12</v>
      </c>
      <c r="I825" s="35">
        <f>VENTAS[[#This Row],[Cantidad]]*VENTAS[[#This Row],[Precio Venta]]</f>
        <v>12</v>
      </c>
      <c r="J825" s="35">
        <f>IF(VENTAS[[#This Row],[Nombre del Gestor]]&gt;1,VENTAS[[#This Row],[Total]]*10%,0)</f>
        <v>1.2</v>
      </c>
      <c r="K825" s="35">
        <f>IFERROR(VLOOKUP(VENTAS[[#This Row],[Código del producto Vendido]],STOCK[],16,FALSE)*VENTAS[[#This Row],[Cantidad]]+VLOOKUP(VENTAS[[#This Row],[Código del producto Vendido]],STOCK[],19,FALSE)*VENTAS[[#This Row],[Cantidad]],VENTAS[[#This Row],[Total]])</f>
        <v>7.05555555555556</v>
      </c>
      <c r="L825" s="35">
        <f>VENTAS[[#This Row],[Total]]-VENTAS[[#This Row],[Comisión 10%]]-VENTAS[[#This Row],[Costo SIN Comision]]</f>
        <v>3.74444444444444</v>
      </c>
      <c r="M825" s="35"/>
    </row>
    <row r="826" ht="20" customHeight="1" spans="1:13">
      <c r="A826" s="29" t="s">
        <v>3462</v>
      </c>
      <c r="B826" s="30"/>
      <c r="C826" s="30" t="s">
        <v>3483</v>
      </c>
      <c r="D826" s="30"/>
      <c r="E826" s="30" t="s">
        <v>1740</v>
      </c>
      <c r="F826" s="34" t="str">
        <f>IFERROR(VLOOKUP(VENTAS[[#This Row],[Código del producto Vendido]],STOCK[],5,FALSE),"-")</f>
        <v>Kimono Dazy Elegante</v>
      </c>
      <c r="G826" s="34">
        <v>1</v>
      </c>
      <c r="H826" s="35">
        <v>0</v>
      </c>
      <c r="I826" s="35">
        <f>VENTAS[[#This Row],[Cantidad]]*VENTAS[[#This Row],[Precio Venta]]</f>
        <v>0</v>
      </c>
      <c r="J826" s="35">
        <f>IF(VENTAS[[#This Row],[Nombre del Gestor]]&gt;1,VENTAS[[#This Row],[Total]]*10%,0)</f>
        <v>0</v>
      </c>
      <c r="K826" s="35">
        <f>IFERROR(VLOOKUP(VENTAS[[#This Row],[Código del producto Vendido]],STOCK[],16,FALSE)*VENTAS[[#This Row],[Cantidad]]+VLOOKUP(VENTAS[[#This Row],[Código del producto Vendido]],STOCK[],19,FALSE)*VENTAS[[#This Row],[Cantidad]],VENTAS[[#This Row],[Total]])</f>
        <v>13.3529411764706</v>
      </c>
      <c r="L826" s="35">
        <f>VENTAS[[#This Row],[Total]]-VENTAS[[#This Row],[Comisión 10%]]-VENTAS[[#This Row],[Costo SIN Comision]]</f>
        <v>-13.3529411764706</v>
      </c>
      <c r="M826" s="35"/>
    </row>
    <row r="827" ht="20" customHeight="1" spans="1:13">
      <c r="A827" s="29" t="s">
        <v>3462</v>
      </c>
      <c r="B827" s="30"/>
      <c r="C827" s="30"/>
      <c r="D827" s="30"/>
      <c r="E827" s="30" t="s">
        <v>1613</v>
      </c>
      <c r="F827" s="34" t="str">
        <f>IFERROR(VLOOKUP(VENTAS[[#This Row],[Código del producto Vendido]],STOCK[],5,FALSE),"-")</f>
        <v>Camisa Modely</v>
      </c>
      <c r="G827" s="34">
        <v>1</v>
      </c>
      <c r="H827" s="35">
        <v>22</v>
      </c>
      <c r="I827" s="35">
        <f>VENTAS[[#This Row],[Cantidad]]*VENTAS[[#This Row],[Precio Venta]]</f>
        <v>22</v>
      </c>
      <c r="J827" s="35">
        <f>IF(VENTAS[[#This Row],[Nombre del Gestor]]&gt;1,VENTAS[[#This Row],[Total]]*10%,0)</f>
        <v>0</v>
      </c>
      <c r="K827" s="35">
        <f>IFERROR(VLOOKUP(VENTAS[[#This Row],[Código del producto Vendido]],STOCK[],16,FALSE)*VENTAS[[#This Row],[Cantidad]]+VLOOKUP(VENTAS[[#This Row],[Código del producto Vendido]],STOCK[],19,FALSE)*VENTAS[[#This Row],[Cantidad]],VENTAS[[#This Row],[Total]])</f>
        <v>9.74</v>
      </c>
      <c r="L827" s="35">
        <f>VENTAS[[#This Row],[Total]]-VENTAS[[#This Row],[Comisión 10%]]-VENTAS[[#This Row],[Costo SIN Comision]]</f>
        <v>12.26</v>
      </c>
      <c r="M827" s="35"/>
    </row>
    <row r="828" ht="20" customHeight="1" spans="1:13">
      <c r="A828" s="29" t="s">
        <v>3462</v>
      </c>
      <c r="B828" s="30"/>
      <c r="C828" s="30"/>
      <c r="D828" s="30"/>
      <c r="E828" s="30" t="s">
        <v>996</v>
      </c>
      <c r="F828" s="34" t="str">
        <f>IFERROR(VLOOKUP(VENTAS[[#This Row],[Código del producto Vendido]],STOCK[],5,FALSE),"-")</f>
        <v>Top Acanalado</v>
      </c>
      <c r="G828" s="34">
        <v>1</v>
      </c>
      <c r="H828" s="35">
        <v>13</v>
      </c>
      <c r="I828" s="35">
        <f>VENTAS[[#This Row],[Cantidad]]*VENTAS[[#This Row],[Precio Venta]]</f>
        <v>13</v>
      </c>
      <c r="J828" s="35">
        <f>IF(VENTAS[[#This Row],[Nombre del Gestor]]&gt;1,VENTAS[[#This Row],[Total]]*10%,0)</f>
        <v>0</v>
      </c>
      <c r="K828" s="35">
        <f>IFERROR(VLOOKUP(VENTAS[[#This Row],[Código del producto Vendido]],STOCK[],16,FALSE)*VENTAS[[#This Row],[Cantidad]]+VLOOKUP(VENTAS[[#This Row],[Código del producto Vendido]],STOCK[],19,FALSE)*VENTAS[[#This Row],[Cantidad]],VENTAS[[#This Row],[Total]])</f>
        <v>9.28</v>
      </c>
      <c r="L828" s="35">
        <f>VENTAS[[#This Row],[Total]]-VENTAS[[#This Row],[Comisión 10%]]-VENTAS[[#This Row],[Costo SIN Comision]]</f>
        <v>3.72</v>
      </c>
      <c r="M828" s="35"/>
    </row>
    <row r="829" ht="20" customHeight="1" spans="1:13">
      <c r="A829" s="29"/>
      <c r="B829" s="30"/>
      <c r="C829" s="30"/>
      <c r="D829" s="30"/>
      <c r="E829" s="30"/>
      <c r="F829" s="34" t="str">
        <f>IFERROR(VLOOKUP(VENTAS[[#This Row],[Código del producto Vendido]],STOCK[],5,FALSE),"-")</f>
        <v>-</v>
      </c>
      <c r="G829" s="34">
        <v>1</v>
      </c>
      <c r="H829" s="35">
        <v>25</v>
      </c>
      <c r="I829" s="35">
        <f>VENTAS[[#This Row],[Cantidad]]*VENTAS[[#This Row],[Precio Venta]]</f>
        <v>25</v>
      </c>
      <c r="J829" s="35">
        <f>IF(VENTAS[[#This Row],[Nombre del Gestor]]&gt;1,VENTAS[[#This Row],[Total]]*10%,0)</f>
        <v>0</v>
      </c>
      <c r="K829" s="35">
        <f>IFERROR(VLOOKUP(VENTAS[[#This Row],[Código del producto Vendido]],STOCK[],16,FALSE)*VENTAS[[#This Row],[Cantidad]]+VLOOKUP(VENTAS[[#This Row],[Código del producto Vendido]],STOCK[],19,FALSE)*VENTAS[[#This Row],[Cantidad]],VENTAS[[#This Row],[Total]])</f>
        <v>25</v>
      </c>
      <c r="L829" s="35">
        <f>VENTAS[[#This Row],[Total]]-VENTAS[[#This Row],[Comisión 10%]]-VENTAS[[#This Row],[Costo SIN Comision]]</f>
        <v>0</v>
      </c>
      <c r="M829" s="35"/>
    </row>
    <row r="830" ht="20" customHeight="1" spans="1:13">
      <c r="A830" s="29">
        <v>45387</v>
      </c>
      <c r="B830" s="30"/>
      <c r="C830" s="30" t="s">
        <v>3484</v>
      </c>
      <c r="D830" s="30" t="s">
        <v>3478</v>
      </c>
      <c r="E830" s="30" t="s">
        <v>62</v>
      </c>
      <c r="F830" s="34" t="str">
        <f>IFERROR(VLOOKUP(VENTAS[[#This Row],[Código del producto Vendido]],STOCK[],5,FALSE),"-")</f>
        <v>Enguatada con protección UV</v>
      </c>
      <c r="G830" s="34">
        <v>1</v>
      </c>
      <c r="H830" s="35">
        <v>17</v>
      </c>
      <c r="I830" s="35">
        <f>VENTAS[[#This Row],[Cantidad]]*VENTAS[[#This Row],[Precio Venta]]</f>
        <v>17</v>
      </c>
      <c r="J830" s="35">
        <f>IF(VENTAS[[#This Row],[Nombre del Gestor]]&gt;1,VENTAS[[#This Row],[Total]]*10%,0)</f>
        <v>1.7</v>
      </c>
      <c r="K830" s="35">
        <f>IFERROR(VLOOKUP(VENTAS[[#This Row],[Código del producto Vendido]],STOCK[],16,FALSE)*VENTAS[[#This Row],[Cantidad]]+VLOOKUP(VENTAS[[#This Row],[Código del producto Vendido]],STOCK[],19,FALSE)*VENTAS[[#This Row],[Cantidad]],VENTAS[[#This Row],[Total]])</f>
        <v>12.3966666666667</v>
      </c>
      <c r="L830" s="35">
        <f>VENTAS[[#This Row],[Total]]-VENTAS[[#This Row],[Comisión 10%]]-VENTAS[[#This Row],[Costo SIN Comision]]</f>
        <v>2.90333333333333</v>
      </c>
      <c r="M830" s="35"/>
    </row>
    <row r="831" ht="20" customHeight="1" spans="1:13">
      <c r="A831" s="29" t="s">
        <v>3462</v>
      </c>
      <c r="B831" s="30"/>
      <c r="C831" s="30"/>
      <c r="D831" s="30"/>
      <c r="E831" s="30" t="s">
        <v>661</v>
      </c>
      <c r="F831" s="34" t="str">
        <f>IFERROR(VLOOKUP(VENTAS[[#This Row],[Código del producto Vendido]],STOCK[],5,FALSE),"-")</f>
        <v>Top Cruzado negro</v>
      </c>
      <c r="G831" s="34">
        <v>2</v>
      </c>
      <c r="H831" s="35">
        <v>9</v>
      </c>
      <c r="I831" s="35">
        <f>VENTAS[[#This Row],[Cantidad]]*VENTAS[[#This Row],[Precio Venta]]</f>
        <v>18</v>
      </c>
      <c r="J831" s="35">
        <f>IF(VENTAS[[#This Row],[Nombre del Gestor]]&gt;1,VENTAS[[#This Row],[Total]]*10%,0)</f>
        <v>0</v>
      </c>
      <c r="K831" s="35">
        <f>IFERROR(VLOOKUP(VENTAS[[#This Row],[Código del producto Vendido]],STOCK[],16,FALSE)*VENTAS[[#This Row],[Cantidad]]+VLOOKUP(VENTAS[[#This Row],[Código del producto Vendido]],STOCK[],19,FALSE)*VENTAS[[#This Row],[Cantidad]],VENTAS[[#This Row],[Total]])</f>
        <v>9.80333333333334</v>
      </c>
      <c r="L831" s="35">
        <f>VENTAS[[#This Row],[Total]]-VENTAS[[#This Row],[Comisión 10%]]-VENTAS[[#This Row],[Costo SIN Comision]]</f>
        <v>8.19666666666666</v>
      </c>
      <c r="M831" s="35"/>
    </row>
    <row r="832" ht="20" customHeight="1" spans="1:13">
      <c r="A832" s="29" t="s">
        <v>3462</v>
      </c>
      <c r="B832" s="30"/>
      <c r="C832" s="30"/>
      <c r="D832" s="30"/>
      <c r="E832" s="30" t="s">
        <v>1668</v>
      </c>
      <c r="F832" s="34" t="str">
        <f>IFERROR(VLOOKUP(VENTAS[[#This Row],[Código del producto Vendido]],STOCK[],5,FALSE),"-")</f>
        <v>Conjunto Albaricoque</v>
      </c>
      <c r="G832" s="34">
        <v>1</v>
      </c>
      <c r="H832" s="35">
        <v>27</v>
      </c>
      <c r="I832" s="35">
        <f>VENTAS[[#This Row],[Cantidad]]*VENTAS[[#This Row],[Precio Venta]]</f>
        <v>27</v>
      </c>
      <c r="J832" s="35">
        <f>IF(VENTAS[[#This Row],[Nombre del Gestor]]&gt;1,VENTAS[[#This Row],[Total]]*10%,0)</f>
        <v>0</v>
      </c>
      <c r="K832" s="35">
        <f>IFERROR(VLOOKUP(VENTAS[[#This Row],[Código del producto Vendido]],STOCK[],16,FALSE)*VENTAS[[#This Row],[Cantidad]]+VLOOKUP(VENTAS[[#This Row],[Código del producto Vendido]],STOCK[],19,FALSE)*VENTAS[[#This Row],[Cantidad]],VENTAS[[#This Row],[Total]])</f>
        <v>13.97</v>
      </c>
      <c r="L832" s="35">
        <f>VENTAS[[#This Row],[Total]]-VENTAS[[#This Row],[Comisión 10%]]-VENTAS[[#This Row],[Costo SIN Comision]]</f>
        <v>13.03</v>
      </c>
      <c r="M832" s="35"/>
    </row>
    <row r="833" ht="20" customHeight="1" spans="1:13">
      <c r="A833" s="29">
        <v>45386</v>
      </c>
      <c r="B833" s="30"/>
      <c r="C833" s="30" t="s">
        <v>3484</v>
      </c>
      <c r="D833" s="30" t="s">
        <v>3478</v>
      </c>
      <c r="E833" s="30" t="s">
        <v>1666</v>
      </c>
      <c r="F833" s="34" t="str">
        <f>IFERROR(VLOOKUP(VENTAS[[#This Row],[Código del producto Vendido]],STOCK[],5,FALSE),"-")</f>
        <v>Vestido cruzado </v>
      </c>
      <c r="G833" s="34">
        <v>1</v>
      </c>
      <c r="H833" s="35">
        <v>23</v>
      </c>
      <c r="I833" s="35">
        <f>VENTAS[[#This Row],[Cantidad]]*VENTAS[[#This Row],[Precio Venta]]</f>
        <v>23</v>
      </c>
      <c r="J833" s="35">
        <f>IF(VENTAS[[#This Row],[Nombre del Gestor]]&gt;1,VENTAS[[#This Row],[Total]]*10%,0)</f>
        <v>2.3</v>
      </c>
      <c r="K833" s="35">
        <f>IFERROR(VLOOKUP(VENTAS[[#This Row],[Código del producto Vendido]],STOCK[],16,FALSE)*VENTAS[[#This Row],[Cantidad]]+VLOOKUP(VENTAS[[#This Row],[Código del producto Vendido]],STOCK[],19,FALSE)*VENTAS[[#This Row],[Cantidad]],VENTAS[[#This Row],[Total]])</f>
        <v>14.65</v>
      </c>
      <c r="L833" s="35">
        <f>VENTAS[[#This Row],[Total]]-VENTAS[[#This Row],[Comisión 10%]]-VENTAS[[#This Row],[Costo SIN Comision]]</f>
        <v>6.05</v>
      </c>
      <c r="M833" s="35"/>
    </row>
    <row r="834" ht="20" customHeight="1" spans="1:13">
      <c r="A834" s="29">
        <v>45387</v>
      </c>
      <c r="B834" s="30"/>
      <c r="C834" s="30" t="s">
        <v>3484</v>
      </c>
      <c r="D834" s="30" t="s">
        <v>3478</v>
      </c>
      <c r="E834" s="30" t="s">
        <v>411</v>
      </c>
      <c r="F834" s="34" t="str">
        <f>IFERROR(VLOOKUP(VENTAS[[#This Row],[Código del producto Vendido]],STOCK[],5,FALSE),"-")</f>
        <v>Bikini Floral</v>
      </c>
      <c r="G834" s="34">
        <v>1</v>
      </c>
      <c r="H834" s="35">
        <v>22</v>
      </c>
      <c r="I834" s="35">
        <f>VENTAS[[#This Row],[Cantidad]]*VENTAS[[#This Row],[Precio Venta]]</f>
        <v>22</v>
      </c>
      <c r="J834" s="35">
        <f>IF(VENTAS[[#This Row],[Nombre del Gestor]]&gt;1,VENTAS[[#This Row],[Total]]*10%,0)</f>
        <v>2.2</v>
      </c>
      <c r="K834" s="35">
        <f>IFERROR(VLOOKUP(VENTAS[[#This Row],[Código del producto Vendido]],STOCK[],16,FALSE)*VENTAS[[#This Row],[Cantidad]]+VLOOKUP(VENTAS[[#This Row],[Código del producto Vendido]],STOCK[],19,FALSE)*VENTAS[[#This Row],[Cantidad]],VENTAS[[#This Row],[Total]])</f>
        <v>13.9444444444444</v>
      </c>
      <c r="L834" s="35">
        <f>VENTAS[[#This Row],[Total]]-VENTAS[[#This Row],[Comisión 10%]]-VENTAS[[#This Row],[Costo SIN Comision]]</f>
        <v>5.8555555555556</v>
      </c>
      <c r="M834" s="35"/>
    </row>
    <row r="835" ht="20" customHeight="1" spans="1:13">
      <c r="A835" s="29">
        <v>45387</v>
      </c>
      <c r="B835" s="30"/>
      <c r="C835" s="30" t="s">
        <v>3484</v>
      </c>
      <c r="D835" s="30" t="s">
        <v>3478</v>
      </c>
      <c r="E835" s="30" t="s">
        <v>406</v>
      </c>
      <c r="F835" s="34" t="str">
        <f>IFERROR(VLOOKUP(VENTAS[[#This Row],[Código del producto Vendido]],STOCK[],5,FALSE),"-")</f>
        <v>Bañador una pieza de color combinado </v>
      </c>
      <c r="G835" s="34">
        <v>1</v>
      </c>
      <c r="H835" s="35">
        <v>18</v>
      </c>
      <c r="I835" s="35">
        <f>VENTAS[[#This Row],[Cantidad]]*VENTAS[[#This Row],[Precio Venta]]</f>
        <v>18</v>
      </c>
      <c r="J835" s="35">
        <f>IF(VENTAS[[#This Row],[Nombre del Gestor]]&gt;1,VENTAS[[#This Row],[Total]]*10%,0)</f>
        <v>1.8</v>
      </c>
      <c r="K835" s="35">
        <f>IFERROR(VLOOKUP(VENTAS[[#This Row],[Código del producto Vendido]],STOCK[],16,FALSE)*VENTAS[[#This Row],[Cantidad]]+VLOOKUP(VENTAS[[#This Row],[Código del producto Vendido]],STOCK[],19,FALSE)*VENTAS[[#This Row],[Cantidad]],VENTAS[[#This Row],[Total]])</f>
        <v>9.66666666666667</v>
      </c>
      <c r="L835" s="35">
        <f>VENTAS[[#This Row],[Total]]-VENTAS[[#This Row],[Comisión 10%]]-VENTAS[[#This Row],[Costo SIN Comision]]</f>
        <v>6.53333333333333</v>
      </c>
      <c r="M835" s="35"/>
    </row>
    <row r="836" ht="20" customHeight="1" spans="1:13">
      <c r="A836" s="29">
        <v>45387</v>
      </c>
      <c r="B836" s="30"/>
      <c r="C836" s="30" t="s">
        <v>3484</v>
      </c>
      <c r="D836" s="30" t="s">
        <v>3478</v>
      </c>
      <c r="E836" s="30" t="s">
        <v>492</v>
      </c>
      <c r="F836" s="34" t="str">
        <f>IFERROR(VLOOKUP(VENTAS[[#This Row],[Código del producto Vendido]],STOCK[],5,FALSE),"-")</f>
        <v>Bañador de talle alto con vuelos</v>
      </c>
      <c r="G836" s="34">
        <v>1</v>
      </c>
      <c r="H836" s="35">
        <v>22</v>
      </c>
      <c r="I836" s="35">
        <f>VENTAS[[#This Row],[Cantidad]]*VENTAS[[#This Row],[Precio Venta]]</f>
        <v>22</v>
      </c>
      <c r="J836" s="35">
        <f>IF(VENTAS[[#This Row],[Nombre del Gestor]]&gt;1,VENTAS[[#This Row],[Total]]*10%,0)</f>
        <v>2.2</v>
      </c>
      <c r="K836" s="35">
        <f>IFERROR(VLOOKUP(VENTAS[[#This Row],[Código del producto Vendido]],STOCK[],16,FALSE)*VENTAS[[#This Row],[Cantidad]]+VLOOKUP(VENTAS[[#This Row],[Código del producto Vendido]],STOCK[],19,FALSE)*VENTAS[[#This Row],[Cantidad]],VENTAS[[#This Row],[Total]])</f>
        <v>12.4805555555556</v>
      </c>
      <c r="L836" s="35">
        <f>VENTAS[[#This Row],[Total]]-VENTAS[[#This Row],[Comisión 10%]]-VENTAS[[#This Row],[Costo SIN Comision]]</f>
        <v>7.3194444444444</v>
      </c>
      <c r="M836" s="35"/>
    </row>
    <row r="837" ht="20" customHeight="1" spans="1:13">
      <c r="A837" s="29">
        <v>45390</v>
      </c>
      <c r="B837" s="30"/>
      <c r="C837" s="30"/>
      <c r="D837" s="30" t="s">
        <v>3478</v>
      </c>
      <c r="E837" s="30" t="s">
        <v>1748</v>
      </c>
      <c r="F837" s="34" t="str">
        <f>IFERROR(VLOOKUP(VENTAS[[#This Row],[Código del producto Vendido]],STOCK[],5,FALSE),"-")</f>
        <v>Traje de baño de mangas estampadas</v>
      </c>
      <c r="G837" s="34">
        <v>2</v>
      </c>
      <c r="H837" s="35">
        <v>25</v>
      </c>
      <c r="I837" s="35">
        <f>VENTAS[[#This Row],[Cantidad]]*VENTAS[[#This Row],[Precio Venta]]</f>
        <v>50</v>
      </c>
      <c r="J837" s="35">
        <f>IF(VENTAS[[#This Row],[Nombre del Gestor]]&gt;1,VENTAS[[#This Row],[Total]]*10%,0)</f>
        <v>5</v>
      </c>
      <c r="K837" s="35">
        <f>IFERROR(VLOOKUP(VENTAS[[#This Row],[Código del producto Vendido]],STOCK[],16,FALSE)*VENTAS[[#This Row],[Cantidad]]+VLOOKUP(VENTAS[[#This Row],[Código del producto Vendido]],STOCK[],19,FALSE)*VENTAS[[#This Row],[Cantidad]],VENTAS[[#This Row],[Total]])</f>
        <v>24.8235294117648</v>
      </c>
      <c r="L837" s="35">
        <f>VENTAS[[#This Row],[Total]]-VENTAS[[#This Row],[Comisión 10%]]-VENTAS[[#This Row],[Costo SIN Comision]]</f>
        <v>20.1764705882352</v>
      </c>
      <c r="M837" s="35"/>
    </row>
    <row r="838" ht="20" customHeight="1" spans="1:13">
      <c r="A838" s="29">
        <v>45389</v>
      </c>
      <c r="B838" s="30"/>
      <c r="C838" s="30"/>
      <c r="D838" s="30" t="s">
        <v>3478</v>
      </c>
      <c r="E838" s="30" t="s">
        <v>1779</v>
      </c>
      <c r="F838" s="34" t="str">
        <f>IFERROR(VLOOKUP(VENTAS[[#This Row],[Código del producto Vendido]],STOCK[],5,FALSE),"-")</f>
        <v>Conjunto de bikini moca</v>
      </c>
      <c r="G838" s="34">
        <v>1</v>
      </c>
      <c r="H838" s="35">
        <v>20</v>
      </c>
      <c r="I838" s="35">
        <f>VENTAS[[#This Row],[Cantidad]]*VENTAS[[#This Row],[Precio Venta]]</f>
        <v>20</v>
      </c>
      <c r="J838" s="35">
        <f>IF(VENTAS[[#This Row],[Nombre del Gestor]]&gt;1,VENTAS[[#This Row],[Total]]*10%,0)</f>
        <v>2</v>
      </c>
      <c r="K838" s="35">
        <f>IFERROR(VLOOKUP(VENTAS[[#This Row],[Código del producto Vendido]],STOCK[],16,FALSE)*VENTAS[[#This Row],[Cantidad]]+VLOOKUP(VENTAS[[#This Row],[Código del producto Vendido]],STOCK[],19,FALSE)*VENTAS[[#This Row],[Cantidad]],VENTAS[[#This Row],[Total]])</f>
        <v>12.3529411764706</v>
      </c>
      <c r="L838" s="35">
        <f>VENTAS[[#This Row],[Total]]-VENTAS[[#This Row],[Comisión 10%]]-VENTAS[[#This Row],[Costo SIN Comision]]</f>
        <v>5.64705882352941</v>
      </c>
      <c r="M838" s="35"/>
    </row>
    <row r="839" ht="20" customHeight="1" spans="1:13">
      <c r="A839" s="29" t="s">
        <v>3462</v>
      </c>
      <c r="B839" s="30"/>
      <c r="C839" s="30"/>
      <c r="D839" s="30"/>
      <c r="E839" s="30" t="s">
        <v>973</v>
      </c>
      <c r="F839" s="34" t="str">
        <f>IFERROR(VLOOKUP(VENTAS[[#This Row],[Código del producto Vendido]],STOCK[],5,FALSE),"-")</f>
        <v>Bañador despalda descubierta</v>
      </c>
      <c r="G839" s="34">
        <v>1</v>
      </c>
      <c r="H839" s="35">
        <v>25</v>
      </c>
      <c r="I839" s="35">
        <f>VENTAS[[#This Row],[Cantidad]]*VENTAS[[#This Row],[Precio Venta]]</f>
        <v>25</v>
      </c>
      <c r="J839" s="35">
        <f>IF(VENTAS[[#This Row],[Nombre del Gestor]]&gt;1,VENTAS[[#This Row],[Total]]*10%,0)</f>
        <v>0</v>
      </c>
      <c r="K839" s="35">
        <f>IFERROR(VLOOKUP(VENTAS[[#This Row],[Código del producto Vendido]],STOCK[],16,FALSE)*VENTAS[[#This Row],[Cantidad]]+VLOOKUP(VENTAS[[#This Row],[Código del producto Vendido]],STOCK[],19,FALSE)*VENTAS[[#This Row],[Cantidad]],VENTAS[[#This Row],[Total]])</f>
        <v>15.325</v>
      </c>
      <c r="L839" s="35">
        <f>VENTAS[[#This Row],[Total]]-VENTAS[[#This Row],[Comisión 10%]]-VENTAS[[#This Row],[Costo SIN Comision]]</f>
        <v>9.675</v>
      </c>
      <c r="M839" s="35"/>
    </row>
    <row r="840" ht="20" customHeight="1" spans="1:13">
      <c r="A840" s="29">
        <v>45386</v>
      </c>
      <c r="B840" s="30"/>
      <c r="C840" s="30"/>
      <c r="D840" s="30" t="s">
        <v>3478</v>
      </c>
      <c r="E840" s="30" t="s">
        <v>404</v>
      </c>
      <c r="F840" s="34" t="str">
        <f>IFERROR(VLOOKUP(VENTAS[[#This Row],[Código del producto Vendido]],STOCK[],5,FALSE),"-")</f>
        <v>Vestido Bohemio</v>
      </c>
      <c r="G840" s="34">
        <v>1</v>
      </c>
      <c r="H840" s="35">
        <v>20</v>
      </c>
      <c r="I840" s="35">
        <f>VENTAS[[#This Row],[Cantidad]]*VENTAS[[#This Row],[Precio Venta]]</f>
        <v>20</v>
      </c>
      <c r="J840" s="35">
        <f>IF(VENTAS[[#This Row],[Nombre del Gestor]]&gt;1,VENTAS[[#This Row],[Total]]*10%,0)</f>
        <v>2</v>
      </c>
      <c r="K840" s="35">
        <f>IFERROR(VLOOKUP(VENTAS[[#This Row],[Código del producto Vendido]],STOCK[],16,FALSE)*VENTAS[[#This Row],[Cantidad]]+VLOOKUP(VENTAS[[#This Row],[Código del producto Vendido]],STOCK[],19,FALSE)*VENTAS[[#This Row],[Cantidad]],VENTAS[[#This Row],[Total]])</f>
        <v>12.5705555555556</v>
      </c>
      <c r="L840" s="35">
        <f>VENTAS[[#This Row],[Total]]-VENTAS[[#This Row],[Comisión 10%]]-VENTAS[[#This Row],[Costo SIN Comision]]</f>
        <v>5.42944444444444</v>
      </c>
      <c r="M840" s="35"/>
    </row>
    <row r="841" ht="20" customHeight="1" spans="1:13">
      <c r="A841" s="29">
        <v>45383</v>
      </c>
      <c r="B841" s="30"/>
      <c r="C841" s="30"/>
      <c r="D841" s="30" t="s">
        <v>3478</v>
      </c>
      <c r="E841" s="30" t="s">
        <v>1414</v>
      </c>
      <c r="F841" s="34" t="str">
        <f>IFERROR(VLOOKUP(VENTAS[[#This Row],[Código del producto Vendido]],STOCK[],5,FALSE),"-")</f>
        <v>Jean MOM con rotos</v>
      </c>
      <c r="G841" s="34">
        <v>1</v>
      </c>
      <c r="H841" s="35">
        <v>32</v>
      </c>
      <c r="I841" s="35">
        <f>VENTAS[[#This Row],[Cantidad]]*VENTAS[[#This Row],[Precio Venta]]</f>
        <v>32</v>
      </c>
      <c r="J841" s="35">
        <f>IF(VENTAS[[#This Row],[Nombre del Gestor]]&gt;1,VENTAS[[#This Row],[Total]]*10%,0)</f>
        <v>3.2</v>
      </c>
      <c r="K841" s="35">
        <f>IFERROR(VLOOKUP(VENTAS[[#This Row],[Código del producto Vendido]],STOCK[],16,FALSE)*VENTAS[[#This Row],[Cantidad]]+VLOOKUP(VENTAS[[#This Row],[Código del producto Vendido]],STOCK[],19,FALSE)*VENTAS[[#This Row],[Cantidad]],VENTAS[[#This Row],[Total]])</f>
        <v>20</v>
      </c>
      <c r="L841" s="35">
        <f>VENTAS[[#This Row],[Total]]-VENTAS[[#This Row],[Comisión 10%]]-VENTAS[[#This Row],[Costo SIN Comision]]</f>
        <v>8.8</v>
      </c>
      <c r="M841" s="35"/>
    </row>
    <row r="842" ht="20" customHeight="1" spans="1:13">
      <c r="A842" s="29">
        <v>45393</v>
      </c>
      <c r="B842" s="30"/>
      <c r="C842" s="30"/>
      <c r="D842" s="30" t="s">
        <v>3478</v>
      </c>
      <c r="E842" s="30" t="s">
        <v>1301</v>
      </c>
      <c r="F842" s="34" t="str">
        <f>IFERROR(VLOOKUP(VENTAS[[#This Row],[Código del producto Vendido]],STOCK[],5,FALSE),"-")</f>
        <v>Jean ajustado Claro</v>
      </c>
      <c r="G842" s="34">
        <v>1</v>
      </c>
      <c r="H842" s="35">
        <v>32</v>
      </c>
      <c r="I842" s="35">
        <f>VENTAS[[#This Row],[Cantidad]]*VENTAS[[#This Row],[Precio Venta]]</f>
        <v>32</v>
      </c>
      <c r="J842" s="35">
        <f>IF(VENTAS[[#This Row],[Nombre del Gestor]]&gt;1,VENTAS[[#This Row],[Total]]*10%,0)</f>
        <v>3.2</v>
      </c>
      <c r="K842" s="35">
        <f>IFERROR(VLOOKUP(VENTAS[[#This Row],[Código del producto Vendido]],STOCK[],16,FALSE)*VENTAS[[#This Row],[Cantidad]]+VLOOKUP(VENTAS[[#This Row],[Código del producto Vendido]],STOCK[],19,FALSE)*VENTAS[[#This Row],[Cantidad]],VENTAS[[#This Row],[Total]])</f>
        <v>23.79</v>
      </c>
      <c r="L842" s="35">
        <f>VENTAS[[#This Row],[Total]]-VENTAS[[#This Row],[Comisión 10%]]-VENTAS[[#This Row],[Costo SIN Comision]]</f>
        <v>5.01</v>
      </c>
      <c r="M842" s="35"/>
    </row>
    <row r="843" ht="20" customHeight="1" spans="1:13">
      <c r="A843" s="29">
        <v>45385</v>
      </c>
      <c r="B843" s="30"/>
      <c r="C843" s="30"/>
      <c r="D843" s="30" t="s">
        <v>3478</v>
      </c>
      <c r="E843" s="30" t="s">
        <v>1571</v>
      </c>
      <c r="F843" s="34" t="str">
        <f>IFERROR(VLOOKUP(VENTAS[[#This Row],[Código del producto Vendido]],STOCK[],5,FALSE),"-")</f>
        <v>Sandalias de tiras</v>
      </c>
      <c r="G843" s="34">
        <v>2</v>
      </c>
      <c r="H843" s="35">
        <v>25</v>
      </c>
      <c r="I843" s="35">
        <f>VENTAS[[#This Row],[Cantidad]]*VENTAS[[#This Row],[Precio Venta]]</f>
        <v>50</v>
      </c>
      <c r="J843" s="35">
        <f>IF(VENTAS[[#This Row],[Nombre del Gestor]]&gt;1,VENTAS[[#This Row],[Total]]*10%,0)</f>
        <v>5</v>
      </c>
      <c r="K843" s="35">
        <f>IFERROR(VLOOKUP(VENTAS[[#This Row],[Código del producto Vendido]],STOCK[],16,FALSE)*VENTAS[[#This Row],[Cantidad]]+VLOOKUP(VENTAS[[#This Row],[Código del producto Vendido]],STOCK[],19,FALSE)*VENTAS[[#This Row],[Cantidad]],VENTAS[[#This Row],[Total]])</f>
        <v>28</v>
      </c>
      <c r="L843" s="35">
        <f>VENTAS[[#This Row],[Total]]-VENTAS[[#This Row],[Comisión 10%]]-VENTAS[[#This Row],[Costo SIN Comision]]</f>
        <v>17</v>
      </c>
      <c r="M843" s="35"/>
    </row>
    <row r="844" ht="20" customHeight="1" spans="1:13">
      <c r="A844" s="29">
        <v>45393</v>
      </c>
      <c r="B844" s="30"/>
      <c r="C844" s="30"/>
      <c r="D844" s="30"/>
      <c r="E844" s="30" t="s">
        <v>2040</v>
      </c>
      <c r="F844" s="34" t="str">
        <f>IFERROR(VLOOKUP(VENTAS[[#This Row],[Código del producto Vendido]],STOCK[],5,FALSE),"-")</f>
        <v>Blusa estampada geométrica</v>
      </c>
      <c r="G844" s="34">
        <v>1</v>
      </c>
      <c r="H844" s="35">
        <v>3</v>
      </c>
      <c r="I844" s="35">
        <f>VENTAS[[#This Row],[Cantidad]]*VENTAS[[#This Row],[Precio Venta]]</f>
        <v>3</v>
      </c>
      <c r="J844" s="35">
        <f>IF(VENTAS[[#This Row],[Nombre del Gestor]]&gt;1,VENTAS[[#This Row],[Total]]*10%,0)</f>
        <v>0</v>
      </c>
      <c r="K844" s="35">
        <f>IFERROR(VLOOKUP(VENTAS[[#This Row],[Código del producto Vendido]],STOCK[],16,FALSE)*VENTAS[[#This Row],[Cantidad]]+VLOOKUP(VENTAS[[#This Row],[Código del producto Vendido]],STOCK[],19,FALSE)*VENTAS[[#This Row],[Cantidad]],VENTAS[[#This Row],[Total]])</f>
        <v>0</v>
      </c>
      <c r="L844" s="35">
        <f>VENTAS[[#This Row],[Total]]-VENTAS[[#This Row],[Comisión 10%]]-VENTAS[[#This Row],[Costo SIN Comision]]</f>
        <v>3</v>
      </c>
      <c r="M844" s="35" t="s">
        <v>3480</v>
      </c>
    </row>
    <row r="845" ht="20" customHeight="1" spans="1:13">
      <c r="A845" s="29">
        <v>45391</v>
      </c>
      <c r="B845" s="30"/>
      <c r="C845" s="30" t="s">
        <v>3412</v>
      </c>
      <c r="D845" s="30"/>
      <c r="E845" s="30" t="s">
        <v>1869</v>
      </c>
      <c r="F845" s="34" t="str">
        <f>IFERROR(VLOOKUP(VENTAS[[#This Row],[Código del producto Vendido]],STOCK[],5,FALSE),"-")</f>
        <v>Blazer entallado</v>
      </c>
      <c r="G845" s="34">
        <v>1</v>
      </c>
      <c r="H845" s="35">
        <v>40</v>
      </c>
      <c r="I845" s="35">
        <f>VENTAS[[#This Row],[Cantidad]]*VENTAS[[#This Row],[Precio Venta]]</f>
        <v>40</v>
      </c>
      <c r="J845" s="35">
        <f>IF(VENTAS[[#This Row],[Nombre del Gestor]]&gt;1,VENTAS[[#This Row],[Total]]*10%,0)</f>
        <v>0</v>
      </c>
      <c r="K845" s="35">
        <f>IFERROR(VLOOKUP(VENTAS[[#This Row],[Código del producto Vendido]],STOCK[],16,FALSE)*VENTAS[[#This Row],[Cantidad]]+VLOOKUP(VENTAS[[#This Row],[Código del producto Vendido]],STOCK[],19,FALSE)*VENTAS[[#This Row],[Cantidad]],VENTAS[[#This Row],[Total]])</f>
        <v>24.29</v>
      </c>
      <c r="L845" s="35">
        <f>VENTAS[[#This Row],[Total]]-VENTAS[[#This Row],[Comisión 10%]]-VENTAS[[#This Row],[Costo SIN Comision]]</f>
        <v>15.71</v>
      </c>
      <c r="M845" s="35"/>
    </row>
    <row r="846" ht="20" customHeight="1" spans="1:13">
      <c r="A846" s="29">
        <v>45391</v>
      </c>
      <c r="B846" s="30"/>
      <c r="C846" s="30" t="s">
        <v>3412</v>
      </c>
      <c r="D846" s="30"/>
      <c r="E846" s="30" t="s">
        <v>1601</v>
      </c>
      <c r="F846" s="34" t="str">
        <f>IFERROR(VLOOKUP(VENTAS[[#This Row],[Código del producto Vendido]],STOCK[],5,FALSE),"-")</f>
        <v>Sandalias minimalistas de tacón</v>
      </c>
      <c r="G846" s="34">
        <v>1</v>
      </c>
      <c r="H846" s="35">
        <v>45</v>
      </c>
      <c r="I846" s="35">
        <f>VENTAS[[#This Row],[Cantidad]]*VENTAS[[#This Row],[Precio Venta]]</f>
        <v>45</v>
      </c>
      <c r="J846" s="35">
        <f>IF(VENTAS[[#This Row],[Nombre del Gestor]]&gt;1,VENTAS[[#This Row],[Total]]*10%,0)</f>
        <v>0</v>
      </c>
      <c r="K846" s="35">
        <f>IFERROR(VLOOKUP(VENTAS[[#This Row],[Código del producto Vendido]],STOCK[],16,FALSE)*VENTAS[[#This Row],[Cantidad]]+VLOOKUP(VENTAS[[#This Row],[Código del producto Vendido]],STOCK[],19,FALSE)*VENTAS[[#This Row],[Cantidad]],VENTAS[[#This Row],[Total]])</f>
        <v>17.36</v>
      </c>
      <c r="L846" s="35">
        <f>VENTAS[[#This Row],[Total]]-VENTAS[[#This Row],[Comisión 10%]]-VENTAS[[#This Row],[Costo SIN Comision]]</f>
        <v>27.64</v>
      </c>
      <c r="M846" s="35"/>
    </row>
    <row r="847" ht="20" customHeight="1" spans="1:13">
      <c r="A847" s="29">
        <v>45394</v>
      </c>
      <c r="B847" s="30"/>
      <c r="C847" s="30"/>
      <c r="D847" s="30"/>
      <c r="E847" s="30" t="s">
        <v>1898</v>
      </c>
      <c r="F847" s="34" t="str">
        <f>IFERROR(VLOOKUP(VENTAS[[#This Row],[Código del producto Vendido]],STOCK[],5,FALSE),"-")</f>
        <v>Bolso mochila Rojo</v>
      </c>
      <c r="G847" s="34">
        <v>1</v>
      </c>
      <c r="H847" s="35">
        <v>25</v>
      </c>
      <c r="I847" s="35">
        <f>VENTAS[[#This Row],[Cantidad]]*VENTAS[[#This Row],[Precio Venta]]</f>
        <v>25</v>
      </c>
      <c r="J847" s="35">
        <f>IF(VENTAS[[#This Row],[Nombre del Gestor]]&gt;1,VENTAS[[#This Row],[Total]]*10%,0)</f>
        <v>0</v>
      </c>
      <c r="K847" s="35">
        <f>IFERROR(VLOOKUP(VENTAS[[#This Row],[Código del producto Vendido]],STOCK[],16,FALSE)*VENTAS[[#This Row],[Cantidad]]+VLOOKUP(VENTAS[[#This Row],[Código del producto Vendido]],STOCK[],19,FALSE)*VENTAS[[#This Row],[Cantidad]],VENTAS[[#This Row],[Total]])</f>
        <v>11.77</v>
      </c>
      <c r="L847" s="35">
        <f>VENTAS[[#This Row],[Total]]-VENTAS[[#This Row],[Comisión 10%]]-VENTAS[[#This Row],[Costo SIN Comision]]</f>
        <v>13.23</v>
      </c>
      <c r="M847" s="35"/>
    </row>
    <row r="848" ht="20" customHeight="1" spans="1:13">
      <c r="A848" s="29">
        <v>45394</v>
      </c>
      <c r="B848" s="30"/>
      <c r="C848" s="30" t="s">
        <v>3485</v>
      </c>
      <c r="D848" s="30"/>
      <c r="E848" s="30" t="s">
        <v>1896</v>
      </c>
      <c r="F848" s="34" t="str">
        <f>IFERROR(VLOOKUP(VENTAS[[#This Row],[Código del producto Vendido]],STOCK[],5,FALSE),"-")</f>
        <v>Bolso mochila estampado</v>
      </c>
      <c r="G848" s="34">
        <v>1</v>
      </c>
      <c r="H848" s="35">
        <v>25</v>
      </c>
      <c r="I848" s="35">
        <f>VENTAS[[#This Row],[Cantidad]]*VENTAS[[#This Row],[Precio Venta]]</f>
        <v>25</v>
      </c>
      <c r="J848" s="35">
        <f>IF(VENTAS[[#This Row],[Nombre del Gestor]]&gt;1,VENTAS[[#This Row],[Total]]*10%,0)</f>
        <v>0</v>
      </c>
      <c r="K848" s="35">
        <f>IFERROR(VLOOKUP(VENTAS[[#This Row],[Código del producto Vendido]],STOCK[],16,FALSE)*VENTAS[[#This Row],[Cantidad]]+VLOOKUP(VENTAS[[#This Row],[Código del producto Vendido]],STOCK[],19,FALSE)*VENTAS[[#This Row],[Cantidad]],VENTAS[[#This Row],[Total]])</f>
        <v>12.62</v>
      </c>
      <c r="L848" s="35">
        <f>VENTAS[[#This Row],[Total]]-VENTAS[[#This Row],[Comisión 10%]]-VENTAS[[#This Row],[Costo SIN Comision]]</f>
        <v>12.38</v>
      </c>
      <c r="M848" s="35"/>
    </row>
    <row r="849" ht="20" customHeight="1" spans="1:13">
      <c r="A849" s="29">
        <v>45394</v>
      </c>
      <c r="B849" s="30"/>
      <c r="C849" s="30" t="s">
        <v>3466</v>
      </c>
      <c r="D849" s="30"/>
      <c r="E849" s="30" t="s">
        <v>1900</v>
      </c>
      <c r="F849" s="34" t="str">
        <f>IFERROR(VLOOKUP(VENTAS[[#This Row],[Código del producto Vendido]],STOCK[],5,FALSE),"-")</f>
        <v>Blusa estampada de Lunares</v>
      </c>
      <c r="G849" s="34">
        <v>1</v>
      </c>
      <c r="H849" s="35">
        <v>14</v>
      </c>
      <c r="I849" s="35">
        <f>VENTAS[[#This Row],[Cantidad]]*VENTAS[[#This Row],[Precio Venta]]</f>
        <v>14</v>
      </c>
      <c r="J849" s="35">
        <f>IF(VENTAS[[#This Row],[Nombre del Gestor]]&gt;1,VENTAS[[#This Row],[Total]]*10%,0)</f>
        <v>0</v>
      </c>
      <c r="K849" s="35">
        <f>IFERROR(VLOOKUP(VENTAS[[#This Row],[Código del producto Vendido]],STOCK[],16,FALSE)*VENTAS[[#This Row],[Cantidad]]+VLOOKUP(VENTAS[[#This Row],[Código del producto Vendido]],STOCK[],19,FALSE)*VENTAS[[#This Row],[Cantidad]],VENTAS[[#This Row],[Total]])</f>
        <v>9.2</v>
      </c>
      <c r="L849" s="35">
        <f>VENTAS[[#This Row],[Total]]-VENTAS[[#This Row],[Comisión 10%]]-VENTAS[[#This Row],[Costo SIN Comision]]</f>
        <v>4.8</v>
      </c>
      <c r="M849" s="35"/>
    </row>
    <row r="850" ht="20" customHeight="1" spans="1:13">
      <c r="A850" s="29">
        <v>45394</v>
      </c>
      <c r="B850" s="30"/>
      <c r="C850" s="30"/>
      <c r="D850" s="30" t="s">
        <v>3478</v>
      </c>
      <c r="E850" s="30" t="s">
        <v>1858</v>
      </c>
      <c r="F850" s="34" t="str">
        <f>IFERROR(VLOOKUP(VENTAS[[#This Row],[Código del producto Vendido]],STOCK[],5,FALSE),"-")</f>
        <v>Bolso Baguette Rojo</v>
      </c>
      <c r="G850" s="34">
        <v>1</v>
      </c>
      <c r="H850" s="35">
        <v>25</v>
      </c>
      <c r="I850" s="35">
        <f>VENTAS[[#This Row],[Cantidad]]*VENTAS[[#This Row],[Precio Venta]]</f>
        <v>25</v>
      </c>
      <c r="J850" s="35">
        <f>IF(VENTAS[[#This Row],[Nombre del Gestor]]&gt;1,VENTAS[[#This Row],[Total]]*10%,0)</f>
        <v>2.5</v>
      </c>
      <c r="K850" s="35">
        <f>IFERROR(VLOOKUP(VENTAS[[#This Row],[Código del producto Vendido]],STOCK[],16,FALSE)*VENTAS[[#This Row],[Cantidad]]+VLOOKUP(VENTAS[[#This Row],[Código del producto Vendido]],STOCK[],19,FALSE)*VENTAS[[#This Row],[Cantidad]],VENTAS[[#This Row],[Total]])</f>
        <v>15.79</v>
      </c>
      <c r="L850" s="35">
        <f>VENTAS[[#This Row],[Total]]-VENTAS[[#This Row],[Comisión 10%]]-VENTAS[[#This Row],[Costo SIN Comision]]</f>
        <v>6.71</v>
      </c>
      <c r="M850" s="35"/>
    </row>
    <row r="851" ht="20" customHeight="1" spans="1:13">
      <c r="A851" s="29">
        <v>45394</v>
      </c>
      <c r="B851" s="30"/>
      <c r="C851" s="30"/>
      <c r="D851" s="30" t="s">
        <v>3478</v>
      </c>
      <c r="E851" s="30" t="s">
        <v>1854</v>
      </c>
      <c r="F851" s="34" t="str">
        <f>IFERROR(VLOOKUP(VENTAS[[#This Row],[Código del producto Vendido]],STOCK[],5,FALSE),"-")</f>
        <v>Crossbody Bag Blanco Lacado</v>
      </c>
      <c r="G851" s="34">
        <v>1</v>
      </c>
      <c r="H851" s="35">
        <v>20</v>
      </c>
      <c r="I851" s="35">
        <f>VENTAS[[#This Row],[Cantidad]]*VENTAS[[#This Row],[Precio Venta]]</f>
        <v>20</v>
      </c>
      <c r="J851" s="35">
        <f>IF(VENTAS[[#This Row],[Nombre del Gestor]]&gt;1,VENTAS[[#This Row],[Total]]*10%,0)</f>
        <v>2</v>
      </c>
      <c r="K851" s="35">
        <f>IFERROR(VLOOKUP(VENTAS[[#This Row],[Código del producto Vendido]],STOCK[],16,FALSE)*VENTAS[[#This Row],[Cantidad]]+VLOOKUP(VENTAS[[#This Row],[Código del producto Vendido]],STOCK[],19,FALSE)*VENTAS[[#This Row],[Cantidad]],VENTAS[[#This Row],[Total]])</f>
        <v>10.79</v>
      </c>
      <c r="L851" s="35">
        <f>VENTAS[[#This Row],[Total]]-VENTAS[[#This Row],[Comisión 10%]]-VENTAS[[#This Row],[Costo SIN Comision]]</f>
        <v>7.21</v>
      </c>
      <c r="M851" s="35"/>
    </row>
    <row r="852" ht="20" customHeight="1" spans="1:13">
      <c r="A852" s="29">
        <v>45394</v>
      </c>
      <c r="B852" s="30"/>
      <c r="C852" s="30"/>
      <c r="D852" s="30"/>
      <c r="E852" s="30" t="s">
        <v>1800</v>
      </c>
      <c r="F852" s="34" t="str">
        <f>IFERROR(VLOOKUP(VENTAS[[#This Row],[Código del producto Vendido]],STOCK[],5,FALSE),"-")</f>
        <v>Camisa blanca estampado de ave</v>
      </c>
      <c r="G852" s="34">
        <v>1</v>
      </c>
      <c r="H852" s="35">
        <v>25</v>
      </c>
      <c r="I852" s="35">
        <f>VENTAS[[#This Row],[Cantidad]]*VENTAS[[#This Row],[Precio Venta]]</f>
        <v>25</v>
      </c>
      <c r="J852" s="35">
        <f>IF(VENTAS[[#This Row],[Nombre del Gestor]]&gt;1,VENTAS[[#This Row],[Total]]*10%,0)</f>
        <v>0</v>
      </c>
      <c r="K852" s="35">
        <f>IFERROR(VLOOKUP(VENTAS[[#This Row],[Código del producto Vendido]],STOCK[],16,FALSE)*VENTAS[[#This Row],[Cantidad]]+VLOOKUP(VENTAS[[#This Row],[Código del producto Vendido]],STOCK[],19,FALSE)*VENTAS[[#This Row],[Cantidad]],VENTAS[[#This Row],[Total]])</f>
        <v>12.9411764705882</v>
      </c>
      <c r="L852" s="35">
        <f>VENTAS[[#This Row],[Total]]-VENTAS[[#This Row],[Comisión 10%]]-VENTAS[[#This Row],[Costo SIN Comision]]</f>
        <v>12.0588235294118</v>
      </c>
      <c r="M852" s="35"/>
    </row>
    <row r="853" ht="20" customHeight="1" spans="1:13">
      <c r="A853" s="29" t="s">
        <v>3462</v>
      </c>
      <c r="B853" s="30"/>
      <c r="C853" s="30"/>
      <c r="D853" s="30"/>
      <c r="E853" s="30" t="s">
        <v>1503</v>
      </c>
      <c r="F853" s="34" t="str">
        <f>IFERROR(VLOOKUP(VENTAS[[#This Row],[Código del producto Vendido]],STOCK[],5,FALSE),"-")</f>
        <v>Pullover Dazy cuello redondo Blanco</v>
      </c>
      <c r="G853" s="34">
        <v>1</v>
      </c>
      <c r="H853" s="35">
        <v>13</v>
      </c>
      <c r="I853" s="35">
        <f>VENTAS[[#This Row],[Cantidad]]*VENTAS[[#This Row],[Precio Venta]]</f>
        <v>13</v>
      </c>
      <c r="J853" s="35">
        <f>IF(VENTAS[[#This Row],[Nombre del Gestor]]&gt;1,VENTAS[[#This Row],[Total]]*10%,0)</f>
        <v>0</v>
      </c>
      <c r="K853" s="35">
        <f>IFERROR(VLOOKUP(VENTAS[[#This Row],[Código del producto Vendido]],STOCK[],16,FALSE)*VENTAS[[#This Row],[Cantidad]]+VLOOKUP(VENTAS[[#This Row],[Código del producto Vendido]],STOCK[],19,FALSE)*VENTAS[[#This Row],[Cantidad]],VENTAS[[#This Row],[Total]])</f>
        <v>7.5</v>
      </c>
      <c r="L853" s="35">
        <f>VENTAS[[#This Row],[Total]]-VENTAS[[#This Row],[Comisión 10%]]-VENTAS[[#This Row],[Costo SIN Comision]]</f>
        <v>5.5</v>
      </c>
      <c r="M853" s="35"/>
    </row>
    <row r="854" ht="20" customHeight="1" spans="1:13">
      <c r="A854" s="29" t="s">
        <v>3462</v>
      </c>
      <c r="B854" s="30"/>
      <c r="C854" s="30"/>
      <c r="D854" s="30"/>
      <c r="E854" s="30" t="s">
        <v>269</v>
      </c>
      <c r="F854" s="34" t="str">
        <f>IFERROR(VLOOKUP(VENTAS[[#This Row],[Código del producto Vendido]],STOCK[],5,FALSE),"-")</f>
        <v>Vestido playera oversize</v>
      </c>
      <c r="G854" s="34">
        <v>1</v>
      </c>
      <c r="H854" s="35">
        <v>22</v>
      </c>
      <c r="I854" s="35">
        <f>VENTAS[[#This Row],[Cantidad]]*VENTAS[[#This Row],[Precio Venta]]</f>
        <v>22</v>
      </c>
      <c r="J854" s="35">
        <f>IF(VENTAS[[#This Row],[Nombre del Gestor]]&gt;1,VENTAS[[#This Row],[Total]]*10%,0)</f>
        <v>0</v>
      </c>
      <c r="K854" s="35">
        <f>IFERROR(VLOOKUP(VENTAS[[#This Row],[Código del producto Vendido]],STOCK[],16,FALSE)*VENTAS[[#This Row],[Cantidad]]+VLOOKUP(VENTAS[[#This Row],[Código del producto Vendido]],STOCK[],19,FALSE)*VENTAS[[#This Row],[Cantidad]],VENTAS[[#This Row],[Total]])</f>
        <v>13.3888888888889</v>
      </c>
      <c r="L854" s="35">
        <f>VENTAS[[#This Row],[Total]]-VENTAS[[#This Row],[Comisión 10%]]-VENTAS[[#This Row],[Costo SIN Comision]]</f>
        <v>8.6111111111111</v>
      </c>
      <c r="M854" s="35"/>
    </row>
    <row r="855" ht="20" customHeight="1" spans="1:13">
      <c r="A855" s="29" t="s">
        <v>3462</v>
      </c>
      <c r="B855" s="30"/>
      <c r="C855" s="30"/>
      <c r="D855" s="30"/>
      <c r="E855" s="30" t="s">
        <v>250</v>
      </c>
      <c r="F855" s="34" t="str">
        <f>IFERROR(VLOOKUP(VENTAS[[#This Row],[Código del producto Vendido]],STOCK[],5,FALSE),"-")</f>
        <v>Vestido flor y botones</v>
      </c>
      <c r="G855" s="34">
        <v>1</v>
      </c>
      <c r="H855" s="35">
        <v>25</v>
      </c>
      <c r="I855" s="35">
        <f>VENTAS[[#This Row],[Cantidad]]*VENTAS[[#This Row],[Precio Venta]]</f>
        <v>25</v>
      </c>
      <c r="J855" s="35">
        <f>IF(VENTAS[[#This Row],[Nombre del Gestor]]&gt;1,VENTAS[[#This Row],[Total]]*10%,0)</f>
        <v>0</v>
      </c>
      <c r="K855" s="35">
        <f>IFERROR(VLOOKUP(VENTAS[[#This Row],[Código del producto Vendido]],STOCK[],16,FALSE)*VENTAS[[#This Row],[Cantidad]]+VLOOKUP(VENTAS[[#This Row],[Código del producto Vendido]],STOCK[],19,FALSE)*VENTAS[[#This Row],[Cantidad]],VENTAS[[#This Row],[Total]])</f>
        <v>16.76</v>
      </c>
      <c r="L855" s="35">
        <f>VENTAS[[#This Row],[Total]]-VENTAS[[#This Row],[Comisión 10%]]-VENTAS[[#This Row],[Costo SIN Comision]]</f>
        <v>8.24</v>
      </c>
      <c r="M855" s="35"/>
    </row>
    <row r="856" ht="20" customHeight="1" spans="1:13">
      <c r="A856" s="29">
        <v>45401</v>
      </c>
      <c r="B856" s="30"/>
      <c r="C856" s="30"/>
      <c r="D856" s="30" t="s">
        <v>3478</v>
      </c>
      <c r="E856" s="30" t="s">
        <v>1889</v>
      </c>
      <c r="F856" s="34" t="str">
        <f>IFERROR(VLOOKUP(VENTAS[[#This Row],[Código del producto Vendido]],STOCK[],5,FALSE),"-")</f>
        <v>Bolso estampado de Lona</v>
      </c>
      <c r="G856" s="34">
        <v>3</v>
      </c>
      <c r="H856" s="35">
        <v>12</v>
      </c>
      <c r="I856" s="35">
        <f>VENTAS[[#This Row],[Cantidad]]*VENTAS[[#This Row],[Precio Venta]]</f>
        <v>36</v>
      </c>
      <c r="J856" s="35">
        <f>IF(VENTAS[[#This Row],[Nombre del Gestor]]&gt;1,VENTAS[[#This Row],[Total]]*10%,0)</f>
        <v>3.6</v>
      </c>
      <c r="K856" s="35">
        <f>IFERROR(VLOOKUP(VENTAS[[#This Row],[Código del producto Vendido]],STOCK[],16,FALSE)*VENTAS[[#This Row],[Cantidad]]+VLOOKUP(VENTAS[[#This Row],[Código del producto Vendido]],STOCK[],19,FALSE)*VENTAS[[#This Row],[Cantidad]],VENTAS[[#This Row],[Total]])</f>
        <v>19.5</v>
      </c>
      <c r="L856" s="35">
        <f>VENTAS[[#This Row],[Total]]-VENTAS[[#This Row],[Comisión 10%]]-VENTAS[[#This Row],[Costo SIN Comision]]</f>
        <v>12.9</v>
      </c>
      <c r="M856" s="35"/>
    </row>
    <row r="857" ht="20" customHeight="1" spans="1:13">
      <c r="A857" s="29">
        <v>45401</v>
      </c>
      <c r="B857" s="30"/>
      <c r="C857" s="30"/>
      <c r="D857" s="30"/>
      <c r="E857" s="30" t="s">
        <v>1430</v>
      </c>
      <c r="F857" s="34" t="str">
        <f>IFERROR(VLOOKUP(VENTAS[[#This Row],[Código del producto Vendido]],STOCK[],5,FALSE),"-")</f>
        <v>Sandalias blancas cruzadas</v>
      </c>
      <c r="G857" s="34">
        <v>1</v>
      </c>
      <c r="H857" s="35">
        <v>15</v>
      </c>
      <c r="I857" s="35">
        <f>VENTAS[[#This Row],[Cantidad]]*VENTAS[[#This Row],[Precio Venta]]</f>
        <v>15</v>
      </c>
      <c r="J857" s="35">
        <f>IF(VENTAS[[#This Row],[Nombre del Gestor]]&gt;1,VENTAS[[#This Row],[Total]]*10%,0)</f>
        <v>0</v>
      </c>
      <c r="K857" s="35">
        <f>IFERROR(VLOOKUP(VENTAS[[#This Row],[Código del producto Vendido]],STOCK[],16,FALSE)*VENTAS[[#This Row],[Cantidad]]+VLOOKUP(VENTAS[[#This Row],[Código del producto Vendido]],STOCK[],19,FALSE)*VENTAS[[#This Row],[Cantidad]],VENTAS[[#This Row],[Total]])</f>
        <v>11.49</v>
      </c>
      <c r="L857" s="35">
        <f>VENTAS[[#This Row],[Total]]-VENTAS[[#This Row],[Comisión 10%]]-VENTAS[[#This Row],[Costo SIN Comision]]</f>
        <v>3.51</v>
      </c>
      <c r="M857" s="35"/>
    </row>
    <row r="858" ht="20" customHeight="1" spans="1:13">
      <c r="A858" s="29">
        <v>45401</v>
      </c>
      <c r="B858" s="30"/>
      <c r="C858" s="30"/>
      <c r="D858" s="30"/>
      <c r="E858" s="30" t="s">
        <v>1731</v>
      </c>
      <c r="F858" s="34" t="str">
        <f>IFERROR(VLOOKUP(VENTAS[[#This Row],[Código del producto Vendido]],STOCK[],5,FALSE),"-")</f>
        <v>Chaleco de traje Crema</v>
      </c>
      <c r="G858" s="34">
        <v>1</v>
      </c>
      <c r="H858" s="35">
        <v>25</v>
      </c>
      <c r="I858" s="35">
        <f>VENTAS[[#This Row],[Cantidad]]*VENTAS[[#This Row],[Precio Venta]]</f>
        <v>25</v>
      </c>
      <c r="J858" s="35">
        <f>IF(VENTAS[[#This Row],[Nombre del Gestor]]&gt;1,VENTAS[[#This Row],[Total]]*10%,0)</f>
        <v>0</v>
      </c>
      <c r="K858" s="35">
        <f>IFERROR(VLOOKUP(VENTAS[[#This Row],[Código del producto Vendido]],STOCK[],16,FALSE)*VENTAS[[#This Row],[Cantidad]]+VLOOKUP(VENTAS[[#This Row],[Código del producto Vendido]],STOCK[],19,FALSE)*VENTAS[[#This Row],[Cantidad]],VENTAS[[#This Row],[Total]])</f>
        <v>17.9411764705882</v>
      </c>
      <c r="L858" s="35">
        <f>VENTAS[[#This Row],[Total]]-VENTAS[[#This Row],[Comisión 10%]]-VENTAS[[#This Row],[Costo SIN Comision]]</f>
        <v>7.0588235294118</v>
      </c>
      <c r="M858" s="35"/>
    </row>
    <row r="859" ht="20" customHeight="1" spans="1:13">
      <c r="A859" s="29">
        <v>45401</v>
      </c>
      <c r="B859" s="30"/>
      <c r="C859" s="30"/>
      <c r="D859" s="30"/>
      <c r="E859" s="30" t="s">
        <v>1858</v>
      </c>
      <c r="F859" s="34" t="str">
        <f>IFERROR(VLOOKUP(VENTAS[[#This Row],[Código del producto Vendido]],STOCK[],5,FALSE),"-")</f>
        <v>Bolso Baguette Rojo</v>
      </c>
      <c r="G859" s="34">
        <v>1</v>
      </c>
      <c r="H859" s="35">
        <v>25</v>
      </c>
      <c r="I859" s="35">
        <f>VENTAS[[#This Row],[Cantidad]]*VENTAS[[#This Row],[Precio Venta]]</f>
        <v>25</v>
      </c>
      <c r="J859" s="35">
        <f>IF(VENTAS[[#This Row],[Nombre del Gestor]]&gt;1,VENTAS[[#This Row],[Total]]*10%,0)</f>
        <v>0</v>
      </c>
      <c r="K859" s="35">
        <f>IFERROR(VLOOKUP(VENTAS[[#This Row],[Código del producto Vendido]],STOCK[],16,FALSE)*VENTAS[[#This Row],[Cantidad]]+VLOOKUP(VENTAS[[#This Row],[Código del producto Vendido]],STOCK[],19,FALSE)*VENTAS[[#This Row],[Cantidad]],VENTAS[[#This Row],[Total]])</f>
        <v>15.79</v>
      </c>
      <c r="L859" s="35">
        <f>VENTAS[[#This Row],[Total]]-VENTAS[[#This Row],[Comisión 10%]]-VENTAS[[#This Row],[Costo SIN Comision]]</f>
        <v>9.21</v>
      </c>
      <c r="M859" s="35"/>
    </row>
    <row r="860" ht="20" customHeight="1" spans="1:13">
      <c r="A860" s="29">
        <v>45404</v>
      </c>
      <c r="B860" s="30"/>
      <c r="C860" s="30"/>
      <c r="D860" s="30" t="s">
        <v>3478</v>
      </c>
      <c r="E860" s="30" t="s">
        <v>1460</v>
      </c>
      <c r="F860" s="34" t="str">
        <f>IFERROR(VLOOKUP(VENTAS[[#This Row],[Código del producto Vendido]],STOCK[],5,FALSE),"-")</f>
        <v>Pantalón alto de bajo elegante</v>
      </c>
      <c r="G860" s="34">
        <v>1</v>
      </c>
      <c r="H860" s="35">
        <v>32</v>
      </c>
      <c r="I860" s="35">
        <f>VENTAS[[#This Row],[Cantidad]]*VENTAS[[#This Row],[Precio Venta]]</f>
        <v>32</v>
      </c>
      <c r="J860" s="35">
        <f>IF(VENTAS[[#This Row],[Nombre del Gestor]]&gt;1,VENTAS[[#This Row],[Total]]*10%,0)</f>
        <v>3.2</v>
      </c>
      <c r="K860" s="35">
        <f>IFERROR(VLOOKUP(VENTAS[[#This Row],[Código del producto Vendido]],STOCK[],16,FALSE)*VENTAS[[#This Row],[Cantidad]]+VLOOKUP(VENTAS[[#This Row],[Código del producto Vendido]],STOCK[],19,FALSE)*VENTAS[[#This Row],[Cantidad]],VENTAS[[#This Row],[Total]])</f>
        <v>16.19</v>
      </c>
      <c r="L860" s="35">
        <f>VENTAS[[#This Row],[Total]]-VENTAS[[#This Row],[Comisión 10%]]-VENTAS[[#This Row],[Costo SIN Comision]]</f>
        <v>12.61</v>
      </c>
      <c r="M860" s="35"/>
    </row>
    <row r="861" ht="20" customHeight="1" spans="1:13">
      <c r="A861" s="29">
        <v>45410</v>
      </c>
      <c r="B861" s="30"/>
      <c r="C861" s="30" t="s">
        <v>3486</v>
      </c>
      <c r="D861" s="30"/>
      <c r="E861" s="30" t="s">
        <v>773</v>
      </c>
      <c r="F861" s="34" t="str">
        <f>IFERROR(VLOOKUP(VENTAS[[#This Row],[Código del producto Vendido]],STOCK[],5,FALSE),"-")</f>
        <v>Sandalias prácticas</v>
      </c>
      <c r="G861" s="34">
        <v>1</v>
      </c>
      <c r="H861" s="35">
        <v>30</v>
      </c>
      <c r="I861" s="35">
        <f>VENTAS[[#This Row],[Cantidad]]*VENTAS[[#This Row],[Precio Venta]]</f>
        <v>30</v>
      </c>
      <c r="J861" s="35">
        <f>IF(VENTAS[[#This Row],[Nombre del Gestor]]&gt;1,VENTAS[[#This Row],[Total]]*10%,0)</f>
        <v>0</v>
      </c>
      <c r="K861" s="35">
        <f>IFERROR(VLOOKUP(VENTAS[[#This Row],[Código del producto Vendido]],STOCK[],16,FALSE)*VENTAS[[#This Row],[Cantidad]]+VLOOKUP(VENTAS[[#This Row],[Código del producto Vendido]],STOCK[],19,FALSE)*VENTAS[[#This Row],[Cantidad]],VENTAS[[#This Row],[Total]])</f>
        <v>23.2777777777778</v>
      </c>
      <c r="L861" s="35">
        <f>VENTAS[[#This Row],[Total]]-VENTAS[[#This Row],[Comisión 10%]]-VENTAS[[#This Row],[Costo SIN Comision]]</f>
        <v>6.7222222222222</v>
      </c>
      <c r="M861" s="35"/>
    </row>
    <row r="862" ht="20" customHeight="1" spans="1:13">
      <c r="A862" s="29">
        <v>45402</v>
      </c>
      <c r="B862" s="30"/>
      <c r="C862" s="30"/>
      <c r="D862" s="30"/>
      <c r="E862" s="30" t="s">
        <v>1595</v>
      </c>
      <c r="F862" s="34" t="str">
        <f>IFERROR(VLOOKUP(VENTAS[[#This Row],[Código del producto Vendido]],STOCK[],5,FALSE),"-")</f>
        <v>Sandalias flip de plataforma</v>
      </c>
      <c r="G862" s="34">
        <v>1</v>
      </c>
      <c r="H862" s="35">
        <v>15</v>
      </c>
      <c r="I862" s="35">
        <f>VENTAS[[#This Row],[Cantidad]]*VENTAS[[#This Row],[Precio Venta]]</f>
        <v>15</v>
      </c>
      <c r="J862" s="35">
        <f>IF(VENTAS[[#This Row],[Nombre del Gestor]]&gt;1,VENTAS[[#This Row],[Total]]*10%,0)</f>
        <v>0</v>
      </c>
      <c r="K862" s="35">
        <f>IFERROR(VLOOKUP(VENTAS[[#This Row],[Código del producto Vendido]],STOCK[],16,FALSE)*VENTAS[[#This Row],[Cantidad]]+VLOOKUP(VENTAS[[#This Row],[Código del producto Vendido]],STOCK[],19,FALSE)*VENTAS[[#This Row],[Cantidad]],VENTAS[[#This Row],[Total]])</f>
        <v>9.49</v>
      </c>
      <c r="L862" s="35">
        <f>VENTAS[[#This Row],[Total]]-VENTAS[[#This Row],[Comisión 10%]]-VENTAS[[#This Row],[Costo SIN Comision]]</f>
        <v>5.51</v>
      </c>
      <c r="M862" s="35"/>
    </row>
    <row r="863" ht="20" customHeight="1" spans="1:13">
      <c r="A863" s="29">
        <v>45404</v>
      </c>
      <c r="B863" s="30"/>
      <c r="C863" s="30"/>
      <c r="D863" s="30" t="s">
        <v>3478</v>
      </c>
      <c r="E863" s="30" t="s">
        <v>1056</v>
      </c>
      <c r="F863" s="34" t="str">
        <f>IFERROR(VLOOKUP(VENTAS[[#This Row],[Código del producto Vendido]],STOCK[],5,FALSE),"-")</f>
        <v>Falda plisada con cadena</v>
      </c>
      <c r="G863" s="34">
        <v>1</v>
      </c>
      <c r="H863" s="35">
        <v>20</v>
      </c>
      <c r="I863" s="35">
        <f>VENTAS[[#This Row],[Cantidad]]*VENTAS[[#This Row],[Precio Venta]]</f>
        <v>20</v>
      </c>
      <c r="J863" s="35">
        <f>IF(VENTAS[[#This Row],[Nombre del Gestor]]&gt;1,VENTAS[[#This Row],[Total]]*10%,0)</f>
        <v>2</v>
      </c>
      <c r="K863" s="35">
        <f>IFERROR(VLOOKUP(VENTAS[[#This Row],[Código del producto Vendido]],STOCK[],16,FALSE)*VENTAS[[#This Row],[Cantidad]]+VLOOKUP(VENTAS[[#This Row],[Código del producto Vendido]],STOCK[],19,FALSE)*VENTAS[[#This Row],[Cantidad]],VENTAS[[#This Row],[Total]])</f>
        <v>14.8636363636364</v>
      </c>
      <c r="L863" s="35">
        <f>VENTAS[[#This Row],[Total]]-VENTAS[[#This Row],[Comisión 10%]]-VENTAS[[#This Row],[Costo SIN Comision]]</f>
        <v>3.1363636363636</v>
      </c>
      <c r="M863" s="35"/>
    </row>
    <row r="864" ht="20" customHeight="1" spans="1:13">
      <c r="A864" s="29">
        <v>45409</v>
      </c>
      <c r="B864" s="30"/>
      <c r="C864" s="30"/>
      <c r="D864" s="30" t="s">
        <v>3478</v>
      </c>
      <c r="E864" s="30" t="s">
        <v>750</v>
      </c>
      <c r="F864" s="34" t="str">
        <f>IFERROR(VLOOKUP(VENTAS[[#This Row],[Código del producto Vendido]],STOCK[],5,FALSE),"-")</f>
        <v>Sandalias trenzadas</v>
      </c>
      <c r="G864" s="34">
        <v>1</v>
      </c>
      <c r="H864" s="35">
        <v>35</v>
      </c>
      <c r="I864" s="35">
        <f>VENTAS[[#This Row],[Cantidad]]*VENTAS[[#This Row],[Precio Venta]]</f>
        <v>35</v>
      </c>
      <c r="J864" s="35">
        <f>IF(VENTAS[[#This Row],[Nombre del Gestor]]&gt;1,VENTAS[[#This Row],[Total]]*10%,0)</f>
        <v>3.5</v>
      </c>
      <c r="K864" s="35">
        <f>IFERROR(VLOOKUP(VENTAS[[#This Row],[Código del producto Vendido]],STOCK[],16,FALSE)*VENTAS[[#This Row],[Cantidad]]+VLOOKUP(VENTAS[[#This Row],[Código del producto Vendido]],STOCK[],19,FALSE)*VENTAS[[#This Row],[Cantidad]],VENTAS[[#This Row],[Total]])</f>
        <v>27</v>
      </c>
      <c r="L864" s="35">
        <f>VENTAS[[#This Row],[Total]]-VENTAS[[#This Row],[Comisión 10%]]-VENTAS[[#This Row],[Costo SIN Comision]]</f>
        <v>4.5</v>
      </c>
      <c r="M864" s="35"/>
    </row>
    <row r="865" ht="20" customHeight="1" spans="1:13">
      <c r="A865" s="29">
        <v>45405</v>
      </c>
      <c r="B865" s="30"/>
      <c r="C865" s="30"/>
      <c r="D865" s="30" t="s">
        <v>3478</v>
      </c>
      <c r="E865" s="30" t="s">
        <v>1635</v>
      </c>
      <c r="F865" s="34" t="str">
        <f>IFERROR(VLOOKUP(VENTAS[[#This Row],[Código del producto Vendido]],STOCK[],5,FALSE),"-")</f>
        <v>Vestido Privé </v>
      </c>
      <c r="G865" s="34">
        <v>1</v>
      </c>
      <c r="H865" s="35">
        <v>25</v>
      </c>
      <c r="I865" s="35">
        <f>VENTAS[[#This Row],[Cantidad]]*VENTAS[[#This Row],[Precio Venta]]</f>
        <v>25</v>
      </c>
      <c r="J865" s="35">
        <f>IF(VENTAS[[#This Row],[Nombre del Gestor]]&gt;1,VENTAS[[#This Row],[Total]]*10%,0)</f>
        <v>2.5</v>
      </c>
      <c r="K865" s="35">
        <f>IFERROR(VLOOKUP(VENTAS[[#This Row],[Código del producto Vendido]],STOCK[],16,FALSE)*VENTAS[[#This Row],[Cantidad]]+VLOOKUP(VENTAS[[#This Row],[Código del producto Vendido]],STOCK[],19,FALSE)*VENTAS[[#This Row],[Cantidad]],VENTAS[[#This Row],[Total]])</f>
        <v>11.1</v>
      </c>
      <c r="L865" s="35">
        <f>VENTAS[[#This Row],[Total]]-VENTAS[[#This Row],[Comisión 10%]]-VENTAS[[#This Row],[Costo SIN Comision]]</f>
        <v>11.4</v>
      </c>
      <c r="M865" s="35"/>
    </row>
    <row r="866" ht="20" customHeight="1" spans="1:13">
      <c r="A866" s="29">
        <v>45406</v>
      </c>
      <c r="B866" s="30"/>
      <c r="C866" s="30"/>
      <c r="D866" s="30" t="s">
        <v>3478</v>
      </c>
      <c r="E866" s="30" t="s">
        <v>253</v>
      </c>
      <c r="F866" s="34" t="str">
        <f>IFERROR(VLOOKUP(VENTAS[[#This Row],[Código del producto Vendido]],STOCK[],5,FALSE),"-")</f>
        <v>Blusa espalda cruzada blanca</v>
      </c>
      <c r="G866" s="34">
        <v>1</v>
      </c>
      <c r="H866" s="35">
        <v>12</v>
      </c>
      <c r="I866" s="35">
        <f>VENTAS[[#This Row],[Cantidad]]*VENTAS[[#This Row],[Precio Venta]]</f>
        <v>12</v>
      </c>
      <c r="J866" s="35">
        <f>IF(VENTAS[[#This Row],[Nombre del Gestor]]&gt;1,VENTAS[[#This Row],[Total]]*10%,0)</f>
        <v>1.2</v>
      </c>
      <c r="K866" s="35">
        <f>IFERROR(VLOOKUP(VENTAS[[#This Row],[Código del producto Vendido]],STOCK[],16,FALSE)*VENTAS[[#This Row],[Cantidad]]+VLOOKUP(VENTAS[[#This Row],[Código del producto Vendido]],STOCK[],19,FALSE)*VENTAS[[#This Row],[Cantidad]],VENTAS[[#This Row],[Total]])</f>
        <v>8.34222222222222</v>
      </c>
      <c r="L866" s="35">
        <f>VENTAS[[#This Row],[Total]]-VENTAS[[#This Row],[Comisión 10%]]-VENTAS[[#This Row],[Costo SIN Comision]]</f>
        <v>2.45777777777778</v>
      </c>
      <c r="M866" s="35"/>
    </row>
    <row r="867" ht="20" customHeight="1" spans="1:13">
      <c r="A867" s="29">
        <v>45408</v>
      </c>
      <c r="B867" s="30"/>
      <c r="C867" s="30"/>
      <c r="D867" s="30" t="s">
        <v>3478</v>
      </c>
      <c r="E867" s="30" t="s">
        <v>1777</v>
      </c>
      <c r="F867" s="34" t="str">
        <f>IFERROR(VLOOKUP(VENTAS[[#This Row],[Código del producto Vendido]],STOCK[],5,FALSE),"-")</f>
        <v>Conjunto de bikini moca</v>
      </c>
      <c r="G867" s="34">
        <v>1</v>
      </c>
      <c r="H867" s="35">
        <v>20</v>
      </c>
      <c r="I867" s="35">
        <f>VENTAS[[#This Row],[Cantidad]]*VENTAS[[#This Row],[Precio Venta]]</f>
        <v>20</v>
      </c>
      <c r="J867" s="35">
        <f>IF(VENTAS[[#This Row],[Nombre del Gestor]]&gt;1,VENTAS[[#This Row],[Total]]*10%,0)</f>
        <v>2</v>
      </c>
      <c r="K867" s="35">
        <f>IFERROR(VLOOKUP(VENTAS[[#This Row],[Código del producto Vendido]],STOCK[],16,FALSE)*VENTAS[[#This Row],[Cantidad]]+VLOOKUP(VENTAS[[#This Row],[Código del producto Vendido]],STOCK[],19,FALSE)*VENTAS[[#This Row],[Cantidad]],VENTAS[[#This Row],[Total]])</f>
        <v>12.3529411764706</v>
      </c>
      <c r="L867" s="35">
        <f>VENTAS[[#This Row],[Total]]-VENTAS[[#This Row],[Comisión 10%]]-VENTAS[[#This Row],[Costo SIN Comision]]</f>
        <v>5.64705882352941</v>
      </c>
      <c r="M867" s="35"/>
    </row>
    <row r="868" ht="20" customHeight="1" spans="1:13">
      <c r="A868" s="29">
        <v>45409</v>
      </c>
      <c r="B868" s="30"/>
      <c r="C868" s="30"/>
      <c r="D868" s="30" t="s">
        <v>3478</v>
      </c>
      <c r="E868" s="30" t="s">
        <v>1573</v>
      </c>
      <c r="F868" s="34" t="str">
        <f>IFERROR(VLOOKUP(VENTAS[[#This Row],[Código del producto Vendido]],STOCK[],5,FALSE),"-")</f>
        <v>Sandalias de nudos</v>
      </c>
      <c r="G868" s="34">
        <v>1</v>
      </c>
      <c r="H868" s="35">
        <v>18</v>
      </c>
      <c r="I868" s="35">
        <f>VENTAS[[#This Row],[Cantidad]]*VENTAS[[#This Row],[Precio Venta]]</f>
        <v>18</v>
      </c>
      <c r="J868" s="35">
        <f>IF(VENTAS[[#This Row],[Nombre del Gestor]]&gt;1,VENTAS[[#This Row],[Total]]*10%,0)</f>
        <v>1.8</v>
      </c>
      <c r="K868" s="35">
        <f>IFERROR(VLOOKUP(VENTAS[[#This Row],[Código del producto Vendido]],STOCK[],16,FALSE)*VENTAS[[#This Row],[Cantidad]]+VLOOKUP(VENTAS[[#This Row],[Código del producto Vendido]],STOCK[],19,FALSE)*VENTAS[[#This Row],[Cantidad]],VENTAS[[#This Row],[Total]])</f>
        <v>11</v>
      </c>
      <c r="L868" s="35">
        <f>VENTAS[[#This Row],[Total]]-VENTAS[[#This Row],[Comisión 10%]]-VENTAS[[#This Row],[Costo SIN Comision]]</f>
        <v>5.2</v>
      </c>
      <c r="M868" s="35"/>
    </row>
    <row r="869" ht="20" customHeight="1" spans="1:13">
      <c r="A869" s="29">
        <v>45410</v>
      </c>
      <c r="B869" s="30"/>
      <c r="C869" s="30"/>
      <c r="D869" s="30" t="s">
        <v>3478</v>
      </c>
      <c r="E869" s="30" t="s">
        <v>1760</v>
      </c>
      <c r="F869" s="34" t="str">
        <f>IFERROR(VLOOKUP(VENTAS[[#This Row],[Código del producto Vendido]],STOCK[],5,FALSE),"-")</f>
        <v>Zapatillas blanco casual</v>
      </c>
      <c r="G869" s="34">
        <v>1</v>
      </c>
      <c r="H869" s="35">
        <v>30</v>
      </c>
      <c r="I869" s="35">
        <f>VENTAS[[#This Row],[Cantidad]]*VENTAS[[#This Row],[Precio Venta]]</f>
        <v>30</v>
      </c>
      <c r="J869" s="35">
        <f>IF(VENTAS[[#This Row],[Nombre del Gestor]]&gt;1,VENTAS[[#This Row],[Total]]*10%,0)</f>
        <v>3</v>
      </c>
      <c r="K869" s="35">
        <f>IFERROR(VLOOKUP(VENTAS[[#This Row],[Código del producto Vendido]],STOCK[],16,FALSE)*VENTAS[[#This Row],[Cantidad]]+VLOOKUP(VENTAS[[#This Row],[Código del producto Vendido]],STOCK[],19,FALSE)*VENTAS[[#This Row],[Cantidad]],VENTAS[[#This Row],[Total]])</f>
        <v>25.4705882352941</v>
      </c>
      <c r="L869" s="35">
        <f>VENTAS[[#This Row],[Total]]-VENTAS[[#This Row],[Comisión 10%]]-VENTAS[[#This Row],[Costo SIN Comision]]</f>
        <v>1.5294117647059</v>
      </c>
      <c r="M869" s="35"/>
    </row>
    <row r="870" ht="20" customHeight="1" spans="1:13">
      <c r="A870" s="29">
        <v>45410</v>
      </c>
      <c r="B870" s="30"/>
      <c r="C870" s="30"/>
      <c r="D870" s="30" t="s">
        <v>3478</v>
      </c>
      <c r="E870" s="30" t="s">
        <v>1421</v>
      </c>
      <c r="F870" s="34" t="str">
        <f>IFERROR(VLOOKUP(VENTAS[[#This Row],[Código del producto Vendido]],STOCK[],5,FALSE),"-")</f>
        <v>Pantalón de traje</v>
      </c>
      <c r="G870" s="34">
        <v>1</v>
      </c>
      <c r="H870" s="35">
        <v>30</v>
      </c>
      <c r="I870" s="35">
        <f>VENTAS[[#This Row],[Cantidad]]*VENTAS[[#This Row],[Precio Venta]]</f>
        <v>30</v>
      </c>
      <c r="J870" s="35">
        <f>IF(VENTAS[[#This Row],[Nombre del Gestor]]&gt;1,VENTAS[[#This Row],[Total]]*10%,0)</f>
        <v>3</v>
      </c>
      <c r="K870" s="35">
        <f>IFERROR(VLOOKUP(VENTAS[[#This Row],[Código del producto Vendido]],STOCK[],16,FALSE)*VENTAS[[#This Row],[Cantidad]]+VLOOKUP(VENTAS[[#This Row],[Código del producto Vendido]],STOCK[],19,FALSE)*VENTAS[[#This Row],[Cantidad]],VENTAS[[#This Row],[Total]])</f>
        <v>21</v>
      </c>
      <c r="L870" s="35">
        <f>VENTAS[[#This Row],[Total]]-VENTAS[[#This Row],[Comisión 10%]]-VENTAS[[#This Row],[Costo SIN Comision]]</f>
        <v>6</v>
      </c>
      <c r="M870" s="35"/>
    </row>
    <row r="871" ht="20" customHeight="1" spans="1:13">
      <c r="A871" s="29">
        <v>45410</v>
      </c>
      <c r="B871" s="30"/>
      <c r="C871" s="30"/>
      <c r="D871" s="30" t="s">
        <v>3478</v>
      </c>
      <c r="E871" s="30" t="s">
        <v>959</v>
      </c>
      <c r="F871" s="34" t="str">
        <f>IFERROR(VLOOKUP(VENTAS[[#This Row],[Código del producto Vendido]],STOCK[],5,FALSE),"-")</f>
        <v>Pantalón business básico</v>
      </c>
      <c r="G871" s="34">
        <v>1</v>
      </c>
      <c r="H871" s="35">
        <v>28</v>
      </c>
      <c r="I871" s="35">
        <f>VENTAS[[#This Row],[Cantidad]]*VENTAS[[#This Row],[Precio Venta]]</f>
        <v>28</v>
      </c>
      <c r="J871" s="35">
        <f>IF(VENTAS[[#This Row],[Nombre del Gestor]]&gt;1,VENTAS[[#This Row],[Total]]*10%,0)</f>
        <v>2.8</v>
      </c>
      <c r="K871" s="35">
        <f>IFERROR(VLOOKUP(VENTAS[[#This Row],[Código del producto Vendido]],STOCK[],16,FALSE)*VENTAS[[#This Row],[Cantidad]]+VLOOKUP(VENTAS[[#This Row],[Código del producto Vendido]],STOCK[],19,FALSE)*VENTAS[[#This Row],[Cantidad]],VENTAS[[#This Row],[Total]])</f>
        <v>21.3722727272727</v>
      </c>
      <c r="L871" s="35">
        <f>VENTAS[[#This Row],[Total]]-VENTAS[[#This Row],[Comisión 10%]]-VENTAS[[#This Row],[Costo SIN Comision]]</f>
        <v>3.8277272727273</v>
      </c>
      <c r="M871" s="35"/>
    </row>
    <row r="872" ht="20" customHeight="1" spans="1:13">
      <c r="A872" s="29">
        <v>45411</v>
      </c>
      <c r="B872" s="30"/>
      <c r="C872" s="30" t="s">
        <v>3487</v>
      </c>
      <c r="D872" s="30"/>
      <c r="E872" s="30"/>
      <c r="F872" s="34" t="str">
        <f>IFERROR(VLOOKUP(VENTAS[[#This Row],[Código del producto Vendido]],STOCK[],5,FALSE),"-")</f>
        <v>-</v>
      </c>
      <c r="G872" s="34">
        <v>1</v>
      </c>
      <c r="H872" s="35">
        <v>0</v>
      </c>
      <c r="I872" s="35">
        <f>VENTAS[[#This Row],[Cantidad]]*VENTAS[[#This Row],[Precio Venta]]</f>
        <v>0</v>
      </c>
      <c r="J872" s="35">
        <f>IF(VENTAS[[#This Row],[Nombre del Gestor]]&gt;1,VENTAS[[#This Row],[Total]]*10%,0)</f>
        <v>0</v>
      </c>
      <c r="K872" s="35">
        <f>IFERROR(VLOOKUP(VENTAS[[#This Row],[Código del producto Vendido]],STOCK[],16,FALSE)*VENTAS[[#This Row],[Cantidad]]+VLOOKUP(VENTAS[[#This Row],[Código del producto Vendido]],STOCK[],19,FALSE)*VENTAS[[#This Row],[Cantidad]],VENTAS[[#This Row],[Total]])</f>
        <v>0</v>
      </c>
      <c r="L872" s="35">
        <f>VENTAS[[#This Row],[Total]]-VENTAS[[#This Row],[Comisión 10%]]-VENTAS[[#This Row],[Costo SIN Comision]]</f>
        <v>0</v>
      </c>
      <c r="M872" s="35"/>
    </row>
    <row r="873" ht="20" customHeight="1" spans="1:13">
      <c r="A873" s="29">
        <v>45411</v>
      </c>
      <c r="B873" s="30"/>
      <c r="C873" s="30"/>
      <c r="D873" s="30" t="s">
        <v>3478</v>
      </c>
      <c r="E873" s="30" t="s">
        <v>1677</v>
      </c>
      <c r="F873" s="34" t="str">
        <f>IFERROR(VLOOKUP(VENTAS[[#This Row],[Código del producto Vendido]],STOCK[],5,FALSE),"-")</f>
        <v>Botas negras de zíper</v>
      </c>
      <c r="G873" s="34">
        <v>1</v>
      </c>
      <c r="H873" s="35">
        <v>40</v>
      </c>
      <c r="I873" s="35">
        <f>VENTAS[[#This Row],[Cantidad]]*VENTAS[[#This Row],[Precio Venta]]</f>
        <v>40</v>
      </c>
      <c r="J873" s="35">
        <f>IF(VENTAS[[#This Row],[Nombre del Gestor]]&gt;1,VENTAS[[#This Row],[Total]]*10%,0)</f>
        <v>4</v>
      </c>
      <c r="K873" s="35">
        <f>IFERROR(VLOOKUP(VENTAS[[#This Row],[Código del producto Vendido]],STOCK[],16,FALSE)*VENTAS[[#This Row],[Cantidad]]+VLOOKUP(VENTAS[[#This Row],[Código del producto Vendido]],STOCK[],19,FALSE)*VENTAS[[#This Row],[Cantidad]],VENTAS[[#This Row],[Total]])</f>
        <v>22.42</v>
      </c>
      <c r="L873" s="35">
        <f>VENTAS[[#This Row],[Total]]-VENTAS[[#This Row],[Comisión 10%]]-VENTAS[[#This Row],[Costo SIN Comision]]</f>
        <v>13.58</v>
      </c>
      <c r="M873" s="35"/>
    </row>
    <row r="874" ht="20" customHeight="1" spans="1:13">
      <c r="A874" s="29">
        <v>45411</v>
      </c>
      <c r="B874" s="30"/>
      <c r="C874" s="30"/>
      <c r="D874" s="30" t="s">
        <v>3478</v>
      </c>
      <c r="E874" s="30" t="s">
        <v>1366</v>
      </c>
      <c r="F874" s="34" t="str">
        <f>IFERROR(VLOOKUP(VENTAS[[#This Row],[Código del producto Vendido]],STOCK[],5,FALSE),"-")</f>
        <v>Falda plisada de cuadros</v>
      </c>
      <c r="G874" s="34">
        <v>1</v>
      </c>
      <c r="H874" s="35">
        <v>20</v>
      </c>
      <c r="I874" s="35">
        <f>VENTAS[[#This Row],[Cantidad]]*VENTAS[[#This Row],[Precio Venta]]</f>
        <v>20</v>
      </c>
      <c r="J874" s="35">
        <f>IF(VENTAS[[#This Row],[Nombre del Gestor]]&gt;1,VENTAS[[#This Row],[Total]]*10%,0)</f>
        <v>2</v>
      </c>
      <c r="K874" s="35">
        <f>IFERROR(VLOOKUP(VENTAS[[#This Row],[Código del producto Vendido]],STOCK[],16,FALSE)*VENTAS[[#This Row],[Cantidad]]+VLOOKUP(VENTAS[[#This Row],[Código del producto Vendido]],STOCK[],19,FALSE)*VENTAS[[#This Row],[Cantidad]],VENTAS[[#This Row],[Total]])</f>
        <v>12.74</v>
      </c>
      <c r="L874" s="35">
        <f>VENTAS[[#This Row],[Total]]-VENTAS[[#This Row],[Comisión 10%]]-VENTAS[[#This Row],[Costo SIN Comision]]</f>
        <v>5.26</v>
      </c>
      <c r="M874" s="35"/>
    </row>
    <row r="875" ht="20" customHeight="1" spans="1:13">
      <c r="A875" s="29">
        <v>45411</v>
      </c>
      <c r="B875" s="30"/>
      <c r="C875" s="30"/>
      <c r="D875" s="30" t="s">
        <v>3478</v>
      </c>
      <c r="E875" s="30" t="s">
        <v>1363</v>
      </c>
      <c r="F875" s="34" t="str">
        <f>IFERROR(VLOOKUP(VENTAS[[#This Row],[Código del producto Vendido]],STOCK[],5,FALSE),"-")</f>
        <v>Vestido de flecos</v>
      </c>
      <c r="G875" s="34">
        <v>1</v>
      </c>
      <c r="H875" s="35">
        <v>25</v>
      </c>
      <c r="I875" s="35">
        <f>VENTAS[[#This Row],[Cantidad]]*VENTAS[[#This Row],[Precio Venta]]</f>
        <v>25</v>
      </c>
      <c r="J875" s="35">
        <f>IF(VENTAS[[#This Row],[Nombre del Gestor]]&gt;1,VENTAS[[#This Row],[Total]]*10%,0)</f>
        <v>2.5</v>
      </c>
      <c r="K875" s="35">
        <f>IFERROR(VLOOKUP(VENTAS[[#This Row],[Código del producto Vendido]],STOCK[],16,FALSE)*VENTAS[[#This Row],[Cantidad]]+VLOOKUP(VENTAS[[#This Row],[Código del producto Vendido]],STOCK[],19,FALSE)*VENTAS[[#This Row],[Cantidad]],VENTAS[[#This Row],[Total]])</f>
        <v>18.83</v>
      </c>
      <c r="L875" s="35">
        <f>VENTAS[[#This Row],[Total]]-VENTAS[[#This Row],[Comisión 10%]]-VENTAS[[#This Row],[Costo SIN Comision]]</f>
        <v>3.67</v>
      </c>
      <c r="M875" s="35"/>
    </row>
    <row r="876" ht="20" customHeight="1" spans="1:13">
      <c r="A876" s="29">
        <v>45411</v>
      </c>
      <c r="B876" s="30"/>
      <c r="C876" s="30" t="s">
        <v>3488</v>
      </c>
      <c r="D876" s="30"/>
      <c r="E876" s="30" t="s">
        <v>434</v>
      </c>
      <c r="F876" s="34" t="str">
        <f>IFERROR(VLOOKUP(VENTAS[[#This Row],[Código del producto Vendido]],STOCK[],5,FALSE),"-")</f>
        <v>Camisa amplia multicolor </v>
      </c>
      <c r="G876" s="34">
        <v>1</v>
      </c>
      <c r="H876" s="35">
        <v>25</v>
      </c>
      <c r="I876" s="35">
        <f>VENTAS[[#This Row],[Cantidad]]*VENTAS[[#This Row],[Precio Venta]]</f>
        <v>25</v>
      </c>
      <c r="J876" s="35">
        <f>IF(VENTAS[[#This Row],[Nombre del Gestor]]&gt;1,VENTAS[[#This Row],[Total]]*10%,0)</f>
        <v>0</v>
      </c>
      <c r="K876" s="35">
        <f>IFERROR(VLOOKUP(VENTAS[[#This Row],[Código del producto Vendido]],STOCK[],16,FALSE)*VENTAS[[#This Row],[Cantidad]]+VLOOKUP(VENTAS[[#This Row],[Código del producto Vendido]],STOCK[],19,FALSE)*VENTAS[[#This Row],[Cantidad]],VENTAS[[#This Row],[Total]])</f>
        <v>16.2566666666667</v>
      </c>
      <c r="L876" s="35">
        <f>VENTAS[[#This Row],[Total]]-VENTAS[[#This Row],[Comisión 10%]]-VENTAS[[#This Row],[Costo SIN Comision]]</f>
        <v>8.7433333333333</v>
      </c>
      <c r="M876" s="35"/>
    </row>
    <row r="877" ht="20" customHeight="1" spans="1:13">
      <c r="A877" s="29">
        <v>45411</v>
      </c>
      <c r="B877" s="30"/>
      <c r="C877" s="30" t="s">
        <v>3488</v>
      </c>
      <c r="D877" s="30"/>
      <c r="E877" s="30" t="s">
        <v>1571</v>
      </c>
      <c r="F877" s="34" t="str">
        <f>IFERROR(VLOOKUP(VENTAS[[#This Row],[Código del producto Vendido]],STOCK[],5,FALSE),"-")</f>
        <v>Sandalias de tiras</v>
      </c>
      <c r="G877" s="34">
        <v>1</v>
      </c>
      <c r="H877" s="35">
        <v>20</v>
      </c>
      <c r="I877" s="35">
        <f>VENTAS[[#This Row],[Cantidad]]*VENTAS[[#This Row],[Precio Venta]]</f>
        <v>20</v>
      </c>
      <c r="J877" s="35">
        <f>IF(VENTAS[[#This Row],[Nombre del Gestor]]&gt;1,VENTAS[[#This Row],[Total]]*10%,0)</f>
        <v>0</v>
      </c>
      <c r="K877" s="35">
        <f>IFERROR(VLOOKUP(VENTAS[[#This Row],[Código del producto Vendido]],STOCK[],16,FALSE)*VENTAS[[#This Row],[Cantidad]]+VLOOKUP(VENTAS[[#This Row],[Código del producto Vendido]],STOCK[],19,FALSE)*VENTAS[[#This Row],[Cantidad]],VENTAS[[#This Row],[Total]])</f>
        <v>14</v>
      </c>
      <c r="L877" s="35">
        <f>VENTAS[[#This Row],[Total]]-VENTAS[[#This Row],[Comisión 10%]]-VENTAS[[#This Row],[Costo SIN Comision]]</f>
        <v>6</v>
      </c>
      <c r="M877" s="35"/>
    </row>
    <row r="878" ht="20" customHeight="1" spans="1:13">
      <c r="A878" s="29">
        <v>45413</v>
      </c>
      <c r="B878" s="30"/>
      <c r="C878" s="30"/>
      <c r="D878" s="30" t="s">
        <v>3478</v>
      </c>
      <c r="E878" s="30" t="s">
        <v>1759</v>
      </c>
      <c r="F878" s="34" t="str">
        <f>IFERROR(VLOOKUP(VENTAS[[#This Row],[Código del producto Vendido]],STOCK[],5,FALSE),"-")</f>
        <v>Zapatillas blanco casual</v>
      </c>
      <c r="G878" s="34">
        <v>1</v>
      </c>
      <c r="H878" s="35">
        <v>30</v>
      </c>
      <c r="I878" s="35">
        <f>VENTAS[[#This Row],[Cantidad]]*VENTAS[[#This Row],[Precio Venta]]</f>
        <v>30</v>
      </c>
      <c r="J878" s="35">
        <f>IF(VENTAS[[#This Row],[Nombre del Gestor]]&gt;1,VENTAS[[#This Row],[Total]]*10%,0)</f>
        <v>3</v>
      </c>
      <c r="K878" s="35">
        <f>IFERROR(VLOOKUP(VENTAS[[#This Row],[Código del producto Vendido]],STOCK[],16,FALSE)*VENTAS[[#This Row],[Cantidad]]+VLOOKUP(VENTAS[[#This Row],[Código del producto Vendido]],STOCK[],19,FALSE)*VENTAS[[#This Row],[Cantidad]],VENTAS[[#This Row],[Total]])</f>
        <v>25.4705882352941</v>
      </c>
      <c r="L878" s="35">
        <f>VENTAS[[#This Row],[Total]]-VENTAS[[#This Row],[Comisión 10%]]-VENTAS[[#This Row],[Costo SIN Comision]]</f>
        <v>1.5294117647059</v>
      </c>
      <c r="M878" s="35"/>
    </row>
    <row r="879" ht="20" customHeight="1" spans="1:13">
      <c r="A879" s="29">
        <v>45414</v>
      </c>
      <c r="B879" s="30"/>
      <c r="C879" s="30" t="s">
        <v>3489</v>
      </c>
      <c r="D879" s="30"/>
      <c r="E879" s="30" t="s">
        <v>1941</v>
      </c>
      <c r="F879" s="34" t="str">
        <f>IFERROR(VLOOKUP(VENTAS[[#This Row],[Código del producto Vendido]],STOCK[],5,FALSE),"-")</f>
        <v>Zapatillas blanco casual</v>
      </c>
      <c r="G879" s="34">
        <v>1</v>
      </c>
      <c r="H879" s="35">
        <v>30</v>
      </c>
      <c r="I879" s="35">
        <f>VENTAS[[#This Row],[Cantidad]]*VENTAS[[#This Row],[Precio Venta]]</f>
        <v>30</v>
      </c>
      <c r="J879" s="35">
        <f>IF(VENTAS[[#This Row],[Nombre del Gestor]]&gt;1,VENTAS[[#This Row],[Total]]*10%,0)</f>
        <v>0</v>
      </c>
      <c r="K879" s="35">
        <f>IFERROR(VLOOKUP(VENTAS[[#This Row],[Código del producto Vendido]],STOCK[],16,FALSE)*VENTAS[[#This Row],[Cantidad]]+VLOOKUP(VENTAS[[#This Row],[Código del producto Vendido]],STOCK[],19,FALSE)*VENTAS[[#This Row],[Cantidad]],VENTAS[[#This Row],[Total]])</f>
        <v>17.97</v>
      </c>
      <c r="L879" s="35">
        <f>VENTAS[[#This Row],[Total]]-VENTAS[[#This Row],[Comisión 10%]]-VENTAS[[#This Row],[Costo SIN Comision]]</f>
        <v>12.03</v>
      </c>
      <c r="M879" s="35"/>
    </row>
    <row r="880" ht="20" customHeight="1" spans="1:13">
      <c r="A880" s="29">
        <v>45414</v>
      </c>
      <c r="B880" s="30"/>
      <c r="C880" s="30"/>
      <c r="D880" s="30" t="s">
        <v>3478</v>
      </c>
      <c r="E880" s="30" t="s">
        <v>1675</v>
      </c>
      <c r="F880" s="34" t="str">
        <f>IFERROR(VLOOKUP(VENTAS[[#This Row],[Código del producto Vendido]],STOCK[],5,FALSE),"-")</f>
        <v>Botas negras de zíper</v>
      </c>
      <c r="G880" s="34">
        <v>1</v>
      </c>
      <c r="H880" s="35">
        <v>40</v>
      </c>
      <c r="I880" s="35">
        <f>VENTAS[[#This Row],[Cantidad]]*VENTAS[[#This Row],[Precio Venta]]</f>
        <v>40</v>
      </c>
      <c r="J880" s="35">
        <f>IF(VENTAS[[#This Row],[Nombre del Gestor]]&gt;1,VENTAS[[#This Row],[Total]]*10%,0)</f>
        <v>4</v>
      </c>
      <c r="K880" s="35">
        <f>IFERROR(VLOOKUP(VENTAS[[#This Row],[Código del producto Vendido]],STOCK[],16,FALSE)*VENTAS[[#This Row],[Cantidad]]+VLOOKUP(VENTAS[[#This Row],[Código del producto Vendido]],STOCK[],19,FALSE)*VENTAS[[#This Row],[Cantidad]],VENTAS[[#This Row],[Total]])</f>
        <v>22.42</v>
      </c>
      <c r="L880" s="35">
        <f>VENTAS[[#This Row],[Total]]-VENTAS[[#This Row],[Comisión 10%]]-VENTAS[[#This Row],[Costo SIN Comision]]</f>
        <v>13.58</v>
      </c>
      <c r="M880" s="35"/>
    </row>
    <row r="881" ht="20" customHeight="1" spans="1:13">
      <c r="A881" s="29">
        <v>45415</v>
      </c>
      <c r="B881" s="30"/>
      <c r="C881" s="30" t="s">
        <v>3490</v>
      </c>
      <c r="D881" s="30"/>
      <c r="E881" s="30" t="s">
        <v>1941</v>
      </c>
      <c r="F881" s="34" t="str">
        <f>IFERROR(VLOOKUP(VENTAS[[#This Row],[Código del producto Vendido]],STOCK[],5,FALSE),"-")</f>
        <v>Zapatillas blanco casual</v>
      </c>
      <c r="G881" s="34">
        <v>1</v>
      </c>
      <c r="H881" s="35">
        <v>0</v>
      </c>
      <c r="I881" s="35">
        <f>VENTAS[[#This Row],[Cantidad]]*VENTAS[[#This Row],[Precio Venta]]</f>
        <v>0</v>
      </c>
      <c r="J881" s="35">
        <f>IF(VENTAS[[#This Row],[Nombre del Gestor]]&gt;1,VENTAS[[#This Row],[Total]]*10%,0)</f>
        <v>0</v>
      </c>
      <c r="K881" s="35">
        <f>IFERROR(VLOOKUP(VENTAS[[#This Row],[Código del producto Vendido]],STOCK[],16,FALSE)*VENTAS[[#This Row],[Cantidad]]+VLOOKUP(VENTAS[[#This Row],[Código del producto Vendido]],STOCK[],19,FALSE)*VENTAS[[#This Row],[Cantidad]],VENTAS[[#This Row],[Total]])</f>
        <v>17.97</v>
      </c>
      <c r="L881" s="35">
        <f>VENTAS[[#This Row],[Total]]-VENTAS[[#This Row],[Comisión 10%]]-VENTAS[[#This Row],[Costo SIN Comision]]</f>
        <v>-17.97</v>
      </c>
      <c r="M881" s="35"/>
    </row>
    <row r="882" ht="20" customHeight="1" spans="1:13">
      <c r="A882" s="29">
        <v>45416</v>
      </c>
      <c r="B882" s="30"/>
      <c r="C882" s="30"/>
      <c r="D882" s="30" t="s">
        <v>3478</v>
      </c>
      <c r="E882" s="30" t="s">
        <v>245</v>
      </c>
      <c r="F882" s="34" t="str">
        <f>IFERROR(VLOOKUP(VENTAS[[#This Row],[Código del producto Vendido]],STOCK[],5,FALSE),"-")</f>
        <v>Top de mangas anchas y lentejuelas amarillo</v>
      </c>
      <c r="G882" s="34">
        <v>1</v>
      </c>
      <c r="H882" s="35">
        <v>13</v>
      </c>
      <c r="I882" s="35">
        <f>VENTAS[[#This Row],[Cantidad]]*VENTAS[[#This Row],[Precio Venta]]</f>
        <v>13</v>
      </c>
      <c r="J882" s="35">
        <f>IF(VENTAS[[#This Row],[Nombre del Gestor]]&gt;1,VENTAS[[#This Row],[Total]]*10%,0)</f>
        <v>1.3</v>
      </c>
      <c r="K882" s="35">
        <f>IFERROR(VLOOKUP(VENTAS[[#This Row],[Código del producto Vendido]],STOCK[],16,FALSE)*VENTAS[[#This Row],[Cantidad]]+VLOOKUP(VENTAS[[#This Row],[Código del producto Vendido]],STOCK[],19,FALSE)*VENTAS[[#This Row],[Cantidad]],VENTAS[[#This Row],[Total]])</f>
        <v>8.04222222222222</v>
      </c>
      <c r="L882" s="35">
        <f>VENTAS[[#This Row],[Total]]-VENTAS[[#This Row],[Comisión 10%]]-VENTAS[[#This Row],[Costo SIN Comision]]</f>
        <v>3.65777777777778</v>
      </c>
      <c r="M882" s="35"/>
    </row>
    <row r="883" ht="20" customHeight="1" spans="1:13">
      <c r="A883" s="29">
        <v>45416</v>
      </c>
      <c r="B883" s="30"/>
      <c r="C883" s="30"/>
      <c r="D883" s="30"/>
      <c r="E883" s="30" t="s">
        <v>1733</v>
      </c>
      <c r="F883" s="34" t="str">
        <f>IFERROR(VLOOKUP(VENTAS[[#This Row],[Código del producto Vendido]],STOCK[],5,FALSE),"-")</f>
        <v>Chaleco de traje Negro</v>
      </c>
      <c r="G883" s="34">
        <v>2</v>
      </c>
      <c r="H883" s="35">
        <v>25</v>
      </c>
      <c r="I883" s="35">
        <f>VENTAS[[#This Row],[Cantidad]]*VENTAS[[#This Row],[Precio Venta]]</f>
        <v>50</v>
      </c>
      <c r="J883" s="35">
        <f>IF(VENTAS[[#This Row],[Nombre del Gestor]]&gt;1,VENTAS[[#This Row],[Total]]*10%,0)</f>
        <v>0</v>
      </c>
      <c r="K883" s="35">
        <f>IFERROR(VLOOKUP(VENTAS[[#This Row],[Código del producto Vendido]],STOCK[],16,FALSE)*VENTAS[[#This Row],[Cantidad]]+VLOOKUP(VENTAS[[#This Row],[Código del producto Vendido]],STOCK[],19,FALSE)*VENTAS[[#This Row],[Cantidad]],VENTAS[[#This Row],[Total]])</f>
        <v>35.8823529411764</v>
      </c>
      <c r="L883" s="35">
        <f>VENTAS[[#This Row],[Total]]-VENTAS[[#This Row],[Comisión 10%]]-VENTAS[[#This Row],[Costo SIN Comision]]</f>
        <v>14.1176470588236</v>
      </c>
      <c r="M883" s="35"/>
    </row>
    <row r="884" ht="20" customHeight="1" spans="1:13">
      <c r="A884" s="29">
        <v>45416</v>
      </c>
      <c r="B884" s="30"/>
      <c r="C884" s="30"/>
      <c r="D884" s="30" t="s">
        <v>3478</v>
      </c>
      <c r="E884" s="30" t="s">
        <v>1920</v>
      </c>
      <c r="F884" s="34" t="str">
        <f>IFERROR(VLOOKUP(VENTAS[[#This Row],[Código del producto Vendido]],STOCK[],5,FALSE),"-")</f>
        <v>Vestido Fresco Verano</v>
      </c>
      <c r="G884" s="34">
        <v>1</v>
      </c>
      <c r="H884" s="35">
        <v>30</v>
      </c>
      <c r="I884" s="35">
        <f>VENTAS[[#This Row],[Cantidad]]*VENTAS[[#This Row],[Precio Venta]]</f>
        <v>30</v>
      </c>
      <c r="J884" s="35">
        <f>IF(VENTAS[[#This Row],[Nombre del Gestor]]&gt;1,VENTAS[[#This Row],[Total]]*10%,0)</f>
        <v>3</v>
      </c>
      <c r="K884" s="35">
        <f>IFERROR(VLOOKUP(VENTAS[[#This Row],[Código del producto Vendido]],STOCK[],16,FALSE)*VENTAS[[#This Row],[Cantidad]]+VLOOKUP(VENTAS[[#This Row],[Código del producto Vendido]],STOCK[],19,FALSE)*VENTAS[[#This Row],[Cantidad]],VENTAS[[#This Row],[Total]])</f>
        <v>11.61</v>
      </c>
      <c r="L884" s="35">
        <f>VENTAS[[#This Row],[Total]]-VENTAS[[#This Row],[Comisión 10%]]-VENTAS[[#This Row],[Costo SIN Comision]]</f>
        <v>15.39</v>
      </c>
      <c r="M884" s="35"/>
    </row>
    <row r="885" ht="20" customHeight="1" spans="1:13">
      <c r="A885" s="29">
        <v>45418</v>
      </c>
      <c r="B885" s="30"/>
      <c r="C885" s="30"/>
      <c r="D885" s="30" t="s">
        <v>3478</v>
      </c>
      <c r="E885" s="30" t="s">
        <v>1900</v>
      </c>
      <c r="F885" s="34" t="str">
        <f>IFERROR(VLOOKUP(VENTAS[[#This Row],[Código del producto Vendido]],STOCK[],5,FALSE),"-")</f>
        <v>Blusa estampada de Lunares</v>
      </c>
      <c r="G885" s="34">
        <v>1</v>
      </c>
      <c r="H885" s="35">
        <v>14</v>
      </c>
      <c r="I885" s="35">
        <f>VENTAS[[#This Row],[Cantidad]]*VENTAS[[#This Row],[Precio Venta]]</f>
        <v>14</v>
      </c>
      <c r="J885" s="35">
        <f>IF(VENTAS[[#This Row],[Nombre del Gestor]]&gt;1,VENTAS[[#This Row],[Total]]*10%,0)</f>
        <v>1.4</v>
      </c>
      <c r="K885" s="35">
        <f>IFERROR(VLOOKUP(VENTAS[[#This Row],[Código del producto Vendido]],STOCK[],16,FALSE)*VENTAS[[#This Row],[Cantidad]]+VLOOKUP(VENTAS[[#This Row],[Código del producto Vendido]],STOCK[],19,FALSE)*VENTAS[[#This Row],[Cantidad]],VENTAS[[#This Row],[Total]])</f>
        <v>9.2</v>
      </c>
      <c r="L885" s="35">
        <f>VENTAS[[#This Row],[Total]]-VENTAS[[#This Row],[Comisión 10%]]-VENTAS[[#This Row],[Costo SIN Comision]]</f>
        <v>3.4</v>
      </c>
      <c r="M885" s="35"/>
    </row>
    <row r="886" ht="20" customHeight="1" spans="1:13">
      <c r="A886" s="29">
        <v>45418</v>
      </c>
      <c r="B886" s="30"/>
      <c r="C886" s="30"/>
      <c r="D886" s="30" t="s">
        <v>3478</v>
      </c>
      <c r="E886" s="30" t="s">
        <v>3491</v>
      </c>
      <c r="F886" s="34" t="str">
        <f>IFERROR(VLOOKUP(VENTAS[[#This Row],[Código del producto Vendido]],STOCK[],5,FALSE),"-")</f>
        <v>Botas negras de zíper</v>
      </c>
      <c r="G886" s="34">
        <v>1</v>
      </c>
      <c r="H886" s="35">
        <v>45</v>
      </c>
      <c r="I886" s="35">
        <f>VENTAS[[#This Row],[Cantidad]]*VENTAS[[#This Row],[Precio Venta]]</f>
        <v>45</v>
      </c>
      <c r="J886" s="35">
        <f>IF(VENTAS[[#This Row],[Nombre del Gestor]]&gt;1,VENTAS[[#This Row],[Total]]*10%,0)</f>
        <v>4.5</v>
      </c>
      <c r="K886" s="35">
        <f>IFERROR(VLOOKUP(VENTAS[[#This Row],[Código del producto Vendido]],STOCK[],16,FALSE)*VENTAS[[#This Row],[Cantidad]]+VLOOKUP(VENTAS[[#This Row],[Código del producto Vendido]],STOCK[],19,FALSE)*VENTAS[[#This Row],[Cantidad]],VENTAS[[#This Row],[Total]])</f>
        <v>22.42</v>
      </c>
      <c r="L886" s="35">
        <f>VENTAS[[#This Row],[Total]]-VENTAS[[#This Row],[Comisión 10%]]-VENTAS[[#This Row],[Costo SIN Comision]]</f>
        <v>18.08</v>
      </c>
      <c r="M886" s="35"/>
    </row>
    <row r="887" ht="20" customHeight="1" spans="1:13">
      <c r="A887" s="29">
        <v>45418</v>
      </c>
      <c r="B887" s="30"/>
      <c r="C887" s="30"/>
      <c r="D887" s="30" t="s">
        <v>3478</v>
      </c>
      <c r="E887" s="30" t="s">
        <v>3492</v>
      </c>
      <c r="F887" s="34" t="str">
        <f>IFERROR(VLOOKUP(VENTAS[[#This Row],[Código del producto Vendido]],STOCK[],5,FALSE),"-")</f>
        <v>Pantalón acampanado Blanco</v>
      </c>
      <c r="G887" s="34">
        <v>1</v>
      </c>
      <c r="H887" s="35">
        <v>30</v>
      </c>
      <c r="I887" s="35">
        <f>VENTAS[[#This Row],[Cantidad]]*VENTAS[[#This Row],[Precio Venta]]</f>
        <v>30</v>
      </c>
      <c r="J887" s="35">
        <f>IF(VENTAS[[#This Row],[Nombre del Gestor]]&gt;1,VENTAS[[#This Row],[Total]]*10%,0)</f>
        <v>3</v>
      </c>
      <c r="K887" s="35">
        <f>IFERROR(VLOOKUP(VENTAS[[#This Row],[Código del producto Vendido]],STOCK[],16,FALSE)*VENTAS[[#This Row],[Cantidad]]+VLOOKUP(VENTAS[[#This Row],[Código del producto Vendido]],STOCK[],19,FALSE)*VENTAS[[#This Row],[Cantidad]],VENTAS[[#This Row],[Total]])</f>
        <v>16.5</v>
      </c>
      <c r="L887" s="35">
        <f>VENTAS[[#This Row],[Total]]-VENTAS[[#This Row],[Comisión 10%]]-VENTAS[[#This Row],[Costo SIN Comision]]</f>
        <v>10.5</v>
      </c>
      <c r="M887" s="35"/>
    </row>
    <row r="888" ht="20" customHeight="1" spans="1:13">
      <c r="A888" s="29">
        <v>45419</v>
      </c>
      <c r="B888" s="30"/>
      <c r="C888" s="30"/>
      <c r="D888" s="30" t="s">
        <v>3478</v>
      </c>
      <c r="E888" s="30" t="s">
        <v>3493</v>
      </c>
      <c r="F888" s="34" t="str">
        <f>IFERROR(VLOOKUP(VENTAS[[#This Row],[Código del producto Vendido]],STOCK[],5,FALSE),"-")</f>
        <v>Bikini niñita Arcoíris</v>
      </c>
      <c r="G888" s="34">
        <v>1</v>
      </c>
      <c r="H888" s="35">
        <v>18</v>
      </c>
      <c r="I888" s="35">
        <f>VENTAS[[#This Row],[Cantidad]]*VENTAS[[#This Row],[Precio Venta]]</f>
        <v>18</v>
      </c>
      <c r="J888" s="35">
        <f>IF(VENTAS[[#This Row],[Nombre del Gestor]]&gt;1,VENTAS[[#This Row],[Total]]*10%,0)</f>
        <v>1.8</v>
      </c>
      <c r="K888" s="35">
        <f>IFERROR(VLOOKUP(VENTAS[[#This Row],[Código del producto Vendido]],STOCK[],16,FALSE)*VENTAS[[#This Row],[Cantidad]]+VLOOKUP(VENTAS[[#This Row],[Código del producto Vendido]],STOCK[],19,FALSE)*VENTAS[[#This Row],[Cantidad]],VENTAS[[#This Row],[Total]])</f>
        <v>11.5466666666667</v>
      </c>
      <c r="L888" s="35">
        <f>VENTAS[[#This Row],[Total]]-VENTAS[[#This Row],[Comisión 10%]]-VENTAS[[#This Row],[Costo SIN Comision]]</f>
        <v>4.65333333333333</v>
      </c>
      <c r="M888" s="35"/>
    </row>
    <row r="889" ht="20" customHeight="1" spans="1:13">
      <c r="A889" s="29">
        <v>45419</v>
      </c>
      <c r="B889" s="30"/>
      <c r="C889" s="30"/>
      <c r="D889" s="30" t="s">
        <v>3478</v>
      </c>
      <c r="E889" s="30" t="s">
        <v>3494</v>
      </c>
      <c r="F889" s="34" t="str">
        <f>IFERROR(VLOOKUP(VENTAS[[#This Row],[Código del producto Vendido]],STOCK[],5,FALSE),"-")</f>
        <v>Traje de baño niñitas Pastel con diadema</v>
      </c>
      <c r="G889" s="34">
        <v>1</v>
      </c>
      <c r="H889" s="35">
        <v>18</v>
      </c>
      <c r="I889" s="35">
        <f>VENTAS[[#This Row],[Cantidad]]*VENTAS[[#This Row],[Precio Venta]]</f>
        <v>18</v>
      </c>
      <c r="J889" s="35">
        <f>IF(VENTAS[[#This Row],[Nombre del Gestor]]&gt;1,VENTAS[[#This Row],[Total]]*10%,0)</f>
        <v>1.8</v>
      </c>
      <c r="K889" s="35">
        <f>IFERROR(VLOOKUP(VENTAS[[#This Row],[Código del producto Vendido]],STOCK[],16,FALSE)*VENTAS[[#This Row],[Cantidad]]+VLOOKUP(VENTAS[[#This Row],[Código del producto Vendido]],STOCK[],19,FALSE)*VENTAS[[#This Row],[Cantidad]],VENTAS[[#This Row],[Total]])</f>
        <v>11.8866666666667</v>
      </c>
      <c r="L889" s="35">
        <f>VENTAS[[#This Row],[Total]]-VENTAS[[#This Row],[Comisión 10%]]-VENTAS[[#This Row],[Costo SIN Comision]]</f>
        <v>4.31333333333333</v>
      </c>
      <c r="M889" s="35"/>
    </row>
    <row r="890" ht="20" customHeight="1" spans="1:13">
      <c r="A890" s="29">
        <v>45417</v>
      </c>
      <c r="B890" s="30"/>
      <c r="C890" s="30"/>
      <c r="D890" s="30" t="s">
        <v>3478</v>
      </c>
      <c r="E890" s="30" t="s">
        <v>3495</v>
      </c>
      <c r="F890" s="34" t="str">
        <f>IFERROR(VLOOKUP(VENTAS[[#This Row],[Código del producto Vendido]],STOCK[],5,FALSE),"-")</f>
        <v>Bikini niñitas unicornio con Diadema</v>
      </c>
      <c r="G890" s="34">
        <v>1</v>
      </c>
      <c r="H890" s="35">
        <v>18</v>
      </c>
      <c r="I890" s="35">
        <f>VENTAS[[#This Row],[Cantidad]]*VENTAS[[#This Row],[Precio Venta]]</f>
        <v>18</v>
      </c>
      <c r="J890" s="35">
        <f>IF(VENTAS[[#This Row],[Nombre del Gestor]]&gt;1,VENTAS[[#This Row],[Total]]*10%,0)</f>
        <v>1.8</v>
      </c>
      <c r="K890" s="35">
        <f>IFERROR(VLOOKUP(VENTAS[[#This Row],[Código del producto Vendido]],STOCK[],16,FALSE)*VENTAS[[#This Row],[Cantidad]]+VLOOKUP(VENTAS[[#This Row],[Código del producto Vendido]],STOCK[],19,FALSE)*VENTAS[[#This Row],[Cantidad]],VENTAS[[#This Row],[Total]])</f>
        <v>9.76611111111111</v>
      </c>
      <c r="L890" s="35">
        <f>VENTAS[[#This Row],[Total]]-VENTAS[[#This Row],[Comisión 10%]]-VENTAS[[#This Row],[Costo SIN Comision]]</f>
        <v>6.43388888888889</v>
      </c>
      <c r="M890" s="35"/>
    </row>
    <row r="891" ht="20" customHeight="1" spans="1:13">
      <c r="A891" s="29">
        <v>45416</v>
      </c>
      <c r="B891" s="30"/>
      <c r="C891" s="30"/>
      <c r="D891" s="30" t="s">
        <v>3478</v>
      </c>
      <c r="E891" s="30" t="s">
        <v>1366</v>
      </c>
      <c r="F891" s="34" t="str">
        <f>IFERROR(VLOOKUP(VENTAS[[#This Row],[Código del producto Vendido]],STOCK[],5,FALSE),"-")</f>
        <v>Falda plisada de cuadros</v>
      </c>
      <c r="G891" s="34">
        <v>1</v>
      </c>
      <c r="H891" s="35">
        <v>20</v>
      </c>
      <c r="I891" s="35">
        <f>VENTAS[[#This Row],[Cantidad]]*VENTAS[[#This Row],[Precio Venta]]</f>
        <v>20</v>
      </c>
      <c r="J891" s="35">
        <f>IF(VENTAS[[#This Row],[Nombre del Gestor]]&gt;1,VENTAS[[#This Row],[Total]]*10%,0)</f>
        <v>2</v>
      </c>
      <c r="K891" s="35">
        <f>IFERROR(VLOOKUP(VENTAS[[#This Row],[Código del producto Vendido]],STOCK[],16,FALSE)*VENTAS[[#This Row],[Cantidad]]+VLOOKUP(VENTAS[[#This Row],[Código del producto Vendido]],STOCK[],19,FALSE)*VENTAS[[#This Row],[Cantidad]],VENTAS[[#This Row],[Total]])</f>
        <v>12.74</v>
      </c>
      <c r="L891" s="35">
        <f>VENTAS[[#This Row],[Total]]-VENTAS[[#This Row],[Comisión 10%]]-VENTAS[[#This Row],[Costo SIN Comision]]</f>
        <v>5.26</v>
      </c>
      <c r="M891" s="35"/>
    </row>
    <row r="892" ht="20" customHeight="1" spans="1:13">
      <c r="A892" s="29">
        <v>45416</v>
      </c>
      <c r="B892" s="30"/>
      <c r="C892" s="30"/>
      <c r="D892" s="30" t="s">
        <v>3478</v>
      </c>
      <c r="E892" s="30" t="s">
        <v>245</v>
      </c>
      <c r="F892" s="34" t="str">
        <f>IFERROR(VLOOKUP(VENTAS[[#This Row],[Código del producto Vendido]],STOCK[],5,FALSE),"-")</f>
        <v>Top de mangas anchas y lentejuelas amarillo</v>
      </c>
      <c r="G892" s="34">
        <v>0</v>
      </c>
      <c r="H892" s="35">
        <v>13</v>
      </c>
      <c r="I892" s="35">
        <f>VENTAS[[#This Row],[Cantidad]]*VENTAS[[#This Row],[Precio Venta]]</f>
        <v>0</v>
      </c>
      <c r="J892" s="35">
        <f>IF(VENTAS[[#This Row],[Nombre del Gestor]]&gt;1,VENTAS[[#This Row],[Total]]*10%,0)</f>
        <v>0</v>
      </c>
      <c r="K892" s="35">
        <f>IFERROR(VLOOKUP(VENTAS[[#This Row],[Código del producto Vendido]],STOCK[],16,FALSE)*VENTAS[[#This Row],[Cantidad]]+VLOOKUP(VENTAS[[#This Row],[Código del producto Vendido]],STOCK[],19,FALSE)*VENTAS[[#This Row],[Cantidad]],VENTAS[[#This Row],[Total]])</f>
        <v>0</v>
      </c>
      <c r="L892" s="35">
        <f>VENTAS[[#This Row],[Total]]-VENTAS[[#This Row],[Comisión 10%]]-VENTAS[[#This Row],[Costo SIN Comision]]</f>
        <v>0</v>
      </c>
      <c r="M892" s="35"/>
    </row>
    <row r="893" ht="20" customHeight="1" spans="1:13">
      <c r="A893" s="29">
        <v>45416</v>
      </c>
      <c r="B893" s="30"/>
      <c r="C893" s="30"/>
      <c r="D893" s="30" t="s">
        <v>3478</v>
      </c>
      <c r="E893" s="30" t="s">
        <v>273</v>
      </c>
      <c r="F893" s="34" t="str">
        <f>IFERROR(VLOOKUP(VENTAS[[#This Row],[Código del producto Vendido]],STOCK[],5,FALSE),"-")</f>
        <v>Vestido playera oversize</v>
      </c>
      <c r="G893" s="34">
        <v>1</v>
      </c>
      <c r="H893" s="35">
        <v>20</v>
      </c>
      <c r="I893" s="35">
        <f>VENTAS[[#This Row],[Cantidad]]*VENTAS[[#This Row],[Precio Venta]]</f>
        <v>20</v>
      </c>
      <c r="J893" s="35">
        <f>IF(VENTAS[[#This Row],[Nombre del Gestor]]&gt;1,VENTAS[[#This Row],[Total]]*10%,0)</f>
        <v>2</v>
      </c>
      <c r="K893" s="35">
        <f>IFERROR(VLOOKUP(VENTAS[[#This Row],[Código del producto Vendido]],STOCK[],16,FALSE)*VENTAS[[#This Row],[Cantidad]]+VLOOKUP(VENTAS[[#This Row],[Código del producto Vendido]],STOCK[],19,FALSE)*VENTAS[[#This Row],[Cantidad]],VENTAS[[#This Row],[Total]])</f>
        <v>13.7888888888889</v>
      </c>
      <c r="L893" s="35">
        <f>VENTAS[[#This Row],[Total]]-VENTAS[[#This Row],[Comisión 10%]]-VENTAS[[#This Row],[Costo SIN Comision]]</f>
        <v>4.2111111111111</v>
      </c>
      <c r="M893" s="35"/>
    </row>
    <row r="894" ht="20" customHeight="1" spans="1:13">
      <c r="A894" s="29">
        <v>45419</v>
      </c>
      <c r="B894" s="30"/>
      <c r="C894" s="30"/>
      <c r="D894" s="30"/>
      <c r="E894" s="30" t="s">
        <v>3496</v>
      </c>
      <c r="F894" s="34" t="str">
        <f>IFERROR(VLOOKUP(VENTAS[[#This Row],[Código del producto Vendido]],STOCK[],5,FALSE),"-")</f>
        <v>Sandalias negras acolchadas</v>
      </c>
      <c r="G894" s="34">
        <v>1</v>
      </c>
      <c r="H894" s="35">
        <v>27</v>
      </c>
      <c r="I894" s="35">
        <f>VENTAS[[#This Row],[Cantidad]]*VENTAS[[#This Row],[Precio Venta]]</f>
        <v>27</v>
      </c>
      <c r="J894" s="35">
        <f>IF(VENTAS[[#This Row],[Nombre del Gestor]]&gt;1,VENTAS[[#This Row],[Total]]*10%,0)</f>
        <v>0</v>
      </c>
      <c r="K894" s="35">
        <f>IFERROR(VLOOKUP(VENTAS[[#This Row],[Código del producto Vendido]],STOCK[],16,FALSE)*VENTAS[[#This Row],[Cantidad]]+VLOOKUP(VENTAS[[#This Row],[Código del producto Vendido]],STOCK[],19,FALSE)*VENTAS[[#This Row],[Cantidad]],VENTAS[[#This Row],[Total]])</f>
        <v>12.49</v>
      </c>
      <c r="L894" s="35">
        <f>VENTAS[[#This Row],[Total]]-VENTAS[[#This Row],[Comisión 10%]]-VENTAS[[#This Row],[Costo SIN Comision]]</f>
        <v>14.51</v>
      </c>
      <c r="M894" s="35"/>
    </row>
    <row r="895" ht="20" customHeight="1" spans="1:13">
      <c r="A895" s="29">
        <v>45418</v>
      </c>
      <c r="B895" s="30"/>
      <c r="C895" s="30"/>
      <c r="D895" s="30" t="s">
        <v>3478</v>
      </c>
      <c r="E895" s="30" t="s">
        <v>1479</v>
      </c>
      <c r="F895" s="34" t="str">
        <f>IFERROR(VLOOKUP(VENTAS[[#This Row],[Código del producto Vendido]],STOCK[],5,FALSE),"-")</f>
        <v>Botas negras de zíper</v>
      </c>
      <c r="G895" s="34">
        <v>1</v>
      </c>
      <c r="H895" s="35">
        <v>45</v>
      </c>
      <c r="I895" s="35">
        <f>VENTAS[[#This Row],[Cantidad]]*VENTAS[[#This Row],[Precio Venta]]</f>
        <v>45</v>
      </c>
      <c r="J895" s="35">
        <f>IF(VENTAS[[#This Row],[Nombre del Gestor]]&gt;1,VENTAS[[#This Row],[Total]]*10%,0)</f>
        <v>4.5</v>
      </c>
      <c r="K895" s="35">
        <f>IFERROR(VLOOKUP(VENTAS[[#This Row],[Código del producto Vendido]],STOCK[],16,FALSE)*VENTAS[[#This Row],[Cantidad]]+VLOOKUP(VENTAS[[#This Row],[Código del producto Vendido]],STOCK[],19,FALSE)*VENTAS[[#This Row],[Cantidad]],VENTAS[[#This Row],[Total]])</f>
        <v>30</v>
      </c>
      <c r="L895" s="35">
        <f>VENTAS[[#This Row],[Total]]-VENTAS[[#This Row],[Comisión 10%]]-VENTAS[[#This Row],[Costo SIN Comision]]</f>
        <v>10.5</v>
      </c>
      <c r="M895" s="35"/>
    </row>
    <row r="896" ht="20" customHeight="1" spans="1:13">
      <c r="A896" s="29">
        <v>45418</v>
      </c>
      <c r="B896" s="30"/>
      <c r="C896" s="30"/>
      <c r="D896" s="30" t="s">
        <v>3478</v>
      </c>
      <c r="E896" s="30" t="s">
        <v>29</v>
      </c>
      <c r="F896" s="34" t="str">
        <f>IFERROR(VLOOKUP(VENTAS[[#This Row],[Código del producto Vendido]],STOCK[],5,FALSE),"-")</f>
        <v>Pareo falda </v>
      </c>
      <c r="G896" s="34">
        <v>1</v>
      </c>
      <c r="H896" s="35">
        <v>8</v>
      </c>
      <c r="I896" s="35">
        <f>VENTAS[[#This Row],[Cantidad]]*VENTAS[[#This Row],[Precio Venta]]</f>
        <v>8</v>
      </c>
      <c r="J896" s="35">
        <f>IF(VENTAS[[#This Row],[Nombre del Gestor]]&gt;1,VENTAS[[#This Row],[Total]]*10%,0)</f>
        <v>0.8</v>
      </c>
      <c r="K896" s="35">
        <f>IFERROR(VLOOKUP(VENTAS[[#This Row],[Código del producto Vendido]],STOCK[],16,FALSE)*VENTAS[[#This Row],[Cantidad]]+VLOOKUP(VENTAS[[#This Row],[Código del producto Vendido]],STOCK[],19,FALSE)*VENTAS[[#This Row],[Cantidad]],VENTAS[[#This Row],[Total]])</f>
        <v>4.33722222222222</v>
      </c>
      <c r="L896" s="35">
        <f>VENTAS[[#This Row],[Total]]-VENTAS[[#This Row],[Comisión 10%]]-VENTAS[[#This Row],[Costo SIN Comision]]</f>
        <v>2.86277777777778</v>
      </c>
      <c r="M896" s="35"/>
    </row>
    <row r="897" ht="20" customHeight="1" spans="1:13">
      <c r="A897" s="29">
        <v>45435</v>
      </c>
      <c r="B897" s="30"/>
      <c r="C897" s="30"/>
      <c r="D897" s="30" t="s">
        <v>3465</v>
      </c>
      <c r="E897" s="30" t="s">
        <v>79</v>
      </c>
      <c r="F897" s="34" t="str">
        <f>IFERROR(VLOOKUP(VENTAS[[#This Row],[Código del producto Vendido]],STOCK[],5,FALSE),"-")</f>
        <v>Pareo pantalón de malla</v>
      </c>
      <c r="G897" s="34">
        <v>1</v>
      </c>
      <c r="H897" s="35">
        <v>15</v>
      </c>
      <c r="I897" s="35">
        <f>VENTAS[[#This Row],[Cantidad]]*VENTAS[[#This Row],[Precio Venta]]</f>
        <v>15</v>
      </c>
      <c r="J897" s="35">
        <f>IF(VENTAS[[#This Row],[Nombre del Gestor]]&gt;1,VENTAS[[#This Row],[Total]]*10%,0)</f>
        <v>1.5</v>
      </c>
      <c r="K897" s="35">
        <f>IFERROR(VLOOKUP(VENTAS[[#This Row],[Código del producto Vendido]],STOCK[],16,FALSE)*VENTAS[[#This Row],[Cantidad]]+VLOOKUP(VENTAS[[#This Row],[Código del producto Vendido]],STOCK[],19,FALSE)*VENTAS[[#This Row],[Cantidad]],VENTAS[[#This Row],[Total]])</f>
        <v>9.95555555555556</v>
      </c>
      <c r="L897" s="35">
        <f>VENTAS[[#This Row],[Total]]-VENTAS[[#This Row],[Comisión 10%]]-VENTAS[[#This Row],[Costo SIN Comision]]</f>
        <v>3.54444444444444</v>
      </c>
      <c r="M897" s="35"/>
    </row>
    <row r="898" ht="20" customHeight="1" spans="1:13">
      <c r="A898" s="29">
        <v>45418</v>
      </c>
      <c r="B898" s="30"/>
      <c r="C898" s="30"/>
      <c r="D898" s="30" t="s">
        <v>3478</v>
      </c>
      <c r="E898" s="30" t="s">
        <v>84</v>
      </c>
      <c r="F898" s="34" t="str">
        <f>IFERROR(VLOOKUP(VENTAS[[#This Row],[Código del producto Vendido]],STOCK[],5,FALSE),"-")</f>
        <v>Bikini elegante con herrajes color humo</v>
      </c>
      <c r="G898" s="34">
        <v>1</v>
      </c>
      <c r="H898" s="35">
        <v>18</v>
      </c>
      <c r="I898" s="35">
        <f>VENTAS[[#This Row],[Cantidad]]*VENTAS[[#This Row],[Precio Venta]]</f>
        <v>18</v>
      </c>
      <c r="J898" s="35">
        <f>IF(VENTAS[[#This Row],[Nombre del Gestor]]&gt;1,VENTAS[[#This Row],[Total]]*10%,0)</f>
        <v>1.8</v>
      </c>
      <c r="K898" s="35">
        <f>IFERROR(VLOOKUP(VENTAS[[#This Row],[Código del producto Vendido]],STOCK[],16,FALSE)*VENTAS[[#This Row],[Cantidad]]+VLOOKUP(VENTAS[[#This Row],[Código del producto Vendido]],STOCK[],19,FALSE)*VENTAS[[#This Row],[Cantidad]],VENTAS[[#This Row],[Total]])</f>
        <v>12.6972222222222</v>
      </c>
      <c r="L898" s="35">
        <f>VENTAS[[#This Row],[Total]]-VENTAS[[#This Row],[Comisión 10%]]-VENTAS[[#This Row],[Costo SIN Comision]]</f>
        <v>3.50277777777778</v>
      </c>
      <c r="M898" s="35"/>
    </row>
    <row r="899" ht="20" customHeight="1" spans="1:13">
      <c r="A899" s="29">
        <v>45416</v>
      </c>
      <c r="B899" s="30"/>
      <c r="C899" s="30"/>
      <c r="D899" s="30" t="s">
        <v>3478</v>
      </c>
      <c r="E899" s="30" t="s">
        <v>509</v>
      </c>
      <c r="F899" s="34" t="str">
        <f>IFERROR(VLOOKUP(VENTAS[[#This Row],[Código del producto Vendido]],STOCK[],5,FALSE),"-")</f>
        <v>Set 3 piezas bikini</v>
      </c>
      <c r="G899" s="34">
        <v>1</v>
      </c>
      <c r="H899" s="35">
        <v>25</v>
      </c>
      <c r="I899" s="35">
        <f>VENTAS[[#This Row],[Cantidad]]*VENTAS[[#This Row],[Precio Venta]]</f>
        <v>25</v>
      </c>
      <c r="J899" s="35">
        <f>IF(VENTAS[[#This Row],[Nombre del Gestor]]&gt;1,VENTAS[[#This Row],[Total]]*10%,0)</f>
        <v>2.5</v>
      </c>
      <c r="K899" s="35">
        <f>IFERROR(VLOOKUP(VENTAS[[#This Row],[Código del producto Vendido]],STOCK[],16,FALSE)*VENTAS[[#This Row],[Cantidad]]+VLOOKUP(VENTAS[[#This Row],[Código del producto Vendido]],STOCK[],19,FALSE)*VENTAS[[#This Row],[Cantidad]],VENTAS[[#This Row],[Total]])</f>
        <v>16.0444444444444</v>
      </c>
      <c r="L899" s="35">
        <f>VENTAS[[#This Row],[Total]]-VENTAS[[#This Row],[Comisión 10%]]-VENTAS[[#This Row],[Costo SIN Comision]]</f>
        <v>6.4555555555556</v>
      </c>
      <c r="M899" s="35"/>
    </row>
    <row r="900" ht="20" customHeight="1" spans="1:13">
      <c r="A900" s="29">
        <v>45416</v>
      </c>
      <c r="B900" s="30"/>
      <c r="C900" s="30"/>
      <c r="D900" s="30" t="s">
        <v>3478</v>
      </c>
      <c r="E900" s="30" t="s">
        <v>750</v>
      </c>
      <c r="F900" s="34" t="str">
        <f>IFERROR(VLOOKUP(VENTAS[[#This Row],[Código del producto Vendido]],STOCK[],5,FALSE),"-")</f>
        <v>Sandalias trenzadas</v>
      </c>
      <c r="G900" s="34">
        <v>1</v>
      </c>
      <c r="H900" s="35">
        <v>35</v>
      </c>
      <c r="I900" s="35">
        <f>VENTAS[[#This Row],[Cantidad]]*VENTAS[[#This Row],[Precio Venta]]</f>
        <v>35</v>
      </c>
      <c r="J900" s="35">
        <f>IF(VENTAS[[#This Row],[Nombre del Gestor]]&gt;1,VENTAS[[#This Row],[Total]]*10%,0)</f>
        <v>3.5</v>
      </c>
      <c r="K900" s="35">
        <f>IFERROR(VLOOKUP(VENTAS[[#This Row],[Código del producto Vendido]],STOCK[],16,FALSE)*VENTAS[[#This Row],[Cantidad]]+VLOOKUP(VENTAS[[#This Row],[Código del producto Vendido]],STOCK[],19,FALSE)*VENTAS[[#This Row],[Cantidad]],VENTAS[[#This Row],[Total]])</f>
        <v>27</v>
      </c>
      <c r="L900" s="35">
        <f>VENTAS[[#This Row],[Total]]-VENTAS[[#This Row],[Comisión 10%]]-VENTAS[[#This Row],[Costo SIN Comision]]</f>
        <v>4.5</v>
      </c>
      <c r="M900" s="35"/>
    </row>
    <row r="901" ht="20" customHeight="1" spans="1:13">
      <c r="A901" s="29">
        <v>45416</v>
      </c>
      <c r="B901" s="30"/>
      <c r="C901" s="30" t="s">
        <v>3497</v>
      </c>
      <c r="D901" s="30"/>
      <c r="E901" s="30" t="s">
        <v>767</v>
      </c>
      <c r="F901" s="34" t="str">
        <f>IFERROR(VLOOKUP(VENTAS[[#This Row],[Código del producto Vendido]],STOCK[],5,FALSE),"-")</f>
        <v>Alpargatas a cuadros</v>
      </c>
      <c r="G901" s="34">
        <v>1</v>
      </c>
      <c r="H901" s="35">
        <v>0</v>
      </c>
      <c r="I901" s="35">
        <f>VENTAS[[#This Row],[Cantidad]]*VENTAS[[#This Row],[Precio Venta]]</f>
        <v>0</v>
      </c>
      <c r="J901" s="35">
        <f>IF(VENTAS[[#This Row],[Nombre del Gestor]]&gt;1,VENTAS[[#This Row],[Total]]*10%,0)</f>
        <v>0</v>
      </c>
      <c r="K901" s="35">
        <f>IFERROR(VLOOKUP(VENTAS[[#This Row],[Código del producto Vendido]],STOCK[],16,FALSE)*VENTAS[[#This Row],[Cantidad]]+VLOOKUP(VENTAS[[#This Row],[Código del producto Vendido]],STOCK[],19,FALSE)*VENTAS[[#This Row],[Cantidad]],VENTAS[[#This Row],[Total]])</f>
        <v>11.8888888888889</v>
      </c>
      <c r="L901" s="35">
        <f>VENTAS[[#This Row],[Total]]-VENTAS[[#This Row],[Comisión 10%]]-VENTAS[[#This Row],[Costo SIN Comision]]</f>
        <v>-11.8888888888889</v>
      </c>
      <c r="M901" s="35"/>
    </row>
    <row r="902" ht="20" customHeight="1" spans="1:13">
      <c r="A902" s="29">
        <v>45416</v>
      </c>
      <c r="B902" s="30"/>
      <c r="C902" s="30"/>
      <c r="D902" s="30" t="s">
        <v>3478</v>
      </c>
      <c r="E902" s="30" t="s">
        <v>962</v>
      </c>
      <c r="F902" s="34" t="str">
        <f>IFERROR(VLOOKUP(VENTAS[[#This Row],[Código del producto Vendido]],STOCK[],5,FALSE),"-")</f>
        <v>Pantalón business básico</v>
      </c>
      <c r="G902" s="34">
        <v>1</v>
      </c>
      <c r="H902" s="35">
        <v>30</v>
      </c>
      <c r="I902" s="35">
        <f>VENTAS[[#This Row],[Cantidad]]*VENTAS[[#This Row],[Precio Venta]]</f>
        <v>30</v>
      </c>
      <c r="J902" s="35">
        <f>IF(VENTAS[[#This Row],[Nombre del Gestor]]&gt;1,VENTAS[[#This Row],[Total]]*10%,0)</f>
        <v>3</v>
      </c>
      <c r="K902" s="35">
        <f>IFERROR(VLOOKUP(VENTAS[[#This Row],[Código del producto Vendido]],STOCK[],16,FALSE)*VENTAS[[#This Row],[Cantidad]]+VLOOKUP(VENTAS[[#This Row],[Código del producto Vendido]],STOCK[],19,FALSE)*VENTAS[[#This Row],[Cantidad]],VENTAS[[#This Row],[Total]])</f>
        <v>21.3722727272727</v>
      </c>
      <c r="L902" s="35">
        <f>VENTAS[[#This Row],[Total]]-VENTAS[[#This Row],[Comisión 10%]]-VENTAS[[#This Row],[Costo SIN Comision]]</f>
        <v>5.6277272727273</v>
      </c>
      <c r="M902" s="35"/>
    </row>
    <row r="903" ht="20" customHeight="1" spans="1:13">
      <c r="A903" s="29">
        <v>45435</v>
      </c>
      <c r="B903" s="30"/>
      <c r="C903" s="30"/>
      <c r="D903" s="30"/>
      <c r="E903" s="30" t="s">
        <v>966</v>
      </c>
      <c r="F903" s="34" t="str">
        <f>IFERROR(VLOOKUP(VENTAS[[#This Row],[Código del producto Vendido]],STOCK[],5,FALSE),"-")</f>
        <v> Top Básico Business</v>
      </c>
      <c r="G903" s="34">
        <v>1</v>
      </c>
      <c r="H903" s="35">
        <v>10</v>
      </c>
      <c r="I903" s="35">
        <f>VENTAS[[#This Row],[Cantidad]]*VENTAS[[#This Row],[Precio Venta]]</f>
        <v>10</v>
      </c>
      <c r="J903" s="35">
        <f>IF(VENTAS[[#This Row],[Nombre del Gestor]]&gt;1,VENTAS[[#This Row],[Total]]*10%,0)</f>
        <v>0</v>
      </c>
      <c r="K903" s="35">
        <f>IFERROR(VLOOKUP(VENTAS[[#This Row],[Código del producto Vendido]],STOCK[],16,FALSE)*VENTAS[[#This Row],[Cantidad]]+VLOOKUP(VENTAS[[#This Row],[Código del producto Vendido]],STOCK[],19,FALSE)*VENTAS[[#This Row],[Cantidad]],VENTAS[[#This Row],[Total]])</f>
        <v>6.78409090909091</v>
      </c>
      <c r="L903" s="35">
        <f>VENTAS[[#This Row],[Total]]-VENTAS[[#This Row],[Comisión 10%]]-VENTAS[[#This Row],[Costo SIN Comision]]</f>
        <v>3.21590909090909</v>
      </c>
      <c r="M903" s="35"/>
    </row>
    <row r="904" ht="20" customHeight="1" spans="1:13">
      <c r="A904" s="29">
        <v>45416</v>
      </c>
      <c r="B904" s="30"/>
      <c r="C904" s="30"/>
      <c r="D904" s="30"/>
      <c r="E904" s="30" t="s">
        <v>1204</v>
      </c>
      <c r="F904" s="34" t="str">
        <f>IFERROR(VLOOKUP(VENTAS[[#This Row],[Código del producto Vendido]],STOCK[],5,FALSE),"-")</f>
        <v>Pantaloneta de zíper</v>
      </c>
      <c r="G904" s="34">
        <v>1</v>
      </c>
      <c r="H904" s="35">
        <v>20</v>
      </c>
      <c r="I904" s="35">
        <f>VENTAS[[#This Row],[Cantidad]]*VENTAS[[#This Row],[Precio Venta]]</f>
        <v>20</v>
      </c>
      <c r="J904" s="35">
        <f>IF(VENTAS[[#This Row],[Nombre del Gestor]]&gt;1,VENTAS[[#This Row],[Total]]*10%,0)</f>
        <v>0</v>
      </c>
      <c r="K904" s="35">
        <f>IFERROR(VLOOKUP(VENTAS[[#This Row],[Código del producto Vendido]],STOCK[],16,FALSE)*VENTAS[[#This Row],[Cantidad]]+VLOOKUP(VENTAS[[#This Row],[Código del producto Vendido]],STOCK[],19,FALSE)*VENTAS[[#This Row],[Cantidad]],VENTAS[[#This Row],[Total]])</f>
        <v>13.36</v>
      </c>
      <c r="L904" s="35">
        <f>VENTAS[[#This Row],[Total]]-VENTAS[[#This Row],[Comisión 10%]]-VENTAS[[#This Row],[Costo SIN Comision]]</f>
        <v>6.64</v>
      </c>
      <c r="M904" s="35"/>
    </row>
    <row r="905" ht="20" customHeight="1" spans="1:13">
      <c r="A905" s="29">
        <v>45435</v>
      </c>
      <c r="B905" s="30"/>
      <c r="C905" s="30"/>
      <c r="D905" s="30" t="s">
        <v>3478</v>
      </c>
      <c r="E905" s="30" t="s">
        <v>1436</v>
      </c>
      <c r="F905" s="34" t="str">
        <f>IFERROR(VLOOKUP(VENTAS[[#This Row],[Código del producto Vendido]],STOCK[],5,FALSE),"-")</f>
        <v>Sandalias de velcro</v>
      </c>
      <c r="G905" s="34">
        <v>1</v>
      </c>
      <c r="H905" s="35">
        <v>30</v>
      </c>
      <c r="I905" s="35">
        <f>VENTAS[[#This Row],[Cantidad]]*VENTAS[[#This Row],[Precio Venta]]</f>
        <v>30</v>
      </c>
      <c r="J905" s="35">
        <f>IF(VENTAS[[#This Row],[Nombre del Gestor]]&gt;1,VENTAS[[#This Row],[Total]]*10%,0)</f>
        <v>3</v>
      </c>
      <c r="K905" s="35">
        <f>IFERROR(VLOOKUP(VENTAS[[#This Row],[Código del producto Vendido]],STOCK[],16,FALSE)*VENTAS[[#This Row],[Cantidad]]+VLOOKUP(VENTAS[[#This Row],[Código del producto Vendido]],STOCK[],19,FALSE)*VENTAS[[#This Row],[Cantidad]],VENTAS[[#This Row],[Total]])</f>
        <v>17</v>
      </c>
      <c r="L905" s="35">
        <f>VENTAS[[#This Row],[Total]]-VENTAS[[#This Row],[Comisión 10%]]-VENTAS[[#This Row],[Costo SIN Comision]]</f>
        <v>10</v>
      </c>
      <c r="M905" s="35"/>
    </row>
    <row r="906" ht="20" customHeight="1" spans="1:13">
      <c r="A906" s="29">
        <v>45434</v>
      </c>
      <c r="B906" s="30"/>
      <c r="C906" s="30"/>
      <c r="D906" s="30" t="s">
        <v>3478</v>
      </c>
      <c r="E906" s="30" t="s">
        <v>1759</v>
      </c>
      <c r="F906" s="34" t="str">
        <f>IFERROR(VLOOKUP(VENTAS[[#This Row],[Código del producto Vendido]],STOCK[],5,FALSE),"-")</f>
        <v>Zapatillas blanco casual</v>
      </c>
      <c r="G906" s="34">
        <v>2</v>
      </c>
      <c r="H906" s="35">
        <v>30</v>
      </c>
      <c r="I906" s="35">
        <f>VENTAS[[#This Row],[Cantidad]]*VENTAS[[#This Row],[Precio Venta]]</f>
        <v>60</v>
      </c>
      <c r="J906" s="35">
        <f>IF(VENTAS[[#This Row],[Nombre del Gestor]]&gt;1,VENTAS[[#This Row],[Total]]*10%,0)</f>
        <v>6</v>
      </c>
      <c r="K906" s="35">
        <f>IFERROR(VLOOKUP(VENTAS[[#This Row],[Código del producto Vendido]],STOCK[],16,FALSE)*VENTAS[[#This Row],[Cantidad]]+VLOOKUP(VENTAS[[#This Row],[Código del producto Vendido]],STOCK[],19,FALSE)*VENTAS[[#This Row],[Cantidad]],VENTAS[[#This Row],[Total]])</f>
        <v>50.9411764705882</v>
      </c>
      <c r="L906" s="35">
        <f>VENTAS[[#This Row],[Total]]-VENTAS[[#This Row],[Comisión 10%]]-VENTAS[[#This Row],[Costo SIN Comision]]</f>
        <v>3.0588235294118</v>
      </c>
      <c r="M906" s="35"/>
    </row>
    <row r="907" ht="20" customHeight="1" spans="1:13">
      <c r="A907" s="29">
        <v>45422</v>
      </c>
      <c r="B907" s="30"/>
      <c r="C907" s="30"/>
      <c r="D907" s="30" t="s">
        <v>3478</v>
      </c>
      <c r="E907" s="30" t="s">
        <v>1816</v>
      </c>
      <c r="F907" s="34" t="str">
        <f>IFERROR(VLOOKUP(VENTAS[[#This Row],[Código del producto Vendido]],STOCK[],5,FALSE),"-")</f>
        <v>Vestido Midi Elegante</v>
      </c>
      <c r="G907" s="34">
        <v>1</v>
      </c>
      <c r="H907" s="35">
        <v>22</v>
      </c>
      <c r="I907" s="35">
        <f>VENTAS[[#This Row],[Cantidad]]*VENTAS[[#This Row],[Precio Venta]]</f>
        <v>22</v>
      </c>
      <c r="J907" s="35">
        <f>IF(VENTAS[[#This Row],[Nombre del Gestor]]&gt;1,VENTAS[[#This Row],[Total]]*10%,0)</f>
        <v>2.2</v>
      </c>
      <c r="K907" s="35">
        <f>IFERROR(VLOOKUP(VENTAS[[#This Row],[Código del producto Vendido]],STOCK[],16,FALSE)*VENTAS[[#This Row],[Cantidad]]+VLOOKUP(VENTAS[[#This Row],[Código del producto Vendido]],STOCK[],19,FALSE)*VENTAS[[#This Row],[Cantidad]],VENTAS[[#This Row],[Total]])</f>
        <v>10.79</v>
      </c>
      <c r="L907" s="35">
        <f>VENTAS[[#This Row],[Total]]-VENTAS[[#This Row],[Comisión 10%]]-VENTAS[[#This Row],[Costo SIN Comision]]</f>
        <v>9.01</v>
      </c>
      <c r="M907" s="35"/>
    </row>
    <row r="908" ht="20" customHeight="1" spans="1:13">
      <c r="A908" s="30"/>
      <c r="B908" s="30"/>
      <c r="C908" s="30" t="s">
        <v>3387</v>
      </c>
      <c r="D908" s="30"/>
      <c r="E908" s="30" t="s">
        <v>1816</v>
      </c>
      <c r="F908" s="34" t="str">
        <f>IFERROR(VLOOKUP(VENTAS[[#This Row],[Código del producto Vendido]],STOCK[],5,FALSE),"-")</f>
        <v>Vestido Midi Elegante</v>
      </c>
      <c r="G908" s="34">
        <v>1</v>
      </c>
      <c r="H908" s="35">
        <v>22</v>
      </c>
      <c r="I908" s="35">
        <f>VENTAS[[#This Row],[Cantidad]]*VENTAS[[#This Row],[Precio Venta]]</f>
        <v>22</v>
      </c>
      <c r="J908" s="35">
        <f>IF(VENTAS[[#This Row],[Nombre del Gestor]]&gt;1,VENTAS[[#This Row],[Total]]*10%,0)</f>
        <v>0</v>
      </c>
      <c r="K908" s="35">
        <f>IFERROR(VLOOKUP(VENTAS[[#This Row],[Código del producto Vendido]],STOCK[],16,FALSE)*VENTAS[[#This Row],[Cantidad]]+VLOOKUP(VENTAS[[#This Row],[Código del producto Vendido]],STOCK[],19,FALSE)*VENTAS[[#This Row],[Cantidad]],VENTAS[[#This Row],[Total]])</f>
        <v>10.79</v>
      </c>
      <c r="L908" s="35">
        <f>VENTAS[[#This Row],[Total]]-VENTAS[[#This Row],[Comisión 10%]]-VENTAS[[#This Row],[Costo SIN Comision]]</f>
        <v>11.21</v>
      </c>
      <c r="M908" s="35"/>
    </row>
    <row r="909" ht="20" customHeight="1" spans="1:13">
      <c r="A909" s="30"/>
      <c r="B909" s="30"/>
      <c r="C909" s="30" t="s">
        <v>3498</v>
      </c>
      <c r="D909" s="30"/>
      <c r="E909" s="30" t="s">
        <v>1821</v>
      </c>
      <c r="F909" s="34" t="str">
        <f>IFERROR(VLOOKUP(VENTAS[[#This Row],[Código del producto Vendido]],STOCK[],5,FALSE),"-")</f>
        <v>Vestido Midi Elegante</v>
      </c>
      <c r="G909" s="34">
        <v>1</v>
      </c>
      <c r="H909" s="35">
        <v>22</v>
      </c>
      <c r="I909" s="35">
        <f>VENTAS[[#This Row],[Cantidad]]*VENTAS[[#This Row],[Precio Venta]]</f>
        <v>22</v>
      </c>
      <c r="J909" s="35">
        <f>IF(VENTAS[[#This Row],[Nombre del Gestor]]&gt;1,VENTAS[[#This Row],[Total]]*10%,0)</f>
        <v>0</v>
      </c>
      <c r="K909" s="35">
        <f>IFERROR(VLOOKUP(VENTAS[[#This Row],[Código del producto Vendido]],STOCK[],16,FALSE)*VENTAS[[#This Row],[Cantidad]]+VLOOKUP(VENTAS[[#This Row],[Código del producto Vendido]],STOCK[],19,FALSE)*VENTAS[[#This Row],[Cantidad]],VENTAS[[#This Row],[Total]])</f>
        <v>10.79</v>
      </c>
      <c r="L909" s="35">
        <f>VENTAS[[#This Row],[Total]]-VENTAS[[#This Row],[Comisión 10%]]-VENTAS[[#This Row],[Costo SIN Comision]]</f>
        <v>11.21</v>
      </c>
      <c r="M909" s="35"/>
    </row>
    <row r="910" ht="20" customHeight="1" spans="1:13">
      <c r="A910" s="29">
        <v>45421</v>
      </c>
      <c r="B910" s="30"/>
      <c r="C910" s="30"/>
      <c r="D910" s="30" t="s">
        <v>3478</v>
      </c>
      <c r="E910" s="30" t="s">
        <v>1892</v>
      </c>
      <c r="F910" s="34" t="str">
        <f>IFERROR(VLOOKUP(VENTAS[[#This Row],[Código del producto Vendido]],STOCK[],5,FALSE),"-")</f>
        <v>Set de bolso minimalista negro</v>
      </c>
      <c r="G910" s="34">
        <v>1</v>
      </c>
      <c r="H910" s="35">
        <v>25</v>
      </c>
      <c r="I910" s="35">
        <f>VENTAS[[#This Row],[Cantidad]]*VENTAS[[#This Row],[Precio Venta]]</f>
        <v>25</v>
      </c>
      <c r="J910" s="35">
        <f>IF(VENTAS[[#This Row],[Nombre del Gestor]]&gt;1,VENTAS[[#This Row],[Total]]*10%,0)</f>
        <v>2.5</v>
      </c>
      <c r="K910" s="35">
        <f>IFERROR(VLOOKUP(VENTAS[[#This Row],[Código del producto Vendido]],STOCK[],16,FALSE)*VENTAS[[#This Row],[Cantidad]]+VLOOKUP(VENTAS[[#This Row],[Código del producto Vendido]],STOCK[],19,FALSE)*VENTAS[[#This Row],[Cantidad]],VENTAS[[#This Row],[Total]])</f>
        <v>12.75</v>
      </c>
      <c r="L910" s="35">
        <f>VENTAS[[#This Row],[Total]]-VENTAS[[#This Row],[Comisión 10%]]-VENTAS[[#This Row],[Costo SIN Comision]]</f>
        <v>9.75</v>
      </c>
      <c r="M910" s="35"/>
    </row>
    <row r="911" ht="20" customHeight="1" spans="1:13">
      <c r="A911" s="29">
        <v>45428</v>
      </c>
      <c r="B911" s="30"/>
      <c r="C911" s="30"/>
      <c r="D911" s="30" t="s">
        <v>3478</v>
      </c>
      <c r="E911" s="30" t="s">
        <v>1894</v>
      </c>
      <c r="F911" s="34" t="str">
        <f>IFERROR(VLOOKUP(VENTAS[[#This Row],[Código del producto Vendido]],STOCK[],5,FALSE),"-")</f>
        <v>Set de bolso minimalista amarillo</v>
      </c>
      <c r="G911" s="34">
        <v>1</v>
      </c>
      <c r="H911" s="35">
        <v>25</v>
      </c>
      <c r="I911" s="35">
        <f>VENTAS[[#This Row],[Cantidad]]*VENTAS[[#This Row],[Precio Venta]]</f>
        <v>25</v>
      </c>
      <c r="J911" s="35">
        <f>IF(VENTAS[[#This Row],[Nombre del Gestor]]&gt;1,VENTAS[[#This Row],[Total]]*10%,0)</f>
        <v>2.5</v>
      </c>
      <c r="K911" s="35">
        <f>IFERROR(VLOOKUP(VENTAS[[#This Row],[Código del producto Vendido]],STOCK[],16,FALSE)*VENTAS[[#This Row],[Cantidad]]+VLOOKUP(VENTAS[[#This Row],[Código del producto Vendido]],STOCK[],19,FALSE)*VENTAS[[#This Row],[Cantidad]],VENTAS[[#This Row],[Total]])</f>
        <v>12.75</v>
      </c>
      <c r="L911" s="35">
        <f>VENTAS[[#This Row],[Total]]-VENTAS[[#This Row],[Comisión 10%]]-VENTAS[[#This Row],[Costo SIN Comision]]</f>
        <v>9.75</v>
      </c>
      <c r="M911" s="35"/>
    </row>
    <row r="912" ht="20" customHeight="1" spans="1:13">
      <c r="A912" s="29">
        <v>45428</v>
      </c>
      <c r="B912" s="30"/>
      <c r="C912" s="30"/>
      <c r="D912" s="30" t="s">
        <v>3478</v>
      </c>
      <c r="E912" s="30" t="s">
        <v>1301</v>
      </c>
      <c r="F912" s="34" t="str">
        <f>IFERROR(VLOOKUP(VENTAS[[#This Row],[Código del producto Vendido]],STOCK[],5,FALSE),"-")</f>
        <v>Jean ajustado Claro</v>
      </c>
      <c r="G912" s="34">
        <v>1</v>
      </c>
      <c r="H912" s="35">
        <v>30</v>
      </c>
      <c r="I912" s="35">
        <f>VENTAS[[#This Row],[Cantidad]]*VENTAS[[#This Row],[Precio Venta]]</f>
        <v>30</v>
      </c>
      <c r="J912" s="35">
        <f>IF(VENTAS[[#This Row],[Nombre del Gestor]]&gt;1,VENTAS[[#This Row],[Total]]*10%,0)</f>
        <v>3</v>
      </c>
      <c r="K912" s="35">
        <f>IFERROR(VLOOKUP(VENTAS[[#This Row],[Código del producto Vendido]],STOCK[],16,FALSE)*VENTAS[[#This Row],[Cantidad]]+VLOOKUP(VENTAS[[#This Row],[Código del producto Vendido]],STOCK[],19,FALSE)*VENTAS[[#This Row],[Cantidad]],VENTAS[[#This Row],[Total]])</f>
        <v>23.79</v>
      </c>
      <c r="L912" s="35">
        <f>VENTAS[[#This Row],[Total]]-VENTAS[[#This Row],[Comisión 10%]]-VENTAS[[#This Row],[Costo SIN Comision]]</f>
        <v>3.21</v>
      </c>
      <c r="M912" s="35"/>
    </row>
    <row r="913" ht="20" customHeight="1" spans="1:13">
      <c r="A913" s="29">
        <v>45428</v>
      </c>
      <c r="B913" s="30"/>
      <c r="C913" s="30"/>
      <c r="D913" s="30" t="s">
        <v>3478</v>
      </c>
      <c r="E913" s="30" t="s">
        <v>1521</v>
      </c>
      <c r="F913" s="34" t="str">
        <f>IFERROR(VLOOKUP(VENTAS[[#This Row],[Código del producto Vendido]],STOCK[],5,FALSE),"-")</f>
        <v>Sandalias Albaricoque</v>
      </c>
      <c r="G913" s="34">
        <v>1</v>
      </c>
      <c r="H913" s="35">
        <v>35</v>
      </c>
      <c r="I913" s="35">
        <f>VENTAS[[#This Row],[Cantidad]]*VENTAS[[#This Row],[Precio Venta]]</f>
        <v>35</v>
      </c>
      <c r="J913" s="35">
        <f>IF(VENTAS[[#This Row],[Nombre del Gestor]]&gt;1,VENTAS[[#This Row],[Total]]*10%,0)</f>
        <v>3.5</v>
      </c>
      <c r="K913" s="35">
        <f>IFERROR(VLOOKUP(VENTAS[[#This Row],[Código del producto Vendido]],STOCK[],16,FALSE)*VENTAS[[#This Row],[Cantidad]]+VLOOKUP(VENTAS[[#This Row],[Código del producto Vendido]],STOCK[],19,FALSE)*VENTAS[[#This Row],[Cantidad]],VENTAS[[#This Row],[Total]])</f>
        <v>23</v>
      </c>
      <c r="L913" s="35">
        <f>VENTAS[[#This Row],[Total]]-VENTAS[[#This Row],[Comisión 10%]]-VENTAS[[#This Row],[Costo SIN Comision]]</f>
        <v>8.5</v>
      </c>
      <c r="M913" s="35"/>
    </row>
    <row r="914" ht="20" customHeight="1" spans="1:13">
      <c r="A914" s="29">
        <v>45430</v>
      </c>
      <c r="B914" s="30"/>
      <c r="C914" s="30"/>
      <c r="D914" s="30" t="s">
        <v>3478</v>
      </c>
      <c r="E914" s="30" t="s">
        <v>1754</v>
      </c>
      <c r="F914" s="34" t="str">
        <f>IFERROR(VLOOKUP(VENTAS[[#This Row],[Código del producto Vendido]],STOCK[],5,FALSE),"-")</f>
        <v>Zapatillas blanco casual</v>
      </c>
      <c r="G914" s="34">
        <v>1</v>
      </c>
      <c r="H914" s="35">
        <v>30</v>
      </c>
      <c r="I914" s="35">
        <f>VENTAS[[#This Row],[Cantidad]]*VENTAS[[#This Row],[Precio Venta]]</f>
        <v>30</v>
      </c>
      <c r="J914" s="35">
        <f>IF(VENTAS[[#This Row],[Nombre del Gestor]]&gt;1,VENTAS[[#This Row],[Total]]*10%,0)</f>
        <v>3</v>
      </c>
      <c r="K914" s="35">
        <f>IFERROR(VLOOKUP(VENTAS[[#This Row],[Código del producto Vendido]],STOCK[],16,FALSE)*VENTAS[[#This Row],[Cantidad]]+VLOOKUP(VENTAS[[#This Row],[Código del producto Vendido]],STOCK[],19,FALSE)*VENTAS[[#This Row],[Cantidad]],VENTAS[[#This Row],[Total]])</f>
        <v>24.4705882352941</v>
      </c>
      <c r="L914" s="35">
        <f>VENTAS[[#This Row],[Total]]-VENTAS[[#This Row],[Comisión 10%]]-VENTAS[[#This Row],[Costo SIN Comision]]</f>
        <v>2.5294117647059</v>
      </c>
      <c r="M914" s="35"/>
    </row>
    <row r="915" ht="20" customHeight="1" spans="1:13">
      <c r="A915" s="29">
        <v>45430</v>
      </c>
      <c r="B915" s="30"/>
      <c r="C915" s="30" t="s">
        <v>3499</v>
      </c>
      <c r="D915" s="30"/>
      <c r="E915" s="30" t="s">
        <v>1650</v>
      </c>
      <c r="F915" s="34" t="str">
        <f>IFERROR(VLOOKUP(VENTAS[[#This Row],[Código del producto Vendido]],STOCK[],5,FALSE),"-")</f>
        <v>Vestido Frenchy Rojo</v>
      </c>
      <c r="G915" s="34">
        <v>1</v>
      </c>
      <c r="H915" s="35">
        <v>0</v>
      </c>
      <c r="I915" s="35">
        <f>VENTAS[[#This Row],[Cantidad]]*VENTAS[[#This Row],[Precio Venta]]</f>
        <v>0</v>
      </c>
      <c r="J915" s="35">
        <f>IF(VENTAS[[#This Row],[Nombre del Gestor]]&gt;1,VENTAS[[#This Row],[Total]]*10%,0)</f>
        <v>0</v>
      </c>
      <c r="K915" s="35">
        <f>IFERROR(VLOOKUP(VENTAS[[#This Row],[Código del producto Vendido]],STOCK[],16,FALSE)*VENTAS[[#This Row],[Cantidad]]+VLOOKUP(VENTAS[[#This Row],[Código del producto Vendido]],STOCK[],19,FALSE)*VENTAS[[#This Row],[Cantidad]],VENTAS[[#This Row],[Total]])</f>
        <v>11.56</v>
      </c>
      <c r="L915" s="35">
        <f>VENTAS[[#This Row],[Total]]-VENTAS[[#This Row],[Comisión 10%]]-VENTAS[[#This Row],[Costo SIN Comision]]</f>
        <v>-11.56</v>
      </c>
      <c r="M915" s="35"/>
    </row>
    <row r="916" ht="20" customHeight="1" spans="1:13">
      <c r="A916" s="29">
        <v>45430</v>
      </c>
      <c r="B916" s="30"/>
      <c r="C916" s="30"/>
      <c r="D916" s="30" t="s">
        <v>3478</v>
      </c>
      <c r="E916" s="30" t="s">
        <v>1777</v>
      </c>
      <c r="F916" s="34" t="str">
        <f>IFERROR(VLOOKUP(VENTAS[[#This Row],[Código del producto Vendido]],STOCK[],5,FALSE),"-")</f>
        <v>Conjunto de bikini moca</v>
      </c>
      <c r="G916" s="34">
        <v>1</v>
      </c>
      <c r="H916" s="35">
        <v>20</v>
      </c>
      <c r="I916" s="35">
        <f>VENTAS[[#This Row],[Cantidad]]*VENTAS[[#This Row],[Precio Venta]]</f>
        <v>20</v>
      </c>
      <c r="J916" s="35">
        <f>IF(VENTAS[[#This Row],[Nombre del Gestor]]&gt;1,VENTAS[[#This Row],[Total]]*10%,0)</f>
        <v>2</v>
      </c>
      <c r="K916" s="35">
        <f>IFERROR(VLOOKUP(VENTAS[[#This Row],[Código del producto Vendido]],STOCK[],16,FALSE)*VENTAS[[#This Row],[Cantidad]]+VLOOKUP(VENTAS[[#This Row],[Código del producto Vendido]],STOCK[],19,FALSE)*VENTAS[[#This Row],[Cantidad]],VENTAS[[#This Row],[Total]])</f>
        <v>12.3529411764706</v>
      </c>
      <c r="L916" s="35">
        <f>VENTAS[[#This Row],[Total]]-VENTAS[[#This Row],[Comisión 10%]]-VENTAS[[#This Row],[Costo SIN Comision]]</f>
        <v>5.64705882352941</v>
      </c>
      <c r="M916" s="35"/>
    </row>
    <row r="917" ht="20" customHeight="1" spans="1:13">
      <c r="A917" s="29">
        <v>45424</v>
      </c>
      <c r="B917" s="30"/>
      <c r="C917" s="30"/>
      <c r="D917" s="30" t="s">
        <v>3478</v>
      </c>
      <c r="E917" s="30" t="s">
        <v>1624</v>
      </c>
      <c r="F917" s="34" t="str">
        <f>IFERROR(VLOOKUP(VENTAS[[#This Row],[Código del producto Vendido]],STOCK[],5,FALSE),"-")</f>
        <v>Vestido Tarsha</v>
      </c>
      <c r="G917" s="34">
        <v>1</v>
      </c>
      <c r="H917" s="35">
        <v>27</v>
      </c>
      <c r="I917" s="35">
        <f>VENTAS[[#This Row],[Cantidad]]*VENTAS[[#This Row],[Precio Venta]]</f>
        <v>27</v>
      </c>
      <c r="J917" s="35">
        <f>IF(VENTAS[[#This Row],[Nombre del Gestor]]&gt;1,VENTAS[[#This Row],[Total]]*10%,0)</f>
        <v>2.7</v>
      </c>
      <c r="K917" s="35">
        <f>IFERROR(VLOOKUP(VENTAS[[#This Row],[Código del producto Vendido]],STOCK[],16,FALSE)*VENTAS[[#This Row],[Cantidad]]+VLOOKUP(VENTAS[[#This Row],[Código del producto Vendido]],STOCK[],19,FALSE)*VENTAS[[#This Row],[Cantidad]],VENTAS[[#This Row],[Total]])</f>
        <v>13.97</v>
      </c>
      <c r="L917" s="35">
        <f>VENTAS[[#This Row],[Total]]-VENTAS[[#This Row],[Comisión 10%]]-VENTAS[[#This Row],[Costo SIN Comision]]</f>
        <v>10.33</v>
      </c>
      <c r="M917" s="35"/>
    </row>
    <row r="918" ht="20" customHeight="1" spans="1:13">
      <c r="A918" s="29">
        <v>45424</v>
      </c>
      <c r="B918" s="30"/>
      <c r="C918" s="30"/>
      <c r="D918" s="30" t="s">
        <v>3478</v>
      </c>
      <c r="E918" s="30" t="s">
        <v>1757</v>
      </c>
      <c r="F918" s="34" t="str">
        <f>IFERROR(VLOOKUP(VENTAS[[#This Row],[Código del producto Vendido]],STOCK[],5,FALSE),"-")</f>
        <v>Zapatillas blanco casual</v>
      </c>
      <c r="G918" s="34">
        <v>2</v>
      </c>
      <c r="H918" s="35">
        <v>30</v>
      </c>
      <c r="I918" s="35">
        <f>VENTAS[[#This Row],[Cantidad]]*VENTAS[[#This Row],[Precio Venta]]</f>
        <v>60</v>
      </c>
      <c r="J918" s="35">
        <f>IF(VENTAS[[#This Row],[Nombre del Gestor]]&gt;1,VENTAS[[#This Row],[Total]]*10%,0)</f>
        <v>6</v>
      </c>
      <c r="K918" s="35">
        <f>IFERROR(VLOOKUP(VENTAS[[#This Row],[Código del producto Vendido]],STOCK[],16,FALSE)*VENTAS[[#This Row],[Cantidad]]+VLOOKUP(VENTAS[[#This Row],[Código del producto Vendido]],STOCK[],19,FALSE)*VENTAS[[#This Row],[Cantidad]],VENTAS[[#This Row],[Total]])</f>
        <v>50.9411764705882</v>
      </c>
      <c r="L918" s="35">
        <f>VENTAS[[#This Row],[Total]]-VENTAS[[#This Row],[Comisión 10%]]-VENTAS[[#This Row],[Costo SIN Comision]]</f>
        <v>3.0588235294118</v>
      </c>
      <c r="M918" s="35"/>
    </row>
    <row r="919" ht="20" customHeight="1" spans="1:13">
      <c r="A919" s="29">
        <v>45424</v>
      </c>
      <c r="B919" s="30"/>
      <c r="C919" s="30"/>
      <c r="D919" s="30" t="s">
        <v>3478</v>
      </c>
      <c r="E919" s="30" t="s">
        <v>1582</v>
      </c>
      <c r="F919" s="34" t="str">
        <f>IFERROR(VLOOKUP(VENTAS[[#This Row],[Código del producto Vendido]],STOCK[],5,FALSE),"-")</f>
        <v>Sandalias de hebilla</v>
      </c>
      <c r="G919" s="34">
        <v>1</v>
      </c>
      <c r="H919" s="35">
        <v>18</v>
      </c>
      <c r="I919" s="35">
        <f>VENTAS[[#This Row],[Cantidad]]*VENTAS[[#This Row],[Precio Venta]]</f>
        <v>18</v>
      </c>
      <c r="J919" s="35">
        <f>IF(VENTAS[[#This Row],[Nombre del Gestor]]&gt;1,VENTAS[[#This Row],[Total]]*10%,0)</f>
        <v>1.8</v>
      </c>
      <c r="K919" s="35">
        <f>IFERROR(VLOOKUP(VENTAS[[#This Row],[Código del producto Vendido]],STOCK[],16,FALSE)*VENTAS[[#This Row],[Cantidad]]+VLOOKUP(VENTAS[[#This Row],[Código del producto Vendido]],STOCK[],19,FALSE)*VENTAS[[#This Row],[Cantidad]],VENTAS[[#This Row],[Total]])</f>
        <v>11</v>
      </c>
      <c r="L919" s="35">
        <f>VENTAS[[#This Row],[Total]]-VENTAS[[#This Row],[Comisión 10%]]-VENTAS[[#This Row],[Costo SIN Comision]]</f>
        <v>5.2</v>
      </c>
      <c r="M919" s="35"/>
    </row>
    <row r="920" ht="20" customHeight="1" spans="1:13">
      <c r="A920" s="29">
        <v>45431</v>
      </c>
      <c r="B920" s="30"/>
      <c r="C920" s="30"/>
      <c r="D920" s="30" t="s">
        <v>3478</v>
      </c>
      <c r="E920" s="30" t="s">
        <v>1593</v>
      </c>
      <c r="F920" s="34" t="str">
        <f>IFERROR(VLOOKUP(VENTAS[[#This Row],[Código del producto Vendido]],STOCK[],5,FALSE),"-")</f>
        <v>Sandalias flip de plataforma Negro</v>
      </c>
      <c r="G920" s="34">
        <v>1</v>
      </c>
      <c r="H920" s="35">
        <v>15</v>
      </c>
      <c r="I920" s="35">
        <f>VENTAS[[#This Row],[Cantidad]]*VENTAS[[#This Row],[Precio Venta]]</f>
        <v>15</v>
      </c>
      <c r="J920" s="35">
        <f>IF(VENTAS[[#This Row],[Nombre del Gestor]]&gt;1,VENTAS[[#This Row],[Total]]*10%,0)</f>
        <v>1.5</v>
      </c>
      <c r="K920" s="35">
        <f>IFERROR(VLOOKUP(VENTAS[[#This Row],[Código del producto Vendido]],STOCK[],16,FALSE)*VENTAS[[#This Row],[Cantidad]]+VLOOKUP(VENTAS[[#This Row],[Código del producto Vendido]],STOCK[],19,FALSE)*VENTAS[[#This Row],[Cantidad]],VENTAS[[#This Row],[Total]])</f>
        <v>9.49</v>
      </c>
      <c r="L920" s="35">
        <f>VENTAS[[#This Row],[Total]]-VENTAS[[#This Row],[Comisión 10%]]-VENTAS[[#This Row],[Costo SIN Comision]]</f>
        <v>4.01</v>
      </c>
      <c r="M920" s="35"/>
    </row>
    <row r="921" ht="20" customHeight="1" spans="1:13">
      <c r="A921" s="29">
        <v>45431</v>
      </c>
      <c r="B921" s="30"/>
      <c r="C921" s="30"/>
      <c r="D921" s="30" t="s">
        <v>3478</v>
      </c>
      <c r="E921" s="30" t="s">
        <v>1603</v>
      </c>
      <c r="F921" s="34" t="str">
        <f>IFERROR(VLOOKUP(VENTAS[[#This Row],[Código del producto Vendido]],STOCK[],5,FALSE),"-")</f>
        <v>Sandalias minimalistas de tacón</v>
      </c>
      <c r="G921" s="34">
        <v>1</v>
      </c>
      <c r="H921" s="35">
        <v>35</v>
      </c>
      <c r="I921" s="35">
        <f>VENTAS[[#This Row],[Cantidad]]*VENTAS[[#This Row],[Precio Venta]]</f>
        <v>35</v>
      </c>
      <c r="J921" s="35">
        <f>IF(VENTAS[[#This Row],[Nombre del Gestor]]&gt;1,VENTAS[[#This Row],[Total]]*10%,0)</f>
        <v>3.5</v>
      </c>
      <c r="K921" s="35">
        <f>IFERROR(VLOOKUP(VENTAS[[#This Row],[Código del producto Vendido]],STOCK[],16,FALSE)*VENTAS[[#This Row],[Cantidad]]+VLOOKUP(VENTAS[[#This Row],[Código del producto Vendido]],STOCK[],19,FALSE)*VENTAS[[#This Row],[Cantidad]],VENTAS[[#This Row],[Total]])</f>
        <v>17.36</v>
      </c>
      <c r="L921" s="35">
        <f>VENTAS[[#This Row],[Total]]-VENTAS[[#This Row],[Comisión 10%]]-VENTAS[[#This Row],[Costo SIN Comision]]</f>
        <v>14.14</v>
      </c>
      <c r="M921" s="35"/>
    </row>
    <row r="922" ht="20" customHeight="1" spans="1:13">
      <c r="A922" s="29">
        <v>45431</v>
      </c>
      <c r="B922" s="30"/>
      <c r="C922" s="30"/>
      <c r="D922" s="30" t="s">
        <v>3478</v>
      </c>
      <c r="E922" s="30" t="s">
        <v>1450</v>
      </c>
      <c r="F922" s="34" t="str">
        <f>IFERROR(VLOOKUP(VENTAS[[#This Row],[Código del producto Vendido]],STOCK[],5,FALSE),"-")</f>
        <v>Sandalias minimalistas de plataforma</v>
      </c>
      <c r="G922" s="34">
        <v>1</v>
      </c>
      <c r="H922" s="35">
        <v>35</v>
      </c>
      <c r="I922" s="35">
        <f>VENTAS[[#This Row],[Cantidad]]*VENTAS[[#This Row],[Precio Venta]]</f>
        <v>35</v>
      </c>
      <c r="J922" s="35">
        <f>IF(VENTAS[[#This Row],[Nombre del Gestor]]&gt;1,VENTAS[[#This Row],[Total]]*10%,0)</f>
        <v>3.5</v>
      </c>
      <c r="K922" s="35">
        <f>IFERROR(VLOOKUP(VENTAS[[#This Row],[Código del producto Vendido]],STOCK[],16,FALSE)*VENTAS[[#This Row],[Cantidad]]+VLOOKUP(VENTAS[[#This Row],[Código del producto Vendido]],STOCK[],19,FALSE)*VENTAS[[#This Row],[Cantidad]],VENTAS[[#This Row],[Total]])</f>
        <v>22.49</v>
      </c>
      <c r="L922" s="35">
        <f>VENTAS[[#This Row],[Total]]-VENTAS[[#This Row],[Comisión 10%]]-VENTAS[[#This Row],[Costo SIN Comision]]</f>
        <v>9.01</v>
      </c>
      <c r="M922" s="35"/>
    </row>
    <row r="923" ht="20" customHeight="1" spans="1:13">
      <c r="A923" s="29">
        <v>45428</v>
      </c>
      <c r="B923" s="30"/>
      <c r="C923" s="30"/>
      <c r="D923" s="30" t="s">
        <v>3478</v>
      </c>
      <c r="E923" s="30" t="s">
        <v>1291</v>
      </c>
      <c r="F923" s="34" t="str">
        <f>IFERROR(VLOOKUP(VENTAS[[#This Row],[Código del producto Vendido]],STOCK[],5,FALSE),"-")</f>
        <v>Jean skinny oscuro </v>
      </c>
      <c r="G923" s="34">
        <v>1</v>
      </c>
      <c r="H923" s="35">
        <v>30</v>
      </c>
      <c r="I923" s="35">
        <f>VENTAS[[#This Row],[Cantidad]]*VENTAS[[#This Row],[Precio Venta]]</f>
        <v>30</v>
      </c>
      <c r="J923" s="35">
        <f>IF(VENTAS[[#This Row],[Nombre del Gestor]]&gt;1,VENTAS[[#This Row],[Total]]*10%,0)</f>
        <v>3</v>
      </c>
      <c r="K923" s="35">
        <f>IFERROR(VLOOKUP(VENTAS[[#This Row],[Código del producto Vendido]],STOCK[],16,FALSE)*VENTAS[[#This Row],[Cantidad]]+VLOOKUP(VENTAS[[#This Row],[Código del producto Vendido]],STOCK[],19,FALSE)*VENTAS[[#This Row],[Cantidad]],VENTAS[[#This Row],[Total]])</f>
        <v>20.79</v>
      </c>
      <c r="L923" s="35">
        <f>VENTAS[[#This Row],[Total]]-VENTAS[[#This Row],[Comisión 10%]]-VENTAS[[#This Row],[Costo SIN Comision]]</f>
        <v>6.21</v>
      </c>
      <c r="M923" s="35"/>
    </row>
    <row r="924" ht="20" customHeight="1" spans="1:13">
      <c r="A924" s="29">
        <v>45428</v>
      </c>
      <c r="B924" s="30"/>
      <c r="C924" s="30"/>
      <c r="D924" s="30" t="s">
        <v>3478</v>
      </c>
      <c r="E924" s="30" t="s">
        <v>2084</v>
      </c>
      <c r="F924" s="34" t="str">
        <f>IFERROR(VLOOKUP(VENTAS[[#This Row],[Código del producto Vendido]],STOCK[],5,FALSE),"-")</f>
        <v>Botín de punta cuadrada y zíper</v>
      </c>
      <c r="G924" s="34">
        <v>1</v>
      </c>
      <c r="H924" s="35">
        <v>45</v>
      </c>
      <c r="I924" s="35">
        <f>VENTAS[[#This Row],[Cantidad]]*VENTAS[[#This Row],[Precio Venta]]</f>
        <v>45</v>
      </c>
      <c r="J924" s="35">
        <f>IF(VENTAS[[#This Row],[Nombre del Gestor]]&gt;1,VENTAS[[#This Row],[Total]]*10%,0)</f>
        <v>4.5</v>
      </c>
      <c r="K924" s="35">
        <f>IFERROR(VLOOKUP(VENTAS[[#This Row],[Código del producto Vendido]],STOCK[],16,FALSE)*VENTAS[[#This Row],[Cantidad]]+VLOOKUP(VENTAS[[#This Row],[Código del producto Vendido]],STOCK[],19,FALSE)*VENTAS[[#This Row],[Cantidad]],VENTAS[[#This Row],[Total]])</f>
        <v>22.42</v>
      </c>
      <c r="L924" s="35">
        <f>VENTAS[[#This Row],[Total]]-VENTAS[[#This Row],[Comisión 10%]]-VENTAS[[#This Row],[Costo SIN Comision]]</f>
        <v>18.08</v>
      </c>
      <c r="M924" s="35"/>
    </row>
    <row r="925" ht="20" customHeight="1" spans="1:13">
      <c r="A925" s="29">
        <v>45429</v>
      </c>
      <c r="B925" s="30"/>
      <c r="C925" s="30"/>
      <c r="D925" s="30" t="s">
        <v>3478</v>
      </c>
      <c r="E925" s="30" t="s">
        <v>2022</v>
      </c>
      <c r="F925" s="34" t="str">
        <f>IFERROR(VLOOKUP(VENTAS[[#This Row],[Código del producto Vendido]],STOCK[],5,FALSE),"-")</f>
        <v>Jogger afelpado de talle alto (Nuevo)</v>
      </c>
      <c r="G925" s="34">
        <v>1</v>
      </c>
      <c r="H925" s="35">
        <v>22</v>
      </c>
      <c r="I925" s="35">
        <f>VENTAS[[#This Row],[Cantidad]]*VENTAS[[#This Row],[Precio Venta]]</f>
        <v>22</v>
      </c>
      <c r="J925" s="35">
        <f>IF(VENTAS[[#This Row],[Nombre del Gestor]]&gt;1,VENTAS[[#This Row],[Total]]*10%,0)</f>
        <v>2.2</v>
      </c>
      <c r="K925" s="35">
        <f>IFERROR(VLOOKUP(VENTAS[[#This Row],[Código del producto Vendido]],STOCK[],16,FALSE)*VENTAS[[#This Row],[Cantidad]]+VLOOKUP(VENTAS[[#This Row],[Código del producto Vendido]],STOCK[],19,FALSE)*VENTAS[[#This Row],[Cantidad]],VENTAS[[#This Row],[Total]])</f>
        <v>0</v>
      </c>
      <c r="L925" s="35">
        <f>VENTAS[[#This Row],[Total]]-VENTAS[[#This Row],[Comisión 10%]]-VENTAS[[#This Row],[Costo SIN Comision]]</f>
        <v>19.8</v>
      </c>
      <c r="M925" s="35"/>
    </row>
    <row r="926" ht="20" customHeight="1" spans="1:13">
      <c r="A926" s="29">
        <v>45430</v>
      </c>
      <c r="B926" s="30"/>
      <c r="C926" s="30"/>
      <c r="D926" s="30" t="s">
        <v>3478</v>
      </c>
      <c r="E926" s="30" t="s">
        <v>1582</v>
      </c>
      <c r="F926" s="34" t="str">
        <f>IFERROR(VLOOKUP(VENTAS[[#This Row],[Código del producto Vendido]],STOCK[],5,FALSE),"-")</f>
        <v>Sandalias de hebilla</v>
      </c>
      <c r="G926" s="34">
        <v>1</v>
      </c>
      <c r="H926" s="35">
        <v>18</v>
      </c>
      <c r="I926" s="35">
        <f>VENTAS[[#This Row],[Cantidad]]*VENTAS[[#This Row],[Precio Venta]]</f>
        <v>18</v>
      </c>
      <c r="J926" s="35">
        <f>IF(VENTAS[[#This Row],[Nombre del Gestor]]&gt;1,VENTAS[[#This Row],[Total]]*10%,0)</f>
        <v>1.8</v>
      </c>
      <c r="K926" s="35">
        <f>IFERROR(VLOOKUP(VENTAS[[#This Row],[Código del producto Vendido]],STOCK[],16,FALSE)*VENTAS[[#This Row],[Cantidad]]+VLOOKUP(VENTAS[[#This Row],[Código del producto Vendido]],STOCK[],19,FALSE)*VENTAS[[#This Row],[Cantidad]],VENTAS[[#This Row],[Total]])</f>
        <v>11</v>
      </c>
      <c r="L926" s="35">
        <f>VENTAS[[#This Row],[Total]]-VENTAS[[#This Row],[Comisión 10%]]-VENTAS[[#This Row],[Costo SIN Comision]]</f>
        <v>5.2</v>
      </c>
      <c r="M926" s="35"/>
    </row>
    <row r="927" ht="20" customHeight="1" spans="1:13">
      <c r="A927" s="29">
        <v>45439</v>
      </c>
      <c r="B927" s="30"/>
      <c r="C927" s="30"/>
      <c r="D927" s="30" t="s">
        <v>3478</v>
      </c>
      <c r="E927" s="30" t="s">
        <v>1612</v>
      </c>
      <c r="F927" s="34" t="str">
        <f>IFERROR(VLOOKUP(VENTAS[[#This Row],[Código del producto Vendido]],STOCK[],5,FALSE),"-")</f>
        <v>Camisa Modely</v>
      </c>
      <c r="G927" s="34">
        <v>1</v>
      </c>
      <c r="H927" s="35">
        <v>22</v>
      </c>
      <c r="I927" s="35">
        <f>VENTAS[[#This Row],[Cantidad]]*VENTAS[[#This Row],[Precio Venta]]</f>
        <v>22</v>
      </c>
      <c r="J927" s="35">
        <f>IF(VENTAS[[#This Row],[Nombre del Gestor]]&gt;1,VENTAS[[#This Row],[Total]]*10%,0)</f>
        <v>2.2</v>
      </c>
      <c r="K927" s="35">
        <f>IFERROR(VLOOKUP(VENTAS[[#This Row],[Código del producto Vendido]],STOCK[],16,FALSE)*VENTAS[[#This Row],[Cantidad]]+VLOOKUP(VENTAS[[#This Row],[Código del producto Vendido]],STOCK[],19,FALSE)*VENTAS[[#This Row],[Cantidad]],VENTAS[[#This Row],[Total]])</f>
        <v>9.74</v>
      </c>
      <c r="L927" s="35">
        <f>VENTAS[[#This Row],[Total]]-VENTAS[[#This Row],[Comisión 10%]]-VENTAS[[#This Row],[Costo SIN Comision]]</f>
        <v>10.06</v>
      </c>
      <c r="M927" s="35"/>
    </row>
    <row r="928" ht="20" customHeight="1" spans="1:13">
      <c r="A928" s="29">
        <v>45439</v>
      </c>
      <c r="B928" s="30"/>
      <c r="C928" s="30"/>
      <c r="D928" s="30"/>
      <c r="E928" s="30" t="s">
        <v>1163</v>
      </c>
      <c r="F928" s="34" t="str">
        <f>IFERROR(VLOOKUP(VENTAS[[#This Row],[Código del producto Vendido]],STOCK[],5,FALSE),"-")</f>
        <v>Short de mezclilla con doblez (no elastiza)</v>
      </c>
      <c r="G928" s="34">
        <v>1</v>
      </c>
      <c r="H928" s="35">
        <v>20</v>
      </c>
      <c r="I928" s="35">
        <f>VENTAS[[#This Row],[Cantidad]]*VENTAS[[#This Row],[Precio Venta]]</f>
        <v>20</v>
      </c>
      <c r="J928" s="35">
        <f>IF(VENTAS[[#This Row],[Nombre del Gestor]]&gt;1,VENTAS[[#This Row],[Total]]*10%,0)</f>
        <v>0</v>
      </c>
      <c r="K928" s="35">
        <f>IFERROR(VLOOKUP(VENTAS[[#This Row],[Código del producto Vendido]],STOCK[],16,FALSE)*VENTAS[[#This Row],[Cantidad]]+VLOOKUP(VENTAS[[#This Row],[Código del producto Vendido]],STOCK[],19,FALSE)*VENTAS[[#This Row],[Cantidad]],VENTAS[[#This Row],[Total]])</f>
        <v>14.29</v>
      </c>
      <c r="L928" s="35">
        <f>VENTAS[[#This Row],[Total]]-VENTAS[[#This Row],[Comisión 10%]]-VENTAS[[#This Row],[Costo SIN Comision]]</f>
        <v>5.71</v>
      </c>
      <c r="M928" s="35"/>
    </row>
    <row r="929" ht="20" customHeight="1" spans="1:13">
      <c r="A929" s="29">
        <v>45440</v>
      </c>
      <c r="B929" s="30"/>
      <c r="C929" s="30"/>
      <c r="D929" s="30" t="s">
        <v>3478</v>
      </c>
      <c r="E929" s="30" t="s">
        <v>1882</v>
      </c>
      <c r="F929" s="34" t="str">
        <f>IFERROR(VLOOKUP(VENTAS[[#This Row],[Código del producto Vendido]],STOCK[],5,FALSE),"-")</f>
        <v>Bolso Vintage Negro</v>
      </c>
      <c r="G929" s="34">
        <v>1</v>
      </c>
      <c r="H929" s="35">
        <v>35</v>
      </c>
      <c r="I929" s="35">
        <f>VENTAS[[#This Row],[Cantidad]]*VENTAS[[#This Row],[Precio Venta]]</f>
        <v>35</v>
      </c>
      <c r="J929" s="35">
        <f>IF(VENTAS[[#This Row],[Nombre del Gestor]]&gt;1,VENTAS[[#This Row],[Total]]*10%,0)</f>
        <v>3.5</v>
      </c>
      <c r="K929" s="35">
        <f>IFERROR(VLOOKUP(VENTAS[[#This Row],[Código del producto Vendido]],STOCK[],16,FALSE)*VENTAS[[#This Row],[Cantidad]]+VLOOKUP(VENTAS[[#This Row],[Código del producto Vendido]],STOCK[],19,FALSE)*VENTAS[[#This Row],[Cantidad]],VENTAS[[#This Row],[Total]])</f>
        <v>22.98</v>
      </c>
      <c r="L929" s="35">
        <f>VENTAS[[#This Row],[Total]]-VENTAS[[#This Row],[Comisión 10%]]-VENTAS[[#This Row],[Costo SIN Comision]]</f>
        <v>8.52</v>
      </c>
      <c r="M929" s="35"/>
    </row>
    <row r="930" ht="20" customHeight="1" spans="1:13">
      <c r="A930" s="30"/>
      <c r="B930" s="30"/>
      <c r="C930" s="30" t="s">
        <v>3500</v>
      </c>
      <c r="D930" s="30"/>
      <c r="E930" s="30" t="s">
        <v>1148</v>
      </c>
      <c r="F930" s="34" t="str">
        <f>IFERROR(VLOOKUP(VENTAS[[#This Row],[Código del producto Vendido]],STOCK[],5,FALSE),"-")</f>
        <v>Sandalias de tacón grueso</v>
      </c>
      <c r="G930" s="34">
        <v>1</v>
      </c>
      <c r="H930" s="35">
        <v>0</v>
      </c>
      <c r="I930" s="35">
        <f>VENTAS[[#This Row],[Cantidad]]*VENTAS[[#This Row],[Precio Venta]]</f>
        <v>0</v>
      </c>
      <c r="J930" s="35">
        <f>IF(VENTAS[[#This Row],[Nombre del Gestor]]&gt;1,VENTAS[[#This Row],[Total]]*10%,0)</f>
        <v>0</v>
      </c>
      <c r="K930" s="35">
        <f>IFERROR(VLOOKUP(VENTAS[[#This Row],[Código del producto Vendido]],STOCK[],16,FALSE)*VENTAS[[#This Row],[Cantidad]]+VLOOKUP(VENTAS[[#This Row],[Código del producto Vendido]],STOCK[],19,FALSE)*VENTAS[[#This Row],[Cantidad]],VENTAS[[#This Row],[Total]])</f>
        <v>32.2794117647059</v>
      </c>
      <c r="L930" s="35">
        <f>VENTAS[[#This Row],[Total]]-VENTAS[[#This Row],[Comisión 10%]]-VENTAS[[#This Row],[Costo SIN Comision]]</f>
        <v>-32.2794117647059</v>
      </c>
      <c r="M930" s="35"/>
    </row>
    <row r="931" ht="20" customHeight="1" spans="1:13">
      <c r="A931" s="30"/>
      <c r="B931" s="30"/>
      <c r="C931" s="30"/>
      <c r="D931" s="30" t="s">
        <v>3465</v>
      </c>
      <c r="E931" s="30" t="s">
        <v>100</v>
      </c>
      <c r="F931" s="34" t="str">
        <f>IFERROR(VLOOKUP(VENTAS[[#This Row],[Código del producto Vendido]],STOCK[],5,FALSE),"-")</f>
        <v>Pareo pantalón de malla</v>
      </c>
      <c r="G931" s="34">
        <v>1</v>
      </c>
      <c r="H931" s="35">
        <v>15</v>
      </c>
      <c r="I931" s="35">
        <f>VENTAS[[#This Row],[Cantidad]]*VENTAS[[#This Row],[Precio Venta]]</f>
        <v>15</v>
      </c>
      <c r="J931" s="35">
        <f>IF(VENTAS[[#This Row],[Nombre del Gestor]]&gt;1,VENTAS[[#This Row],[Total]]*10%,0)</f>
        <v>1.5</v>
      </c>
      <c r="K931" s="35">
        <f>IFERROR(VLOOKUP(VENTAS[[#This Row],[Código del producto Vendido]],STOCK[],16,FALSE)*VENTAS[[#This Row],[Cantidad]]+VLOOKUP(VENTAS[[#This Row],[Código del producto Vendido]],STOCK[],19,FALSE)*VENTAS[[#This Row],[Cantidad]],VENTAS[[#This Row],[Total]])</f>
        <v>9.78555555555556</v>
      </c>
      <c r="L931" s="35">
        <f>VENTAS[[#This Row],[Total]]-VENTAS[[#This Row],[Comisión 10%]]-VENTAS[[#This Row],[Costo SIN Comision]]</f>
        <v>3.71444444444444</v>
      </c>
      <c r="M931" s="35"/>
    </row>
    <row r="932" ht="20" customHeight="1" spans="1:13">
      <c r="A932" s="29">
        <v>45440</v>
      </c>
      <c r="B932" s="30"/>
      <c r="C932" s="30"/>
      <c r="D932" s="30" t="s">
        <v>3478</v>
      </c>
      <c r="E932" s="30" t="s">
        <v>1297</v>
      </c>
      <c r="F932" s="34" t="str">
        <f>IFERROR(VLOOKUP(VENTAS[[#This Row],[Código del producto Vendido]],STOCK[],5,FALSE),"-")</f>
        <v>Sandalias rosadas Forever21</v>
      </c>
      <c r="G932" s="34">
        <v>1</v>
      </c>
      <c r="H932" s="35">
        <v>30</v>
      </c>
      <c r="I932" s="35">
        <f>VENTAS[[#This Row],[Cantidad]]*VENTAS[[#This Row],[Precio Venta]]</f>
        <v>30</v>
      </c>
      <c r="J932" s="35">
        <f>IF(VENTAS[[#This Row],[Nombre del Gestor]]&gt;1,VENTAS[[#This Row],[Total]]*10%,0)</f>
        <v>3</v>
      </c>
      <c r="K932" s="35">
        <f>IFERROR(VLOOKUP(VENTAS[[#This Row],[Código del producto Vendido]],STOCK[],16,FALSE)*VENTAS[[#This Row],[Cantidad]]+VLOOKUP(VENTAS[[#This Row],[Código del producto Vendido]],STOCK[],19,FALSE)*VENTAS[[#This Row],[Cantidad]],VENTAS[[#This Row],[Total]])</f>
        <v>19.49</v>
      </c>
      <c r="L932" s="35">
        <f>VENTAS[[#This Row],[Total]]-VENTAS[[#This Row],[Comisión 10%]]-VENTAS[[#This Row],[Costo SIN Comision]]</f>
        <v>7.51</v>
      </c>
      <c r="M932" s="35"/>
    </row>
    <row r="933" ht="20" customHeight="1" spans="1:13">
      <c r="A933" s="30"/>
      <c r="B933" s="30"/>
      <c r="C933" s="30"/>
      <c r="D933" s="30" t="s">
        <v>3478</v>
      </c>
      <c r="E933" s="30" t="s">
        <v>1101</v>
      </c>
      <c r="F933" s="34" t="str">
        <f>IFERROR(VLOOKUP(VENTAS[[#This Row],[Código del producto Vendido]],STOCK[],5,FALSE),"-")</f>
        <v>Sandalias crema</v>
      </c>
      <c r="G933" s="34">
        <v>1</v>
      </c>
      <c r="H933" s="35">
        <v>35</v>
      </c>
      <c r="I933" s="35">
        <f>VENTAS[[#This Row],[Cantidad]]*VENTAS[[#This Row],[Precio Venta]]</f>
        <v>35</v>
      </c>
      <c r="J933" s="35">
        <f>IF(VENTAS[[#This Row],[Nombre del Gestor]]&gt;1,VENTAS[[#This Row],[Total]]*10%,0)</f>
        <v>3.5</v>
      </c>
      <c r="K933" s="35">
        <f>IFERROR(VLOOKUP(VENTAS[[#This Row],[Código del producto Vendido]],STOCK[],16,FALSE)*VENTAS[[#This Row],[Cantidad]]+VLOOKUP(VENTAS[[#This Row],[Código del producto Vendido]],STOCK[],19,FALSE)*VENTAS[[#This Row],[Cantidad]],VENTAS[[#This Row],[Total]])</f>
        <v>26.8529411764706</v>
      </c>
      <c r="L933" s="35">
        <f>VENTAS[[#This Row],[Total]]-VENTAS[[#This Row],[Comisión 10%]]-VENTAS[[#This Row],[Costo SIN Comision]]</f>
        <v>4.6470588235294</v>
      </c>
      <c r="M933" s="35"/>
    </row>
    <row r="934" ht="20" customHeight="1" spans="1:13">
      <c r="A934" s="29">
        <v>45443</v>
      </c>
      <c r="B934" s="30"/>
      <c r="C934" s="30"/>
      <c r="D934" s="30"/>
      <c r="E934" s="30" t="s">
        <v>533</v>
      </c>
      <c r="F934" s="34" t="str">
        <f>IFERROR(VLOOKUP(VENTAS[[#This Row],[Código del producto Vendido]],STOCK[],5,FALSE),"-")</f>
        <v>Vestido corrugado de vuelos</v>
      </c>
      <c r="G934" s="34">
        <v>1</v>
      </c>
      <c r="H934" s="35">
        <v>18</v>
      </c>
      <c r="I934" s="35">
        <f>VENTAS[[#This Row],[Cantidad]]*VENTAS[[#This Row],[Precio Venta]]</f>
        <v>18</v>
      </c>
      <c r="J934" s="35">
        <f>IF(VENTAS[[#This Row],[Nombre del Gestor]]&gt;1,VENTAS[[#This Row],[Total]]*10%,0)</f>
        <v>0</v>
      </c>
      <c r="K934" s="35">
        <f>IFERROR(VLOOKUP(VENTAS[[#This Row],[Código del producto Vendido]],STOCK[],16,FALSE)*VENTAS[[#This Row],[Cantidad]]+VLOOKUP(VENTAS[[#This Row],[Código del producto Vendido]],STOCK[],19,FALSE)*VENTAS[[#This Row],[Cantidad]],VENTAS[[#This Row],[Total]])</f>
        <v>14.7111111111111</v>
      </c>
      <c r="L934" s="35">
        <f>VENTAS[[#This Row],[Total]]-VENTAS[[#This Row],[Comisión 10%]]-VENTAS[[#This Row],[Costo SIN Comision]]</f>
        <v>3.2888888888889</v>
      </c>
      <c r="M934" s="35"/>
    </row>
    <row r="935" ht="20" customHeight="1" spans="1:13">
      <c r="A935" s="29">
        <v>45443</v>
      </c>
      <c r="B935" s="30"/>
      <c r="C935" s="30"/>
      <c r="D935" s="30" t="s">
        <v>3365</v>
      </c>
      <c r="E935" s="30" t="s">
        <v>583</v>
      </c>
      <c r="F935" s="34" t="str">
        <f>IFERROR(VLOOKUP(VENTAS[[#This Row],[Código del producto Vendido]],STOCK[],5,FALSE),"-")</f>
        <v>Top cruzado blanco</v>
      </c>
      <c r="G935" s="34">
        <v>1</v>
      </c>
      <c r="H935" s="35">
        <v>8</v>
      </c>
      <c r="I935" s="35">
        <f>VENTAS[[#This Row],[Cantidad]]*VENTAS[[#This Row],[Precio Venta]]</f>
        <v>8</v>
      </c>
      <c r="J935" s="35">
        <f>IF(VENTAS[[#This Row],[Nombre del Gestor]]&gt;1,VENTAS[[#This Row],[Total]]*10%,0)</f>
        <v>0.8</v>
      </c>
      <c r="K935" s="35">
        <f>IFERROR(VLOOKUP(VENTAS[[#This Row],[Código del producto Vendido]],STOCK[],16,FALSE)*VENTAS[[#This Row],[Cantidad]]+VLOOKUP(VENTAS[[#This Row],[Código del producto Vendido]],STOCK[],19,FALSE)*VENTAS[[#This Row],[Cantidad]],VENTAS[[#This Row],[Total]])</f>
        <v>5.19333333333333</v>
      </c>
      <c r="L935" s="35">
        <f>VENTAS[[#This Row],[Total]]-VENTAS[[#This Row],[Comisión 10%]]-VENTAS[[#This Row],[Costo SIN Comision]]</f>
        <v>2.00666666666667</v>
      </c>
      <c r="M935" s="35"/>
    </row>
    <row r="936" ht="20" customHeight="1" spans="1:13">
      <c r="A936" s="29">
        <v>45443</v>
      </c>
      <c r="B936" s="30"/>
      <c r="C936" s="30"/>
      <c r="D936" s="30" t="s">
        <v>3365</v>
      </c>
      <c r="E936" s="30" t="s">
        <v>671</v>
      </c>
      <c r="F936" s="34" t="str">
        <f>IFERROR(VLOOKUP(VENTAS[[#This Row],[Código del producto Vendido]],STOCK[],5,FALSE),"-")</f>
        <v>Top Cruzado azul</v>
      </c>
      <c r="G936" s="34">
        <v>1</v>
      </c>
      <c r="H936" s="35">
        <v>8</v>
      </c>
      <c r="I936" s="35">
        <f>VENTAS[[#This Row],[Cantidad]]*VENTAS[[#This Row],[Precio Venta]]</f>
        <v>8</v>
      </c>
      <c r="J936" s="35">
        <f>IF(VENTAS[[#This Row],[Nombre del Gestor]]&gt;1,VENTAS[[#This Row],[Total]]*10%,0)</f>
        <v>0.8</v>
      </c>
      <c r="K936" s="35">
        <f>IFERROR(VLOOKUP(VENTAS[[#This Row],[Código del producto Vendido]],STOCK[],16,FALSE)*VENTAS[[#This Row],[Cantidad]]+VLOOKUP(VENTAS[[#This Row],[Código del producto Vendido]],STOCK[],19,FALSE)*VENTAS[[#This Row],[Cantidad]],VENTAS[[#This Row],[Total]])</f>
        <v>5.26833333333333</v>
      </c>
      <c r="L936" s="35">
        <f>VENTAS[[#This Row],[Total]]-VENTAS[[#This Row],[Comisión 10%]]-VENTAS[[#This Row],[Costo SIN Comision]]</f>
        <v>1.93166666666667</v>
      </c>
      <c r="M936" s="35"/>
    </row>
    <row r="937" ht="20" customHeight="1" spans="1:13">
      <c r="A937" s="29">
        <v>45443</v>
      </c>
      <c r="B937" s="30"/>
      <c r="C937" s="30"/>
      <c r="D937" s="30"/>
      <c r="E937" s="30" t="s">
        <v>1911</v>
      </c>
      <c r="F937" s="34" t="str">
        <f>IFERROR(VLOOKUP(VENTAS[[#This Row],[Código del producto Vendido]],STOCK[],5,FALSE),"-")</f>
        <v>Gafas de Sol Retro Carey</v>
      </c>
      <c r="G937" s="34">
        <v>1</v>
      </c>
      <c r="H937" s="35">
        <v>8</v>
      </c>
      <c r="I937" s="35">
        <f>VENTAS[[#This Row],[Cantidad]]*VENTAS[[#This Row],[Precio Venta]]</f>
        <v>8</v>
      </c>
      <c r="J937" s="35">
        <f>IF(VENTAS[[#This Row],[Nombre del Gestor]]&gt;1,VENTAS[[#This Row],[Total]]*10%,0)</f>
        <v>0</v>
      </c>
      <c r="K937" s="35">
        <f>IFERROR(VLOOKUP(VENTAS[[#This Row],[Código del producto Vendido]],STOCK[],16,FALSE)*VENTAS[[#This Row],[Cantidad]]+VLOOKUP(VENTAS[[#This Row],[Código del producto Vendido]],STOCK[],19,FALSE)*VENTAS[[#This Row],[Cantidad]],VENTAS[[#This Row],[Total]])</f>
        <v>4.45</v>
      </c>
      <c r="L937" s="35">
        <f>VENTAS[[#This Row],[Total]]-VENTAS[[#This Row],[Comisión 10%]]-VENTAS[[#This Row],[Costo SIN Comision]]</f>
        <v>3.55</v>
      </c>
      <c r="M937" s="35"/>
    </row>
    <row r="938" ht="20" customHeight="1" spans="1:13">
      <c r="A938" s="29">
        <v>45443</v>
      </c>
      <c r="B938" s="30"/>
      <c r="C938" s="30"/>
      <c r="D938" s="30" t="s">
        <v>3478</v>
      </c>
      <c r="E938" s="30" t="s">
        <v>3501</v>
      </c>
      <c r="F938" s="34" t="str">
        <f>IFERROR(VLOOKUP(VENTAS[[#This Row],[Código del producto Vendido]],STOCK[],5,FALSE),"-")</f>
        <v>Sandalias crema</v>
      </c>
      <c r="G938" s="34">
        <v>1</v>
      </c>
      <c r="H938" s="35">
        <v>35</v>
      </c>
      <c r="I938" s="35">
        <f>VENTAS[[#This Row],[Cantidad]]*VENTAS[[#This Row],[Precio Venta]]</f>
        <v>35</v>
      </c>
      <c r="J938" s="35">
        <f>IF(VENTAS[[#This Row],[Nombre del Gestor]]&gt;1,VENTAS[[#This Row],[Total]]*10%,0)</f>
        <v>3.5</v>
      </c>
      <c r="K938" s="35">
        <f>IFERROR(VLOOKUP(VENTAS[[#This Row],[Código del producto Vendido]],STOCK[],16,FALSE)*VENTAS[[#This Row],[Cantidad]]+VLOOKUP(VENTAS[[#This Row],[Código del producto Vendido]],STOCK[],19,FALSE)*VENTAS[[#This Row],[Cantidad]],VENTAS[[#This Row],[Total]])</f>
        <v>26.8529411764706</v>
      </c>
      <c r="L938" s="35">
        <f>VENTAS[[#This Row],[Total]]-VENTAS[[#This Row],[Comisión 10%]]-VENTAS[[#This Row],[Costo SIN Comision]]</f>
        <v>4.6470588235294</v>
      </c>
      <c r="M938" s="35"/>
    </row>
    <row r="939" ht="20" customHeight="1" spans="1:13">
      <c r="A939" s="29">
        <v>45439</v>
      </c>
      <c r="B939" s="30"/>
      <c r="C939" s="30"/>
      <c r="D939" s="30" t="s">
        <v>3478</v>
      </c>
      <c r="E939" s="30" t="s">
        <v>1903</v>
      </c>
      <c r="F939" s="34" t="str">
        <f>IFERROR(VLOOKUP(VENTAS[[#This Row],[Código del producto Vendido]],STOCK[],5,FALSE),"-")</f>
        <v>Blusa estampada de Lunares</v>
      </c>
      <c r="G939" s="34">
        <v>1</v>
      </c>
      <c r="H939" s="35">
        <v>14</v>
      </c>
      <c r="I939" s="35">
        <f>VENTAS[[#This Row],[Cantidad]]*VENTAS[[#This Row],[Precio Venta]]</f>
        <v>14</v>
      </c>
      <c r="J939" s="35">
        <f>IF(VENTAS[[#This Row],[Nombre del Gestor]]&gt;1,VENTAS[[#This Row],[Total]]*10%,0)</f>
        <v>1.4</v>
      </c>
      <c r="K939" s="35">
        <f>IFERROR(VLOOKUP(VENTAS[[#This Row],[Código del producto Vendido]],STOCK[],16,FALSE)*VENTAS[[#This Row],[Cantidad]]+VLOOKUP(VENTAS[[#This Row],[Código del producto Vendido]],STOCK[],19,FALSE)*VENTAS[[#This Row],[Cantidad]],VENTAS[[#This Row],[Total]])</f>
        <v>9.2</v>
      </c>
      <c r="L939" s="35">
        <f>VENTAS[[#This Row],[Total]]-VENTAS[[#This Row],[Comisión 10%]]-VENTAS[[#This Row],[Costo SIN Comision]]</f>
        <v>3.4</v>
      </c>
      <c r="M939" s="35"/>
    </row>
    <row r="940" ht="20" customHeight="1" spans="1:13">
      <c r="A940" s="29">
        <v>45439</v>
      </c>
      <c r="B940" s="30"/>
      <c r="C940" s="30"/>
      <c r="D940" s="30"/>
      <c r="E940" s="30" t="s">
        <v>1411</v>
      </c>
      <c r="F940" s="34" t="str">
        <f>IFERROR(VLOOKUP(VENTAS[[#This Row],[Código del producto Vendido]],STOCK[],5,FALSE),"-")</f>
        <v>Jean MOM con rotos</v>
      </c>
      <c r="G940" s="34">
        <v>1</v>
      </c>
      <c r="H940" s="35">
        <v>32</v>
      </c>
      <c r="I940" s="35">
        <f>VENTAS[[#This Row],[Cantidad]]*VENTAS[[#This Row],[Precio Venta]]</f>
        <v>32</v>
      </c>
      <c r="J940" s="35">
        <f>IF(VENTAS[[#This Row],[Nombre del Gestor]]&gt;1,VENTAS[[#This Row],[Total]]*10%,0)</f>
        <v>0</v>
      </c>
      <c r="K940" s="35">
        <f>IFERROR(VLOOKUP(VENTAS[[#This Row],[Código del producto Vendido]],STOCK[],16,FALSE)*VENTAS[[#This Row],[Cantidad]]+VLOOKUP(VENTAS[[#This Row],[Código del producto Vendido]],STOCK[],19,FALSE)*VENTAS[[#This Row],[Cantidad]],VENTAS[[#This Row],[Total]])</f>
        <v>20</v>
      </c>
      <c r="L940" s="35">
        <f>VENTAS[[#This Row],[Total]]-VENTAS[[#This Row],[Comisión 10%]]-VENTAS[[#This Row],[Costo SIN Comision]]</f>
        <v>12</v>
      </c>
      <c r="M940" s="35"/>
    </row>
    <row r="941" ht="20" customHeight="1" spans="1:13">
      <c r="A941" s="29">
        <v>45436</v>
      </c>
      <c r="B941" s="30"/>
      <c r="C941" s="30"/>
      <c r="D941" s="30"/>
      <c r="E941" s="30" t="s">
        <v>1892</v>
      </c>
      <c r="F941" s="34" t="str">
        <f>IFERROR(VLOOKUP(VENTAS[[#This Row],[Código del producto Vendido]],STOCK[],5,FALSE),"-")</f>
        <v>Set de bolso minimalista negro</v>
      </c>
      <c r="G941" s="34">
        <v>1</v>
      </c>
      <c r="H941" s="35">
        <v>25</v>
      </c>
      <c r="I941" s="35">
        <f>VENTAS[[#This Row],[Cantidad]]*VENTAS[[#This Row],[Precio Venta]]</f>
        <v>25</v>
      </c>
      <c r="J941" s="35">
        <f>IF(VENTAS[[#This Row],[Nombre del Gestor]]&gt;1,VENTAS[[#This Row],[Total]]*10%,0)</f>
        <v>0</v>
      </c>
      <c r="K941" s="35">
        <f>IFERROR(VLOOKUP(VENTAS[[#This Row],[Código del producto Vendido]],STOCK[],16,FALSE)*VENTAS[[#This Row],[Cantidad]]+VLOOKUP(VENTAS[[#This Row],[Código del producto Vendido]],STOCK[],19,FALSE)*VENTAS[[#This Row],[Cantidad]],VENTAS[[#This Row],[Total]])</f>
        <v>12.75</v>
      </c>
      <c r="L941" s="35">
        <f>VENTAS[[#This Row],[Total]]-VENTAS[[#This Row],[Comisión 10%]]-VENTAS[[#This Row],[Costo SIN Comision]]</f>
        <v>12.25</v>
      </c>
      <c r="M941" s="35"/>
    </row>
    <row r="942" ht="20" customHeight="1" spans="1:13">
      <c r="A942" s="29">
        <v>45436</v>
      </c>
      <c r="B942" s="30"/>
      <c r="C942" s="30"/>
      <c r="D942" s="30"/>
      <c r="E942" s="30" t="s">
        <v>877</v>
      </c>
      <c r="F942" s="34" t="str">
        <f>IFERROR(VLOOKUP(VENTAS[[#This Row],[Código del producto Vendido]],STOCK[],5,FALSE),"-")</f>
        <v>Brasier de encaje blanco</v>
      </c>
      <c r="G942" s="34">
        <v>1</v>
      </c>
      <c r="H942" s="35">
        <v>7</v>
      </c>
      <c r="I942" s="35">
        <f>VENTAS[[#This Row],[Cantidad]]*VENTAS[[#This Row],[Precio Venta]]</f>
        <v>7</v>
      </c>
      <c r="J942" s="35">
        <f>IF(VENTAS[[#This Row],[Nombre del Gestor]]&gt;1,VENTAS[[#This Row],[Total]]*10%,0)</f>
        <v>0</v>
      </c>
      <c r="K942" s="35">
        <f>IFERROR(VLOOKUP(VENTAS[[#This Row],[Código del producto Vendido]],STOCK[],16,FALSE)*VENTAS[[#This Row],[Cantidad]]+VLOOKUP(VENTAS[[#This Row],[Código del producto Vendido]],STOCK[],19,FALSE)*VENTAS[[#This Row],[Cantidad]],VENTAS[[#This Row],[Total]])</f>
        <v>3.71111111111111</v>
      </c>
      <c r="L942" s="35">
        <f>VENTAS[[#This Row],[Total]]-VENTAS[[#This Row],[Comisión 10%]]-VENTAS[[#This Row],[Costo SIN Comision]]</f>
        <v>3.28888888888889</v>
      </c>
      <c r="M942" s="35"/>
    </row>
    <row r="943" ht="20" customHeight="1" spans="1:13">
      <c r="A943" s="29">
        <v>45436</v>
      </c>
      <c r="B943" s="30"/>
      <c r="C943" s="30"/>
      <c r="D943" s="30" t="s">
        <v>3478</v>
      </c>
      <c r="E943" s="30" t="s">
        <v>1754</v>
      </c>
      <c r="F943" s="34" t="str">
        <f>IFERROR(VLOOKUP(VENTAS[[#This Row],[Código del producto Vendido]],STOCK[],5,FALSE),"-")</f>
        <v>Zapatillas blanco casual</v>
      </c>
      <c r="G943" s="34">
        <v>1</v>
      </c>
      <c r="H943" s="35">
        <v>30</v>
      </c>
      <c r="I943" s="35">
        <f>VENTAS[[#This Row],[Cantidad]]*VENTAS[[#This Row],[Precio Venta]]</f>
        <v>30</v>
      </c>
      <c r="J943" s="35">
        <f>IF(VENTAS[[#This Row],[Nombre del Gestor]]&gt;1,VENTAS[[#This Row],[Total]]*10%,0)</f>
        <v>3</v>
      </c>
      <c r="K943" s="35">
        <f>IFERROR(VLOOKUP(VENTAS[[#This Row],[Código del producto Vendido]],STOCK[],16,FALSE)*VENTAS[[#This Row],[Cantidad]]+VLOOKUP(VENTAS[[#This Row],[Código del producto Vendido]],STOCK[],19,FALSE)*VENTAS[[#This Row],[Cantidad]],VENTAS[[#This Row],[Total]])</f>
        <v>24.4705882352941</v>
      </c>
      <c r="L943" s="35">
        <f>VENTAS[[#This Row],[Total]]-VENTAS[[#This Row],[Comisión 10%]]-VENTAS[[#This Row],[Costo SIN Comision]]</f>
        <v>2.5294117647059</v>
      </c>
      <c r="M943" s="35"/>
    </row>
    <row r="944" ht="20" customHeight="1" spans="1:13">
      <c r="A944" s="29">
        <v>45445</v>
      </c>
      <c r="B944" s="30"/>
      <c r="C944" s="30"/>
      <c r="D944" s="30" t="s">
        <v>3478</v>
      </c>
      <c r="E944" s="30" t="s">
        <v>2237</v>
      </c>
      <c r="F944" s="34" t="str">
        <f>IFERROR(VLOOKUP(VENTAS[[#This Row],[Código del producto Vendido]],STOCK[],5,FALSE),"-")</f>
        <v>Bolso bohemio redondo de gran capacidad</v>
      </c>
      <c r="G944" s="34">
        <v>1</v>
      </c>
      <c r="H944" s="35">
        <v>25</v>
      </c>
      <c r="I944" s="35">
        <f>VENTAS[[#This Row],[Cantidad]]*VENTAS[[#This Row],[Precio Venta]]</f>
        <v>25</v>
      </c>
      <c r="J944" s="35">
        <f>IF(VENTAS[[#This Row],[Nombre del Gestor]]&gt;1,VENTAS[[#This Row],[Total]]*10%,0)</f>
        <v>2.5</v>
      </c>
      <c r="K944" s="35">
        <f>IFERROR(VLOOKUP(VENTAS[[#This Row],[Código del producto Vendido]],STOCK[],16,FALSE)*VENTAS[[#This Row],[Cantidad]]+VLOOKUP(VENTAS[[#This Row],[Código del producto Vendido]],STOCK[],19,FALSE)*VENTAS[[#This Row],[Cantidad]],VENTAS[[#This Row],[Total]])</f>
        <v>11.09</v>
      </c>
      <c r="L944" s="35">
        <f>VENTAS[[#This Row],[Total]]-VENTAS[[#This Row],[Comisión 10%]]-VENTAS[[#This Row],[Costo SIN Comision]]</f>
        <v>11.41</v>
      </c>
      <c r="M944" s="35"/>
    </row>
    <row r="945" ht="20" customHeight="1" spans="1:13">
      <c r="A945" s="29">
        <v>45445</v>
      </c>
      <c r="B945" s="30"/>
      <c r="C945" s="30"/>
      <c r="D945" s="30" t="s">
        <v>3478</v>
      </c>
      <c r="E945" s="30" t="s">
        <v>2225</v>
      </c>
      <c r="F945" s="34" t="str">
        <f>IFERROR(VLOOKUP(VENTAS[[#This Row],[Código del producto Vendido]],STOCK[],5,FALSE),"-")</f>
        <v>Estiloso sombrero de protección solar playero</v>
      </c>
      <c r="G945" s="34">
        <v>1</v>
      </c>
      <c r="H945" s="35">
        <v>10</v>
      </c>
      <c r="I945" s="35">
        <f>VENTAS[[#This Row],[Cantidad]]*VENTAS[[#This Row],[Precio Venta]]</f>
        <v>10</v>
      </c>
      <c r="J945" s="35">
        <f>IF(VENTAS[[#This Row],[Nombre del Gestor]]&gt;1,VENTAS[[#This Row],[Total]]*10%,0)</f>
        <v>1</v>
      </c>
      <c r="K945" s="35">
        <f>IFERROR(VLOOKUP(VENTAS[[#This Row],[Código del producto Vendido]],STOCK[],16,FALSE)*VENTAS[[#This Row],[Cantidad]]+VLOOKUP(VENTAS[[#This Row],[Código del producto Vendido]],STOCK[],19,FALSE)*VENTAS[[#This Row],[Cantidad]],VENTAS[[#This Row],[Total]])</f>
        <v>3.28</v>
      </c>
      <c r="L945" s="35">
        <f>VENTAS[[#This Row],[Total]]-VENTAS[[#This Row],[Comisión 10%]]-VENTAS[[#This Row],[Costo SIN Comision]]</f>
        <v>5.72</v>
      </c>
      <c r="M945" s="35"/>
    </row>
    <row r="946" ht="20" customHeight="1" spans="1:13">
      <c r="A946" s="29">
        <v>45445</v>
      </c>
      <c r="B946" s="30"/>
      <c r="C946" s="30"/>
      <c r="D946" s="30" t="s">
        <v>3478</v>
      </c>
      <c r="E946" s="30" t="s">
        <v>2231</v>
      </c>
      <c r="F946" s="34" t="str">
        <f>IFERROR(VLOOKUP(VENTAS[[#This Row],[Código del producto Vendido]],STOCK[],5,FALSE),"-")</f>
        <v>Vestido blanco espalda cruzada</v>
      </c>
      <c r="G946" s="34">
        <v>1</v>
      </c>
      <c r="H946" s="35">
        <v>25</v>
      </c>
      <c r="I946" s="35">
        <f>VENTAS[[#This Row],[Cantidad]]*VENTAS[[#This Row],[Precio Venta]]</f>
        <v>25</v>
      </c>
      <c r="J946" s="35">
        <f>IF(VENTAS[[#This Row],[Nombre del Gestor]]&gt;1,VENTAS[[#This Row],[Total]]*10%,0)</f>
        <v>2.5</v>
      </c>
      <c r="K946" s="35">
        <f>IFERROR(VLOOKUP(VENTAS[[#This Row],[Código del producto Vendido]],STOCK[],16,FALSE)*VENTAS[[#This Row],[Cantidad]]+VLOOKUP(VENTAS[[#This Row],[Código del producto Vendido]],STOCK[],19,FALSE)*VENTAS[[#This Row],[Cantidad]],VENTAS[[#This Row],[Total]])</f>
        <v>12.19</v>
      </c>
      <c r="L946" s="35">
        <f>VENTAS[[#This Row],[Total]]-VENTAS[[#This Row],[Comisión 10%]]-VENTAS[[#This Row],[Costo SIN Comision]]</f>
        <v>10.31</v>
      </c>
      <c r="M946" s="35"/>
    </row>
    <row r="947" ht="20" customHeight="1" spans="1:13">
      <c r="A947" s="29">
        <v>45445</v>
      </c>
      <c r="B947" s="30"/>
      <c r="C947" s="30"/>
      <c r="D947" s="30" t="s">
        <v>3478</v>
      </c>
      <c r="E947" s="30" t="s">
        <v>2115</v>
      </c>
      <c r="F947" s="34" t="str">
        <f>IFERROR(VLOOKUP(VENTAS[[#This Row],[Código del producto Vendido]],STOCK[],5,FALSE),"-")</f>
        <v>Vestido Estampado floral de moda</v>
      </c>
      <c r="G947" s="34">
        <v>1</v>
      </c>
      <c r="H947" s="35">
        <v>25</v>
      </c>
      <c r="I947" s="35">
        <f>VENTAS[[#This Row],[Cantidad]]*VENTAS[[#This Row],[Precio Venta]]</f>
        <v>25</v>
      </c>
      <c r="J947" s="35">
        <f>IF(VENTAS[[#This Row],[Nombre del Gestor]]&gt;1,VENTAS[[#This Row],[Total]]*10%,0)</f>
        <v>2.5</v>
      </c>
      <c r="K947" s="35">
        <f>IFERROR(VLOOKUP(VENTAS[[#This Row],[Código del producto Vendido]],STOCK[],16,FALSE)*VENTAS[[#This Row],[Cantidad]]+VLOOKUP(VENTAS[[#This Row],[Código del producto Vendido]],STOCK[],19,FALSE)*VENTAS[[#This Row],[Cantidad]],VENTAS[[#This Row],[Total]])</f>
        <v>8.83</v>
      </c>
      <c r="L947" s="35">
        <f>VENTAS[[#This Row],[Total]]-VENTAS[[#This Row],[Comisión 10%]]-VENTAS[[#This Row],[Costo SIN Comision]]</f>
        <v>13.67</v>
      </c>
      <c r="M947" s="35"/>
    </row>
    <row r="948" ht="20" customHeight="1" spans="1:13">
      <c r="A948" s="29">
        <v>45445</v>
      </c>
      <c r="B948" s="30"/>
      <c r="C948" s="30"/>
      <c r="D948" s="30" t="s">
        <v>3502</v>
      </c>
      <c r="E948" s="30" t="s">
        <v>2180</v>
      </c>
      <c r="F948" s="34" t="str">
        <f>IFERROR(VLOOKUP(VENTAS[[#This Row],[Código del producto Vendido]],STOCK[],5,FALSE),"-")</f>
        <v>Bikini sexy de pierna alta en tendencia</v>
      </c>
      <c r="G948" s="34">
        <v>1</v>
      </c>
      <c r="H948" s="35">
        <v>20</v>
      </c>
      <c r="I948" s="35">
        <f>VENTAS[[#This Row],[Cantidad]]*VENTAS[[#This Row],[Precio Venta]]</f>
        <v>20</v>
      </c>
      <c r="J948" s="35">
        <f>IF(VENTAS[[#This Row],[Nombre del Gestor]]&gt;1,VENTAS[[#This Row],[Total]]*10%,0)</f>
        <v>2</v>
      </c>
      <c r="K948" s="35">
        <f>IFERROR(VLOOKUP(VENTAS[[#This Row],[Código del producto Vendido]],STOCK[],16,FALSE)*VENTAS[[#This Row],[Cantidad]]+VLOOKUP(VENTAS[[#This Row],[Código del producto Vendido]],STOCK[],19,FALSE)*VENTAS[[#This Row],[Cantidad]],VENTAS[[#This Row],[Total]])</f>
        <v>6.62</v>
      </c>
      <c r="L948" s="35">
        <f>VENTAS[[#This Row],[Total]]-VENTAS[[#This Row],[Comisión 10%]]-VENTAS[[#This Row],[Costo SIN Comision]]</f>
        <v>11.38</v>
      </c>
      <c r="M948" s="35"/>
    </row>
    <row r="949" ht="20" customHeight="1" spans="1:13">
      <c r="A949" s="29">
        <v>45445</v>
      </c>
      <c r="B949" s="30"/>
      <c r="C949" s="30"/>
      <c r="D949" s="30"/>
      <c r="E949" s="30" t="s">
        <v>2225</v>
      </c>
      <c r="F949" s="34" t="str">
        <f>IFERROR(VLOOKUP(VENTAS[[#This Row],[Código del producto Vendido]],STOCK[],5,FALSE),"-")</f>
        <v>Estiloso sombrero de protección solar playero</v>
      </c>
      <c r="G949" s="34">
        <v>1</v>
      </c>
      <c r="H949" s="35">
        <v>10</v>
      </c>
      <c r="I949" s="35">
        <f>VENTAS[[#This Row],[Cantidad]]*VENTAS[[#This Row],[Precio Venta]]</f>
        <v>10</v>
      </c>
      <c r="J949" s="35">
        <f>IF(VENTAS[[#This Row],[Nombre del Gestor]]&gt;1,VENTAS[[#This Row],[Total]]*10%,0)</f>
        <v>0</v>
      </c>
      <c r="K949" s="35">
        <f>IFERROR(VLOOKUP(VENTAS[[#This Row],[Código del producto Vendido]],STOCK[],16,FALSE)*VENTAS[[#This Row],[Cantidad]]+VLOOKUP(VENTAS[[#This Row],[Código del producto Vendido]],STOCK[],19,FALSE)*VENTAS[[#This Row],[Cantidad]],VENTAS[[#This Row],[Total]])</f>
        <v>3.28</v>
      </c>
      <c r="L949" s="35">
        <f>VENTAS[[#This Row],[Total]]-VENTAS[[#This Row],[Comisión 10%]]-VENTAS[[#This Row],[Costo SIN Comision]]</f>
        <v>6.72</v>
      </c>
      <c r="M949" s="35"/>
    </row>
    <row r="950" ht="20" customHeight="1" spans="1:13">
      <c r="A950" s="29">
        <v>45446</v>
      </c>
      <c r="B950" s="30"/>
      <c r="C950" s="30"/>
      <c r="D950" s="30"/>
      <c r="E950" s="30" t="s">
        <v>2225</v>
      </c>
      <c r="F950" s="34" t="str">
        <f>IFERROR(VLOOKUP(VENTAS[[#This Row],[Código del producto Vendido]],STOCK[],5,FALSE),"-")</f>
        <v>Estiloso sombrero de protección solar playero</v>
      </c>
      <c r="G950" s="34">
        <v>1</v>
      </c>
      <c r="H950" s="35">
        <v>10</v>
      </c>
      <c r="I950" s="35">
        <f>VENTAS[[#This Row],[Cantidad]]*VENTAS[[#This Row],[Precio Venta]]</f>
        <v>10</v>
      </c>
      <c r="J950" s="35">
        <f>IF(VENTAS[[#This Row],[Nombre del Gestor]]&gt;1,VENTAS[[#This Row],[Total]]*10%,0)</f>
        <v>0</v>
      </c>
      <c r="K950" s="35">
        <f>IFERROR(VLOOKUP(VENTAS[[#This Row],[Código del producto Vendido]],STOCK[],16,FALSE)*VENTAS[[#This Row],[Cantidad]]+VLOOKUP(VENTAS[[#This Row],[Código del producto Vendido]],STOCK[],19,FALSE)*VENTAS[[#This Row],[Cantidad]],VENTAS[[#This Row],[Total]])</f>
        <v>3.28</v>
      </c>
      <c r="L950" s="35">
        <f>VENTAS[[#This Row],[Total]]-VENTAS[[#This Row],[Comisión 10%]]-VENTAS[[#This Row],[Costo SIN Comision]]</f>
        <v>6.72</v>
      </c>
      <c r="M950" s="35"/>
    </row>
    <row r="951" ht="20" customHeight="1" spans="1:13">
      <c r="A951" s="29">
        <v>45446</v>
      </c>
      <c r="B951" s="30"/>
      <c r="C951" s="30" t="s">
        <v>3319</v>
      </c>
      <c r="D951" s="30"/>
      <c r="E951" s="30" t="s">
        <v>2142</v>
      </c>
      <c r="F951" s="34" t="str">
        <f>IFERROR(VLOOKUP(VENTAS[[#This Row],[Código del producto Vendido]],STOCK[],5,FALSE),"-")</f>
        <v>Falda Bohemia de mezclilla de cintura alta con detalles de botón</v>
      </c>
      <c r="G951" s="34">
        <v>1</v>
      </c>
      <c r="H951" s="35">
        <v>30</v>
      </c>
      <c r="I951" s="35">
        <f>VENTAS[[#This Row],[Cantidad]]*VENTAS[[#This Row],[Precio Venta]]</f>
        <v>30</v>
      </c>
      <c r="J951" s="35">
        <f>IF(VENTAS[[#This Row],[Nombre del Gestor]]&gt;1,VENTAS[[#This Row],[Total]]*10%,0)</f>
        <v>0</v>
      </c>
      <c r="K951" s="35">
        <f>IFERROR(VLOOKUP(VENTAS[[#This Row],[Código del producto Vendido]],STOCK[],16,FALSE)*VENTAS[[#This Row],[Cantidad]]+VLOOKUP(VENTAS[[#This Row],[Código del producto Vendido]],STOCK[],19,FALSE)*VENTAS[[#This Row],[Cantidad]],VENTAS[[#This Row],[Total]])</f>
        <v>7.05</v>
      </c>
      <c r="L951" s="35">
        <f>VENTAS[[#This Row],[Total]]-VENTAS[[#This Row],[Comisión 10%]]-VENTAS[[#This Row],[Costo SIN Comision]]</f>
        <v>22.95</v>
      </c>
      <c r="M951" s="35"/>
    </row>
    <row r="952" ht="20" customHeight="1" spans="1:13">
      <c r="A952" s="29">
        <v>45446</v>
      </c>
      <c r="B952" s="30"/>
      <c r="C952" s="30" t="s">
        <v>3319</v>
      </c>
      <c r="D952" s="30"/>
      <c r="E952" s="30" t="s">
        <v>2158</v>
      </c>
      <c r="F952" s="34" t="str">
        <f>IFERROR(VLOOKUP(VENTAS[[#This Row],[Código del producto Vendido]],STOCK[],5,FALSE),"-")</f>
        <v>Set de bikini estampado de flor de 3 piezas de cintura alta</v>
      </c>
      <c r="G952" s="34">
        <v>1</v>
      </c>
      <c r="H952" s="35">
        <v>25</v>
      </c>
      <c r="I952" s="35">
        <f>VENTAS[[#This Row],[Cantidad]]*VENTAS[[#This Row],[Precio Venta]]</f>
        <v>25</v>
      </c>
      <c r="J952" s="35">
        <f>IF(VENTAS[[#This Row],[Nombre del Gestor]]&gt;1,VENTAS[[#This Row],[Total]]*10%,0)</f>
        <v>0</v>
      </c>
      <c r="K952" s="35">
        <f>IFERROR(VLOOKUP(VENTAS[[#This Row],[Código del producto Vendido]],STOCK[],16,FALSE)*VENTAS[[#This Row],[Cantidad]]+VLOOKUP(VENTAS[[#This Row],[Código del producto Vendido]],STOCK[],19,FALSE)*VENTAS[[#This Row],[Cantidad]],VENTAS[[#This Row],[Total]])</f>
        <v>10.43</v>
      </c>
      <c r="L952" s="35">
        <f>VENTAS[[#This Row],[Total]]-VENTAS[[#This Row],[Comisión 10%]]-VENTAS[[#This Row],[Costo SIN Comision]]</f>
        <v>14.57</v>
      </c>
      <c r="M952" s="35"/>
    </row>
    <row r="953" ht="20" customHeight="1" spans="1:13">
      <c r="A953" s="29">
        <v>45446</v>
      </c>
      <c r="B953" s="30"/>
      <c r="C953" s="30"/>
      <c r="D953" s="30" t="s">
        <v>3478</v>
      </c>
      <c r="E953" s="30" t="s">
        <v>2231</v>
      </c>
      <c r="F953" s="34" t="str">
        <f>IFERROR(VLOOKUP(VENTAS[[#This Row],[Código del producto Vendido]],STOCK[],5,FALSE),"-")</f>
        <v>Vestido blanco espalda cruzada</v>
      </c>
      <c r="G953" s="34">
        <v>2</v>
      </c>
      <c r="H953" s="35">
        <v>25</v>
      </c>
      <c r="I953" s="35">
        <f>VENTAS[[#This Row],[Cantidad]]*VENTAS[[#This Row],[Precio Venta]]</f>
        <v>50</v>
      </c>
      <c r="J953" s="35">
        <f>IF(VENTAS[[#This Row],[Nombre del Gestor]]&gt;1,VENTAS[[#This Row],[Total]]*10%,0)</f>
        <v>5</v>
      </c>
      <c r="K953" s="35">
        <f>IFERROR(VLOOKUP(VENTAS[[#This Row],[Código del producto Vendido]],STOCK[],16,FALSE)*VENTAS[[#This Row],[Cantidad]]+VLOOKUP(VENTAS[[#This Row],[Código del producto Vendido]],STOCK[],19,FALSE)*VENTAS[[#This Row],[Cantidad]],VENTAS[[#This Row],[Total]])</f>
        <v>24.38</v>
      </c>
      <c r="L953" s="35">
        <f>VENTAS[[#This Row],[Total]]-VENTAS[[#This Row],[Comisión 10%]]-VENTAS[[#This Row],[Costo SIN Comision]]</f>
        <v>20.62</v>
      </c>
      <c r="M953" s="35"/>
    </row>
    <row r="954" ht="20" customHeight="1" spans="1:13">
      <c r="A954" s="29">
        <v>45446</v>
      </c>
      <c r="B954" s="30"/>
      <c r="C954" s="30"/>
      <c r="D954" s="30" t="s">
        <v>3478</v>
      </c>
      <c r="E954" s="30" t="s">
        <v>1257</v>
      </c>
      <c r="F954" s="34" t="str">
        <f>IFERROR(VLOOKUP(VENTAS[[#This Row],[Código del producto Vendido]],STOCK[],5,FALSE),"-")</f>
        <v>Maxi vestido de espalda cruzada</v>
      </c>
      <c r="G954" s="34">
        <v>1</v>
      </c>
      <c r="H954" s="35">
        <v>35</v>
      </c>
      <c r="I954" s="35">
        <f>VENTAS[[#This Row],[Cantidad]]*VENTAS[[#This Row],[Precio Venta]]</f>
        <v>35</v>
      </c>
      <c r="J954" s="35">
        <f>IF(VENTAS[[#This Row],[Nombre del Gestor]]&gt;1,VENTAS[[#This Row],[Total]]*10%,0)</f>
        <v>3.5</v>
      </c>
      <c r="K954" s="35">
        <f>IFERROR(VLOOKUP(VENTAS[[#This Row],[Código del producto Vendido]],STOCK[],16,FALSE)*VENTAS[[#This Row],[Cantidad]]+VLOOKUP(VENTAS[[#This Row],[Código del producto Vendido]],STOCK[],19,FALSE)*VENTAS[[#This Row],[Cantidad]],VENTAS[[#This Row],[Total]])</f>
        <v>23.95</v>
      </c>
      <c r="L954" s="35">
        <f>VENTAS[[#This Row],[Total]]-VENTAS[[#This Row],[Comisión 10%]]-VENTAS[[#This Row],[Costo SIN Comision]]</f>
        <v>7.55</v>
      </c>
      <c r="M954" s="35"/>
    </row>
    <row r="955" ht="20" customHeight="1" spans="1:13">
      <c r="A955" s="29">
        <v>45447</v>
      </c>
      <c r="B955" s="30"/>
      <c r="C955" s="30"/>
      <c r="D955" s="30" t="s">
        <v>3478</v>
      </c>
      <c r="E955" s="30" t="s">
        <v>2119</v>
      </c>
      <c r="F955" s="34" t="str">
        <f>IFERROR(VLOOKUP(VENTAS[[#This Row],[Código del producto Vendido]],STOCK[],5,FALSE),"-")</f>
        <v>Vestido Estampado floral de moda</v>
      </c>
      <c r="G955" s="34">
        <v>1</v>
      </c>
      <c r="H955" s="35">
        <v>25</v>
      </c>
      <c r="I955" s="35">
        <f>VENTAS[[#This Row],[Cantidad]]*VENTAS[[#This Row],[Precio Venta]]</f>
        <v>25</v>
      </c>
      <c r="J955" s="35">
        <f>IF(VENTAS[[#This Row],[Nombre del Gestor]]&gt;1,VENTAS[[#This Row],[Total]]*10%,0)</f>
        <v>2.5</v>
      </c>
      <c r="K955" s="35">
        <f>IFERROR(VLOOKUP(VENTAS[[#This Row],[Código del producto Vendido]],STOCK[],16,FALSE)*VENTAS[[#This Row],[Cantidad]]+VLOOKUP(VENTAS[[#This Row],[Código del producto Vendido]],STOCK[],19,FALSE)*VENTAS[[#This Row],[Cantidad]],VENTAS[[#This Row],[Total]])</f>
        <v>8.83</v>
      </c>
      <c r="L955" s="35">
        <f>VENTAS[[#This Row],[Total]]-VENTAS[[#This Row],[Comisión 10%]]-VENTAS[[#This Row],[Costo SIN Comision]]</f>
        <v>13.67</v>
      </c>
      <c r="M955" s="35"/>
    </row>
    <row r="956" ht="20" customHeight="1" spans="1:13">
      <c r="A956" s="29">
        <v>45448</v>
      </c>
      <c r="B956" s="30"/>
      <c r="C956" s="30"/>
      <c r="D956" s="30"/>
      <c r="E956" s="30" t="s">
        <v>2228</v>
      </c>
      <c r="F956" s="34" t="str">
        <f>IFERROR(VLOOKUP(VENTAS[[#This Row],[Código del producto Vendido]],STOCK[],5,FALSE),"-")</f>
        <v>Vestido negro espalda cruzada</v>
      </c>
      <c r="G956" s="34">
        <v>1</v>
      </c>
      <c r="H956" s="35">
        <v>25</v>
      </c>
      <c r="I956" s="35">
        <f>VENTAS[[#This Row],[Cantidad]]*VENTAS[[#This Row],[Precio Venta]]</f>
        <v>25</v>
      </c>
      <c r="J956" s="35">
        <f>IF(VENTAS[[#This Row],[Nombre del Gestor]]&gt;1,VENTAS[[#This Row],[Total]]*10%,0)</f>
        <v>0</v>
      </c>
      <c r="K956" s="35">
        <f>IFERROR(VLOOKUP(VENTAS[[#This Row],[Código del producto Vendido]],STOCK[],16,FALSE)*VENTAS[[#This Row],[Cantidad]]+VLOOKUP(VENTAS[[#This Row],[Código del producto Vendido]],STOCK[],19,FALSE)*VENTAS[[#This Row],[Cantidad]],VENTAS[[#This Row],[Total]])</f>
        <v>12.19</v>
      </c>
      <c r="L956" s="35">
        <f>VENTAS[[#This Row],[Total]]-VENTAS[[#This Row],[Comisión 10%]]-VENTAS[[#This Row],[Costo SIN Comision]]</f>
        <v>12.81</v>
      </c>
      <c r="M956" s="35"/>
    </row>
    <row r="957" ht="20" customHeight="1" spans="1:13">
      <c r="A957" s="29">
        <v>45448</v>
      </c>
      <c r="B957" s="30"/>
      <c r="C957" s="30"/>
      <c r="D957" s="30" t="s">
        <v>3478</v>
      </c>
      <c r="E957" s="30" t="s">
        <v>1884</v>
      </c>
      <c r="F957" s="34" t="str">
        <f>IFERROR(VLOOKUP(VENTAS[[#This Row],[Código del producto Vendido]],STOCK[],5,FALSE),"-")</f>
        <v>Vestido Camisero de Rayas</v>
      </c>
      <c r="G957" s="34">
        <v>1</v>
      </c>
      <c r="H957" s="35">
        <v>35</v>
      </c>
      <c r="I957" s="35">
        <f>VENTAS[[#This Row],[Cantidad]]*VENTAS[[#This Row],[Precio Venta]]</f>
        <v>35</v>
      </c>
      <c r="J957" s="35">
        <f>IF(VENTAS[[#This Row],[Nombre del Gestor]]&gt;1,VENTAS[[#This Row],[Total]]*10%,0)</f>
        <v>3.5</v>
      </c>
      <c r="K957" s="35">
        <f>IFERROR(VLOOKUP(VENTAS[[#This Row],[Código del producto Vendido]],STOCK[],16,FALSE)*VENTAS[[#This Row],[Cantidad]]+VLOOKUP(VENTAS[[#This Row],[Código del producto Vendido]],STOCK[],19,FALSE)*VENTAS[[#This Row],[Cantidad]],VENTAS[[#This Row],[Total]])</f>
        <v>23.67</v>
      </c>
      <c r="L957" s="35">
        <f>VENTAS[[#This Row],[Total]]-VENTAS[[#This Row],[Comisión 10%]]-VENTAS[[#This Row],[Costo SIN Comision]]</f>
        <v>7.83</v>
      </c>
      <c r="M957" s="35"/>
    </row>
    <row r="958" ht="20" customHeight="1" spans="1:13">
      <c r="A958" s="29">
        <v>45448</v>
      </c>
      <c r="B958" s="30"/>
      <c r="C958" s="30"/>
      <c r="D958" s="30" t="s">
        <v>3478</v>
      </c>
      <c r="E958" s="30" t="s">
        <v>281</v>
      </c>
      <c r="F958" s="34" t="str">
        <f>IFERROR(VLOOKUP(VENTAS[[#This Row],[Código del producto Vendido]],STOCK[],5,FALSE),"-")</f>
        <v>Conjunto cuadros</v>
      </c>
      <c r="G958" s="34">
        <v>1</v>
      </c>
      <c r="H958" s="35">
        <v>20</v>
      </c>
      <c r="I958" s="35">
        <f>VENTAS[[#This Row],[Cantidad]]*VENTAS[[#This Row],[Precio Venta]]</f>
        <v>20</v>
      </c>
      <c r="J958" s="35">
        <f>IF(VENTAS[[#This Row],[Nombre del Gestor]]&gt;1,VENTAS[[#This Row],[Total]]*10%,0)</f>
        <v>2</v>
      </c>
      <c r="K958" s="35">
        <f>IFERROR(VLOOKUP(VENTAS[[#This Row],[Código del producto Vendido]],STOCK[],16,FALSE)*VENTAS[[#This Row],[Cantidad]]+VLOOKUP(VENTAS[[#This Row],[Código del producto Vendido]],STOCK[],19,FALSE)*VENTAS[[#This Row],[Cantidad]],VENTAS[[#This Row],[Total]])</f>
        <v>12.2022222222222</v>
      </c>
      <c r="L958" s="35">
        <f>VENTAS[[#This Row],[Total]]-VENTAS[[#This Row],[Comisión 10%]]-VENTAS[[#This Row],[Costo SIN Comision]]</f>
        <v>5.79777777777778</v>
      </c>
      <c r="M958" s="35"/>
    </row>
    <row r="959" ht="20" customHeight="1" spans="1:13">
      <c r="A959" s="29">
        <v>45449</v>
      </c>
      <c r="B959" s="30"/>
      <c r="C959" s="30"/>
      <c r="D959" s="30" t="s">
        <v>3503</v>
      </c>
      <c r="E959" s="30" t="s">
        <v>1626</v>
      </c>
      <c r="F959" s="34" t="str">
        <f>IFERROR(VLOOKUP(VENTAS[[#This Row],[Código del producto Vendido]],STOCK[],5,FALSE),"-")</f>
        <v>Vestido Burdeos </v>
      </c>
      <c r="G959" s="34">
        <v>1</v>
      </c>
      <c r="H959" s="35">
        <v>30</v>
      </c>
      <c r="I959" s="35">
        <f>VENTAS[[#This Row],[Cantidad]]*VENTAS[[#This Row],[Precio Venta]]</f>
        <v>30</v>
      </c>
      <c r="J959" s="35">
        <f>IF(VENTAS[[#This Row],[Nombre del Gestor]]&gt;1,VENTAS[[#This Row],[Total]]*10%,0)</f>
        <v>3</v>
      </c>
      <c r="K959" s="35">
        <f>IFERROR(VLOOKUP(VENTAS[[#This Row],[Código del producto Vendido]],STOCK[],16,FALSE)*VENTAS[[#This Row],[Cantidad]]+VLOOKUP(VENTAS[[#This Row],[Código del producto Vendido]],STOCK[],19,FALSE)*VENTAS[[#This Row],[Cantidad]],VENTAS[[#This Row],[Total]])</f>
        <v>14.33</v>
      </c>
      <c r="L959" s="35">
        <f>VENTAS[[#This Row],[Total]]-VENTAS[[#This Row],[Comisión 10%]]-VENTAS[[#This Row],[Costo SIN Comision]]</f>
        <v>12.67</v>
      </c>
      <c r="M959" s="35"/>
    </row>
    <row r="960" ht="20" customHeight="1" spans="1:13">
      <c r="A960" s="29">
        <v>45450</v>
      </c>
      <c r="B960" s="30"/>
      <c r="C960" s="30" t="s">
        <v>3504</v>
      </c>
      <c r="D960" s="30"/>
      <c r="E960" s="30" t="s">
        <v>1878</v>
      </c>
      <c r="F960" s="34" t="str">
        <f>IFERROR(VLOOKUP(VENTAS[[#This Row],[Código del producto Vendido]],STOCK[],5,FALSE),"-")</f>
        <v>Bolso Vintage Marrón</v>
      </c>
      <c r="G960" s="34">
        <v>1</v>
      </c>
      <c r="H960" s="35">
        <v>35</v>
      </c>
      <c r="I960" s="35">
        <f>VENTAS[[#This Row],[Cantidad]]*VENTAS[[#This Row],[Precio Venta]]</f>
        <v>35</v>
      </c>
      <c r="J960" s="35">
        <f>IF(VENTAS[[#This Row],[Nombre del Gestor]]&gt;1,VENTAS[[#This Row],[Total]]*10%,0)</f>
        <v>0</v>
      </c>
      <c r="K960" s="35">
        <f>IFERROR(VLOOKUP(VENTAS[[#This Row],[Código del producto Vendido]],STOCK[],16,FALSE)*VENTAS[[#This Row],[Cantidad]]+VLOOKUP(VENTAS[[#This Row],[Código del producto Vendido]],STOCK[],19,FALSE)*VENTAS[[#This Row],[Cantidad]],VENTAS[[#This Row],[Total]])</f>
        <v>22.98</v>
      </c>
      <c r="L960" s="35">
        <f>VENTAS[[#This Row],[Total]]-VENTAS[[#This Row],[Comisión 10%]]-VENTAS[[#This Row],[Costo SIN Comision]]</f>
        <v>12.02</v>
      </c>
      <c r="M960" s="35"/>
    </row>
    <row r="961" ht="20" customHeight="1" spans="1:13">
      <c r="A961" s="29">
        <v>45451</v>
      </c>
      <c r="B961" s="30"/>
      <c r="C961" s="30"/>
      <c r="D961" s="30" t="s">
        <v>3478</v>
      </c>
      <c r="E961" s="30" t="s">
        <v>2170</v>
      </c>
      <c r="F961" s="34" t="str">
        <f>IFERROR(VLOOKUP(VENTAS[[#This Row],[Código del producto Vendido]],STOCK[],5,FALSE),"-")</f>
        <v>Bañador clásico cuello V</v>
      </c>
      <c r="G961" s="34">
        <v>2</v>
      </c>
      <c r="H961" s="35">
        <v>18</v>
      </c>
      <c r="I961" s="35">
        <f>VENTAS[[#This Row],[Cantidad]]*VENTAS[[#This Row],[Precio Venta]]</f>
        <v>36</v>
      </c>
      <c r="J961" s="35">
        <f>IF(VENTAS[[#This Row],[Nombre del Gestor]]&gt;1,VENTAS[[#This Row],[Total]]*10%,0)</f>
        <v>3.6</v>
      </c>
      <c r="K961" s="35">
        <f>IFERROR(VLOOKUP(VENTAS[[#This Row],[Código del producto Vendido]],STOCK[],16,FALSE)*VENTAS[[#This Row],[Cantidad]]+VLOOKUP(VENTAS[[#This Row],[Código del producto Vendido]],STOCK[],19,FALSE)*VENTAS[[#This Row],[Cantidad]],VENTAS[[#This Row],[Total]])</f>
        <v>12.22</v>
      </c>
      <c r="L961" s="35">
        <f>VENTAS[[#This Row],[Total]]-VENTAS[[#This Row],[Comisión 10%]]-VENTAS[[#This Row],[Costo SIN Comision]]</f>
        <v>20.18</v>
      </c>
      <c r="M961" s="35"/>
    </row>
    <row r="962" ht="20" customHeight="1" spans="1:13">
      <c r="A962" s="29">
        <v>45452</v>
      </c>
      <c r="B962" s="30"/>
      <c r="C962" s="30"/>
      <c r="D962" s="30"/>
      <c r="E962" s="30" t="s">
        <v>2167</v>
      </c>
      <c r="F962" s="34" t="str">
        <f>IFERROR(VLOOKUP(VENTAS[[#This Row],[Código del producto Vendido]],STOCK[],5,FALSE),"-")</f>
        <v>Bañador clásico cuello V</v>
      </c>
      <c r="G962" s="34">
        <v>1</v>
      </c>
      <c r="H962" s="35">
        <v>18</v>
      </c>
      <c r="I962" s="35">
        <f>VENTAS[[#This Row],[Cantidad]]*VENTAS[[#This Row],[Precio Venta]]</f>
        <v>18</v>
      </c>
      <c r="J962" s="35">
        <f>IF(VENTAS[[#This Row],[Nombre del Gestor]]&gt;1,VENTAS[[#This Row],[Total]]*10%,0)</f>
        <v>0</v>
      </c>
      <c r="K962" s="35">
        <f>IFERROR(VLOOKUP(VENTAS[[#This Row],[Código del producto Vendido]],STOCK[],16,FALSE)*VENTAS[[#This Row],[Cantidad]]+VLOOKUP(VENTAS[[#This Row],[Código del producto Vendido]],STOCK[],19,FALSE)*VENTAS[[#This Row],[Cantidad]],VENTAS[[#This Row],[Total]])</f>
        <v>6.11</v>
      </c>
      <c r="L962" s="35">
        <f>VENTAS[[#This Row],[Total]]-VENTAS[[#This Row],[Comisión 10%]]-VENTAS[[#This Row],[Costo SIN Comision]]</f>
        <v>11.89</v>
      </c>
      <c r="M962" s="35"/>
    </row>
    <row r="963" ht="20" customHeight="1" spans="1:13">
      <c r="A963" s="29">
        <v>45453</v>
      </c>
      <c r="B963" s="30"/>
      <c r="C963" s="30" t="s">
        <v>3504</v>
      </c>
      <c r="D963" s="30"/>
      <c r="E963" s="30" t="s">
        <v>2163</v>
      </c>
      <c r="F963" s="34" t="str">
        <f>IFERROR(VLOOKUP(VENTAS[[#This Row],[Código del producto Vendido]],STOCK[],5,FALSE),"-")</f>
        <v>Bañador en color sólido sexy-elegante </v>
      </c>
      <c r="G963" s="34">
        <v>1</v>
      </c>
      <c r="H963" s="35">
        <v>20</v>
      </c>
      <c r="I963" s="35">
        <f>VENTAS[[#This Row],[Cantidad]]*VENTAS[[#This Row],[Precio Venta]]</f>
        <v>20</v>
      </c>
      <c r="J963" s="35">
        <f>IF(VENTAS[[#This Row],[Nombre del Gestor]]&gt;1,VENTAS[[#This Row],[Total]]*10%,0)</f>
        <v>0</v>
      </c>
      <c r="K963" s="35">
        <f>IFERROR(VLOOKUP(VENTAS[[#This Row],[Código del producto Vendido]],STOCK[],16,FALSE)*VENTAS[[#This Row],[Cantidad]]+VLOOKUP(VENTAS[[#This Row],[Código del producto Vendido]],STOCK[],19,FALSE)*VENTAS[[#This Row],[Cantidad]],VENTAS[[#This Row],[Total]])</f>
        <v>8.24</v>
      </c>
      <c r="L963" s="35">
        <f>VENTAS[[#This Row],[Total]]-VENTAS[[#This Row],[Comisión 10%]]-VENTAS[[#This Row],[Costo SIN Comision]]</f>
        <v>11.76</v>
      </c>
      <c r="M963" s="35"/>
    </row>
    <row r="964" ht="20" customHeight="1" spans="1:13">
      <c r="A964" s="29">
        <v>45454</v>
      </c>
      <c r="B964" s="30"/>
      <c r="C964" s="30" t="s">
        <v>3505</v>
      </c>
      <c r="D964" s="30"/>
      <c r="E964" s="30" t="s">
        <v>2198</v>
      </c>
      <c r="F964" s="34" t="str">
        <f>IFERROR(VLOOKUP(VENTAS[[#This Row],[Código del producto Vendido]],STOCK[],5,FALSE),"-")</f>
        <v>Set de bikini floral con aro</v>
      </c>
      <c r="G964" s="34">
        <v>1</v>
      </c>
      <c r="H964" s="35">
        <v>0</v>
      </c>
      <c r="I964" s="35">
        <f>VENTAS[[#This Row],[Cantidad]]*VENTAS[[#This Row],[Precio Venta]]</f>
        <v>0</v>
      </c>
      <c r="J964" s="35">
        <f>IF(VENTAS[[#This Row],[Nombre del Gestor]]&gt;1,VENTAS[[#This Row],[Total]]*10%,0)</f>
        <v>0</v>
      </c>
      <c r="K964" s="35">
        <f>IFERROR(VLOOKUP(VENTAS[[#This Row],[Código del producto Vendido]],STOCK[],16,FALSE)*VENTAS[[#This Row],[Cantidad]]+VLOOKUP(VENTAS[[#This Row],[Código del producto Vendido]],STOCK[],19,FALSE)*VENTAS[[#This Row],[Cantidad]],VENTAS[[#This Row],[Total]])</f>
        <v>8.38</v>
      </c>
      <c r="L964" s="35">
        <f>VENTAS[[#This Row],[Total]]-VENTAS[[#This Row],[Comisión 10%]]-VENTAS[[#This Row],[Costo SIN Comision]]</f>
        <v>-8.38</v>
      </c>
      <c r="M964" s="35"/>
    </row>
    <row r="965" ht="20" customHeight="1" spans="1:13">
      <c r="A965" s="29">
        <v>45455</v>
      </c>
      <c r="B965" s="30"/>
      <c r="C965" s="30" t="s">
        <v>3339</v>
      </c>
      <c r="D965" s="30"/>
      <c r="E965" s="30" t="s">
        <v>2212</v>
      </c>
      <c r="F965" s="34" t="str">
        <f>IFERROR(VLOOKUP(VENTAS[[#This Row],[Código del producto Vendido]],STOCK[],5,FALSE),"-")</f>
        <v>Bolso chic estilo verano</v>
      </c>
      <c r="G965" s="34">
        <v>1</v>
      </c>
      <c r="H965" s="35">
        <v>18</v>
      </c>
      <c r="I965" s="35">
        <f>VENTAS[[#This Row],[Cantidad]]*VENTAS[[#This Row],[Precio Venta]]</f>
        <v>18</v>
      </c>
      <c r="J965" s="35">
        <f>IF(VENTAS[[#This Row],[Nombre del Gestor]]&gt;1,VENTAS[[#This Row],[Total]]*10%,0)</f>
        <v>0</v>
      </c>
      <c r="K965" s="35">
        <f>IFERROR(VLOOKUP(VENTAS[[#This Row],[Código del producto Vendido]],STOCK[],16,FALSE)*VENTAS[[#This Row],[Cantidad]]+VLOOKUP(VENTAS[[#This Row],[Código del producto Vendido]],STOCK[],19,FALSE)*VENTAS[[#This Row],[Cantidad]],VENTAS[[#This Row],[Total]])</f>
        <v>7.11</v>
      </c>
      <c r="L965" s="35">
        <f>VENTAS[[#This Row],[Total]]-VENTAS[[#This Row],[Comisión 10%]]-VENTAS[[#This Row],[Costo SIN Comision]]</f>
        <v>10.89</v>
      </c>
      <c r="M965" s="35"/>
    </row>
    <row r="966" ht="20" customHeight="1" spans="1:13">
      <c r="A966" s="29">
        <v>45456</v>
      </c>
      <c r="B966" s="30"/>
      <c r="C966" s="30"/>
      <c r="D966" s="30" t="s">
        <v>3478</v>
      </c>
      <c r="E966" s="30" t="s">
        <v>2225</v>
      </c>
      <c r="F966" s="34" t="str">
        <f>IFERROR(VLOOKUP(VENTAS[[#This Row],[Código del producto Vendido]],STOCK[],5,FALSE),"-")</f>
        <v>Estiloso sombrero de protección solar playero</v>
      </c>
      <c r="G966" s="34">
        <v>2</v>
      </c>
      <c r="H966" s="35">
        <v>15</v>
      </c>
      <c r="I966" s="35">
        <f>VENTAS[[#This Row],[Cantidad]]*VENTAS[[#This Row],[Precio Venta]]</f>
        <v>30</v>
      </c>
      <c r="J966" s="35">
        <f>IF(VENTAS[[#This Row],[Nombre del Gestor]]&gt;1,VENTAS[[#This Row],[Total]]*10%,0)</f>
        <v>3</v>
      </c>
      <c r="K966" s="35">
        <f>IFERROR(VLOOKUP(VENTAS[[#This Row],[Código del producto Vendido]],STOCK[],16,FALSE)*VENTAS[[#This Row],[Cantidad]]+VLOOKUP(VENTAS[[#This Row],[Código del producto Vendido]],STOCK[],19,FALSE)*VENTAS[[#This Row],[Cantidad]],VENTAS[[#This Row],[Total]])</f>
        <v>6.56</v>
      </c>
      <c r="L966" s="35">
        <f>VENTAS[[#This Row],[Total]]-VENTAS[[#This Row],[Comisión 10%]]-VENTAS[[#This Row],[Costo SIN Comision]]</f>
        <v>20.44</v>
      </c>
      <c r="M966" s="35"/>
    </row>
    <row r="967" ht="20" customHeight="1" spans="1:13">
      <c r="A967" s="29">
        <v>45457</v>
      </c>
      <c r="B967" s="30"/>
      <c r="C967" s="30" t="s">
        <v>3504</v>
      </c>
      <c r="D967" s="30"/>
      <c r="E967" s="30" t="s">
        <v>2212</v>
      </c>
      <c r="F967" s="34" t="str">
        <f>IFERROR(VLOOKUP(VENTAS[[#This Row],[Código del producto Vendido]],STOCK[],5,FALSE),"-")</f>
        <v>Bolso chic estilo verano</v>
      </c>
      <c r="G967" s="34">
        <v>1</v>
      </c>
      <c r="H967" s="35">
        <v>18</v>
      </c>
      <c r="I967" s="35">
        <f>VENTAS[[#This Row],[Cantidad]]*VENTAS[[#This Row],[Precio Venta]]</f>
        <v>18</v>
      </c>
      <c r="J967" s="35">
        <f>IF(VENTAS[[#This Row],[Nombre del Gestor]]&gt;1,VENTAS[[#This Row],[Total]]*10%,0)</f>
        <v>0</v>
      </c>
      <c r="K967" s="35">
        <f>IFERROR(VLOOKUP(VENTAS[[#This Row],[Código del producto Vendido]],STOCK[],16,FALSE)*VENTAS[[#This Row],[Cantidad]]+VLOOKUP(VENTAS[[#This Row],[Código del producto Vendido]],STOCK[],19,FALSE)*VENTAS[[#This Row],[Cantidad]],VENTAS[[#This Row],[Total]])</f>
        <v>7.11</v>
      </c>
      <c r="L967" s="35">
        <f>VENTAS[[#This Row],[Total]]-VENTAS[[#This Row],[Comisión 10%]]-VENTAS[[#This Row],[Costo SIN Comision]]</f>
        <v>10.89</v>
      </c>
      <c r="M967" s="35"/>
    </row>
    <row r="968" ht="20" customHeight="1" spans="1:13">
      <c r="A968" s="29">
        <v>45458</v>
      </c>
      <c r="B968" s="30"/>
      <c r="C968" s="30" t="s">
        <v>3506</v>
      </c>
      <c r="D968" s="30"/>
      <c r="E968" s="30" t="s">
        <v>2291</v>
      </c>
      <c r="F968" s="34" t="str">
        <f>IFERROR(VLOOKUP(VENTAS[[#This Row],[Código del producto Vendido]],STOCK[],5,FALSE),"-")</f>
        <v>Set de bikini Vacaciones en bloque de color</v>
      </c>
      <c r="G968" s="34">
        <v>1</v>
      </c>
      <c r="H968" s="35">
        <v>0</v>
      </c>
      <c r="I968" s="35">
        <f>VENTAS[[#This Row],[Cantidad]]*VENTAS[[#This Row],[Precio Venta]]</f>
        <v>0</v>
      </c>
      <c r="J968" s="35">
        <f>IF(VENTAS[[#This Row],[Nombre del Gestor]]&gt;1,VENTAS[[#This Row],[Total]]*10%,0)</f>
        <v>0</v>
      </c>
      <c r="K968" s="35">
        <f>IFERROR(VLOOKUP(VENTAS[[#This Row],[Código del producto Vendido]],STOCK[],16,FALSE)*VENTAS[[#This Row],[Cantidad]]+VLOOKUP(VENTAS[[#This Row],[Código del producto Vendido]],STOCK[],19,FALSE)*VENTAS[[#This Row],[Cantidad]],VENTAS[[#This Row],[Total]])</f>
        <v>11.38</v>
      </c>
      <c r="L968" s="35">
        <f>VENTAS[[#This Row],[Total]]-VENTAS[[#This Row],[Comisión 10%]]-VENTAS[[#This Row],[Costo SIN Comision]]</f>
        <v>-11.38</v>
      </c>
      <c r="M968" s="35"/>
    </row>
    <row r="969" ht="20" customHeight="1" spans="1:13">
      <c r="A969" s="29">
        <v>45459</v>
      </c>
      <c r="B969" s="30"/>
      <c r="C969" s="30"/>
      <c r="D969" s="30" t="s">
        <v>3459</v>
      </c>
      <c r="E969" s="30" t="s">
        <v>1624</v>
      </c>
      <c r="F969" s="34" t="str">
        <f>IFERROR(VLOOKUP(VENTAS[[#This Row],[Código del producto Vendido]],STOCK[],5,FALSE),"-")</f>
        <v>Vestido Tarsha</v>
      </c>
      <c r="G969" s="34">
        <v>1</v>
      </c>
      <c r="H969" s="35">
        <v>27</v>
      </c>
      <c r="I969" s="35">
        <f>VENTAS[[#This Row],[Cantidad]]*VENTAS[[#This Row],[Precio Venta]]</f>
        <v>27</v>
      </c>
      <c r="J969" s="35">
        <f>IF(VENTAS[[#This Row],[Nombre del Gestor]]&gt;1,VENTAS[[#This Row],[Total]]*10%,0)</f>
        <v>2.7</v>
      </c>
      <c r="K969" s="35">
        <f>IFERROR(VLOOKUP(VENTAS[[#This Row],[Código del producto Vendido]],STOCK[],16,FALSE)*VENTAS[[#This Row],[Cantidad]]+VLOOKUP(VENTAS[[#This Row],[Código del producto Vendido]],STOCK[],19,FALSE)*VENTAS[[#This Row],[Cantidad]],VENTAS[[#This Row],[Total]])</f>
        <v>13.97</v>
      </c>
      <c r="L969" s="35">
        <f>VENTAS[[#This Row],[Total]]-VENTAS[[#This Row],[Comisión 10%]]-VENTAS[[#This Row],[Costo SIN Comision]]</f>
        <v>10.33</v>
      </c>
      <c r="M969" s="35"/>
    </row>
    <row r="970" ht="20" customHeight="1" spans="1:13">
      <c r="A970" s="29">
        <v>45460</v>
      </c>
      <c r="B970" s="30"/>
      <c r="C970" s="30"/>
      <c r="D970" s="30" t="s">
        <v>3507</v>
      </c>
      <c r="E970" s="30" t="s">
        <v>525</v>
      </c>
      <c r="F970" s="34" t="str">
        <f>IFERROR(VLOOKUP(VENTAS[[#This Row],[Código del producto Vendido]],STOCK[],5,FALSE),"-")</f>
        <v>Alisador</v>
      </c>
      <c r="G970" s="34">
        <v>1</v>
      </c>
      <c r="H970" s="35">
        <v>30</v>
      </c>
      <c r="I970" s="35">
        <f>VENTAS[[#This Row],[Cantidad]]*VENTAS[[#This Row],[Precio Venta]]</f>
        <v>30</v>
      </c>
      <c r="J970" s="35">
        <f>IF(VENTAS[[#This Row],[Nombre del Gestor]]&gt;1,VENTAS[[#This Row],[Total]]*10%,0)</f>
        <v>3</v>
      </c>
      <c r="K970" s="35">
        <f>IFERROR(VLOOKUP(VENTAS[[#This Row],[Código del producto Vendido]],STOCK[],16,FALSE)*VENTAS[[#This Row],[Cantidad]]+VLOOKUP(VENTAS[[#This Row],[Código del producto Vendido]],STOCK[],19,FALSE)*VENTAS[[#This Row],[Cantidad]],VENTAS[[#This Row],[Total]])</f>
        <v>16.7177777777778</v>
      </c>
      <c r="L970" s="35">
        <f>VENTAS[[#This Row],[Total]]-VENTAS[[#This Row],[Comisión 10%]]-VENTAS[[#This Row],[Costo SIN Comision]]</f>
        <v>10.2822222222222</v>
      </c>
      <c r="M970" s="35"/>
    </row>
    <row r="971" ht="20" customHeight="1" spans="1:13">
      <c r="A971" s="29">
        <v>45461</v>
      </c>
      <c r="B971" s="30"/>
      <c r="C971" s="30"/>
      <c r="D971" s="30" t="s">
        <v>3478</v>
      </c>
      <c r="E971" s="30" t="s">
        <v>2237</v>
      </c>
      <c r="F971" s="34" t="str">
        <f>IFERROR(VLOOKUP(VENTAS[[#This Row],[Código del producto Vendido]],STOCK[],5,FALSE),"-")</f>
        <v>Bolso bohemio redondo de gran capacidad</v>
      </c>
      <c r="G971" s="34">
        <v>4</v>
      </c>
      <c r="H971" s="35">
        <v>25</v>
      </c>
      <c r="I971" s="35">
        <f>VENTAS[[#This Row],[Cantidad]]*VENTAS[[#This Row],[Precio Venta]]</f>
        <v>100</v>
      </c>
      <c r="J971" s="35">
        <f>IF(VENTAS[[#This Row],[Nombre del Gestor]]&gt;1,VENTAS[[#This Row],[Total]]*10%,0)</f>
        <v>10</v>
      </c>
      <c r="K971" s="35">
        <f>IFERROR(VLOOKUP(VENTAS[[#This Row],[Código del producto Vendido]],STOCK[],16,FALSE)*VENTAS[[#This Row],[Cantidad]]+VLOOKUP(VENTAS[[#This Row],[Código del producto Vendido]],STOCK[],19,FALSE)*VENTAS[[#This Row],[Cantidad]],VENTAS[[#This Row],[Total]])</f>
        <v>44.36</v>
      </c>
      <c r="L971" s="35">
        <f>VENTAS[[#This Row],[Total]]-VENTAS[[#This Row],[Comisión 10%]]-VENTAS[[#This Row],[Costo SIN Comision]]</f>
        <v>45.64</v>
      </c>
      <c r="M971" s="35"/>
    </row>
    <row r="972" ht="20" customHeight="1" spans="1:13">
      <c r="A972" s="29">
        <v>45462</v>
      </c>
      <c r="B972" s="30"/>
      <c r="C972" s="30"/>
      <c r="D972" s="30" t="s">
        <v>3478</v>
      </c>
      <c r="E972" s="30" t="s">
        <v>2212</v>
      </c>
      <c r="F972" s="34" t="str">
        <f>IFERROR(VLOOKUP(VENTAS[[#This Row],[Código del producto Vendido]],STOCK[],5,FALSE),"-")</f>
        <v>Bolso chic estilo verano</v>
      </c>
      <c r="G972" s="34">
        <v>3</v>
      </c>
      <c r="H972" s="35">
        <v>18</v>
      </c>
      <c r="I972" s="35">
        <f>VENTAS[[#This Row],[Cantidad]]*VENTAS[[#This Row],[Precio Venta]]</f>
        <v>54</v>
      </c>
      <c r="J972" s="35">
        <f>IF(VENTAS[[#This Row],[Nombre del Gestor]]&gt;1,VENTAS[[#This Row],[Total]]*10%,0)</f>
        <v>5.4</v>
      </c>
      <c r="K972" s="35">
        <f>IFERROR(VLOOKUP(VENTAS[[#This Row],[Código del producto Vendido]],STOCK[],16,FALSE)*VENTAS[[#This Row],[Cantidad]]+VLOOKUP(VENTAS[[#This Row],[Código del producto Vendido]],STOCK[],19,FALSE)*VENTAS[[#This Row],[Cantidad]],VENTAS[[#This Row],[Total]])</f>
        <v>21.33</v>
      </c>
      <c r="L972" s="35">
        <f>VENTAS[[#This Row],[Total]]-VENTAS[[#This Row],[Comisión 10%]]-VENTAS[[#This Row],[Costo SIN Comision]]</f>
        <v>27.27</v>
      </c>
      <c r="M972" s="35"/>
    </row>
    <row r="973" ht="20" customHeight="1" spans="1:13">
      <c r="A973" s="29">
        <v>45463</v>
      </c>
      <c r="B973" s="30"/>
      <c r="C973" s="30"/>
      <c r="D973" s="30" t="s">
        <v>3478</v>
      </c>
      <c r="E973" s="30" t="s">
        <v>2365</v>
      </c>
      <c r="F973" s="34" t="str">
        <f>IFERROR(VLOOKUP(VENTAS[[#This Row],[Código del producto Vendido]],STOCK[],5,FALSE),"-")</f>
        <v>Sombrero de protección Verano fashionista</v>
      </c>
      <c r="G973" s="34">
        <v>1</v>
      </c>
      <c r="H973" s="35">
        <v>15</v>
      </c>
      <c r="I973" s="35">
        <f>VENTAS[[#This Row],[Cantidad]]*VENTAS[[#This Row],[Precio Venta]]</f>
        <v>15</v>
      </c>
      <c r="J973" s="35">
        <f>IF(VENTAS[[#This Row],[Nombre del Gestor]]&gt;1,VENTAS[[#This Row],[Total]]*10%,0)</f>
        <v>1.5</v>
      </c>
      <c r="K973" s="35">
        <f>IFERROR(VLOOKUP(VENTAS[[#This Row],[Código del producto Vendido]],STOCK[],16,FALSE)*VENTAS[[#This Row],[Cantidad]]+VLOOKUP(VENTAS[[#This Row],[Código del producto Vendido]],STOCK[],19,FALSE)*VENTAS[[#This Row],[Cantidad]],VENTAS[[#This Row],[Total]])</f>
        <v>8.551875</v>
      </c>
      <c r="L973" s="35">
        <f>VENTAS[[#This Row],[Total]]-VENTAS[[#This Row],[Comisión 10%]]-VENTAS[[#This Row],[Costo SIN Comision]]</f>
        <v>4.948125</v>
      </c>
      <c r="M973" s="35"/>
    </row>
    <row r="974" ht="20" customHeight="1" spans="1:13">
      <c r="A974" s="29">
        <v>45464</v>
      </c>
      <c r="B974" s="30"/>
      <c r="C974" s="30"/>
      <c r="D974" s="30" t="s">
        <v>3478</v>
      </c>
      <c r="E974" s="30" t="s">
        <v>2160</v>
      </c>
      <c r="F974" s="34" t="str">
        <f>IFERROR(VLOOKUP(VENTAS[[#This Row],[Código del producto Vendido]],STOCK[],5,FALSE),"-")</f>
        <v>Bañador en color sólido sexy-elegante </v>
      </c>
      <c r="G974" s="34">
        <v>1</v>
      </c>
      <c r="H974" s="35">
        <v>20</v>
      </c>
      <c r="I974" s="35">
        <f>VENTAS[[#This Row],[Cantidad]]*VENTAS[[#This Row],[Precio Venta]]</f>
        <v>20</v>
      </c>
      <c r="J974" s="35">
        <f>IF(VENTAS[[#This Row],[Nombre del Gestor]]&gt;1,VENTAS[[#This Row],[Total]]*10%,0)</f>
        <v>2</v>
      </c>
      <c r="K974" s="35">
        <f>IFERROR(VLOOKUP(VENTAS[[#This Row],[Código del producto Vendido]],STOCK[],16,FALSE)*VENTAS[[#This Row],[Cantidad]]+VLOOKUP(VENTAS[[#This Row],[Código del producto Vendido]],STOCK[],19,FALSE)*VENTAS[[#This Row],[Cantidad]],VENTAS[[#This Row],[Total]])</f>
        <v>8.24</v>
      </c>
      <c r="L974" s="35">
        <f>VENTAS[[#This Row],[Total]]-VENTAS[[#This Row],[Comisión 10%]]-VENTAS[[#This Row],[Costo SIN Comision]]</f>
        <v>9.76</v>
      </c>
      <c r="M974" s="35"/>
    </row>
    <row r="975" ht="20" customHeight="1" spans="1:13">
      <c r="A975" s="29">
        <v>45465</v>
      </c>
      <c r="B975" s="30"/>
      <c r="C975" s="30"/>
      <c r="D975" s="30" t="s">
        <v>3478</v>
      </c>
      <c r="E975" s="30" t="s">
        <v>2285</v>
      </c>
      <c r="F975" s="34" t="str">
        <f>IFERROR(VLOOKUP(VENTAS[[#This Row],[Código del producto Vendido]],STOCK[],5,FALSE),"-")</f>
        <v>Bolso de lona en bloque de color</v>
      </c>
      <c r="G975" s="34">
        <v>1</v>
      </c>
      <c r="H975" s="35">
        <v>12</v>
      </c>
      <c r="I975" s="35">
        <f>VENTAS[[#This Row],[Cantidad]]*VENTAS[[#This Row],[Precio Venta]]</f>
        <v>12</v>
      </c>
      <c r="J975" s="35">
        <f>IF(VENTAS[[#This Row],[Nombre del Gestor]]&gt;1,VENTAS[[#This Row],[Total]]*10%,0)</f>
        <v>1.2</v>
      </c>
      <c r="K975" s="35">
        <f>IFERROR(VLOOKUP(VENTAS[[#This Row],[Código del producto Vendido]],STOCK[],16,FALSE)*VENTAS[[#This Row],[Cantidad]]+VLOOKUP(VENTAS[[#This Row],[Código del producto Vendido]],STOCK[],19,FALSE)*VENTAS[[#This Row],[Cantidad]],VENTAS[[#This Row],[Total]])</f>
        <v>5.54</v>
      </c>
      <c r="L975" s="35">
        <f>VENTAS[[#This Row],[Total]]-VENTAS[[#This Row],[Comisión 10%]]-VENTAS[[#This Row],[Costo SIN Comision]]</f>
        <v>5.26</v>
      </c>
      <c r="M975" s="35"/>
    </row>
    <row r="976" ht="20" customHeight="1" spans="1:13">
      <c r="A976" s="29">
        <v>45466</v>
      </c>
      <c r="B976" s="30"/>
      <c r="C976" s="30"/>
      <c r="D976" s="30" t="s">
        <v>3478</v>
      </c>
      <c r="E976" s="30" t="s">
        <v>2172</v>
      </c>
      <c r="F976" s="34" t="str">
        <f>IFERROR(VLOOKUP(VENTAS[[#This Row],[Código del producto Vendido]],STOCK[],5,FALSE),"-")</f>
        <v>Bañador clásico cuello V</v>
      </c>
      <c r="G976" s="34">
        <v>1</v>
      </c>
      <c r="H976" s="35">
        <v>18</v>
      </c>
      <c r="I976" s="35">
        <f>VENTAS[[#This Row],[Cantidad]]*VENTAS[[#This Row],[Precio Venta]]</f>
        <v>18</v>
      </c>
      <c r="J976" s="35">
        <f>IF(VENTAS[[#This Row],[Nombre del Gestor]]&gt;1,VENTAS[[#This Row],[Total]]*10%,0)</f>
        <v>1.8</v>
      </c>
      <c r="K976" s="35">
        <f>IFERROR(VLOOKUP(VENTAS[[#This Row],[Código del producto Vendido]],STOCK[],16,FALSE)*VENTAS[[#This Row],[Cantidad]]+VLOOKUP(VENTAS[[#This Row],[Código del producto Vendido]],STOCK[],19,FALSE)*VENTAS[[#This Row],[Cantidad]],VENTAS[[#This Row],[Total]])</f>
        <v>6.11</v>
      </c>
      <c r="L976" s="35">
        <f>VENTAS[[#This Row],[Total]]-VENTAS[[#This Row],[Comisión 10%]]-VENTAS[[#This Row],[Costo SIN Comision]]</f>
        <v>10.09</v>
      </c>
      <c r="M976" s="35"/>
    </row>
    <row r="977" ht="20" customHeight="1" spans="1:13">
      <c r="A977" s="29">
        <v>45467</v>
      </c>
      <c r="B977" s="30"/>
      <c r="C977" s="30"/>
      <c r="D977" s="30" t="s">
        <v>3478</v>
      </c>
      <c r="E977" s="30" t="s">
        <v>1242</v>
      </c>
      <c r="F977" s="34" t="str">
        <f>IFERROR(VLOOKUP(VENTAS[[#This Row],[Código del producto Vendido]],STOCK[],5,FALSE),"-")</f>
        <v>Pantalón Corte Recto</v>
      </c>
      <c r="G977" s="34">
        <v>1</v>
      </c>
      <c r="H977" s="35">
        <v>25</v>
      </c>
      <c r="I977" s="35">
        <f>VENTAS[[#This Row],[Cantidad]]*VENTAS[[#This Row],[Precio Venta]]</f>
        <v>25</v>
      </c>
      <c r="J977" s="35">
        <f>IF(VENTAS[[#This Row],[Nombre del Gestor]]&gt;1,VENTAS[[#This Row],[Total]]*10%,0)</f>
        <v>2.5</v>
      </c>
      <c r="K977" s="35">
        <f>IFERROR(VLOOKUP(VENTAS[[#This Row],[Código del producto Vendido]],STOCK[],16,FALSE)*VENTAS[[#This Row],[Cantidad]]+VLOOKUP(VENTAS[[#This Row],[Código del producto Vendido]],STOCK[],19,FALSE)*VENTAS[[#This Row],[Cantidad]],VENTAS[[#This Row],[Total]])</f>
        <v>20.78</v>
      </c>
      <c r="L977" s="35">
        <f>VENTAS[[#This Row],[Total]]-VENTAS[[#This Row],[Comisión 10%]]-VENTAS[[#This Row],[Costo SIN Comision]]</f>
        <v>1.72</v>
      </c>
      <c r="M977" s="35"/>
    </row>
    <row r="978" ht="20" customHeight="1" spans="1:13">
      <c r="A978" s="29">
        <v>45468</v>
      </c>
      <c r="B978" s="30"/>
      <c r="C978" s="30"/>
      <c r="D978" s="30" t="s">
        <v>3508</v>
      </c>
      <c r="E978" s="30" t="s">
        <v>1610</v>
      </c>
      <c r="F978" s="34" t="str">
        <f>IFERROR(VLOOKUP(VENTAS[[#This Row],[Código del producto Vendido]],STOCK[],5,FALSE),"-")</f>
        <v>Camisa Modely</v>
      </c>
      <c r="G978" s="34">
        <v>1</v>
      </c>
      <c r="H978" s="35">
        <v>22</v>
      </c>
      <c r="I978" s="35">
        <f>VENTAS[[#This Row],[Cantidad]]*VENTAS[[#This Row],[Precio Venta]]</f>
        <v>22</v>
      </c>
      <c r="J978" s="35">
        <f>IF(VENTAS[[#This Row],[Nombre del Gestor]]&gt;1,VENTAS[[#This Row],[Total]]*10%,0)</f>
        <v>2.2</v>
      </c>
      <c r="K978" s="35">
        <f>IFERROR(VLOOKUP(VENTAS[[#This Row],[Código del producto Vendido]],STOCK[],16,FALSE)*VENTAS[[#This Row],[Cantidad]]+VLOOKUP(VENTAS[[#This Row],[Código del producto Vendido]],STOCK[],19,FALSE)*VENTAS[[#This Row],[Cantidad]],VENTAS[[#This Row],[Total]])</f>
        <v>9.74</v>
      </c>
      <c r="L978" s="35">
        <f>VENTAS[[#This Row],[Total]]-VENTAS[[#This Row],[Comisión 10%]]-VENTAS[[#This Row],[Costo SIN Comision]]</f>
        <v>10.06</v>
      </c>
      <c r="M978" s="35"/>
    </row>
    <row r="979" ht="20" customHeight="1" spans="1:13">
      <c r="A979" s="29">
        <v>45469</v>
      </c>
      <c r="B979" s="30"/>
      <c r="C979" s="30"/>
      <c r="D979" s="30" t="s">
        <v>3509</v>
      </c>
      <c r="E979" s="30" t="s">
        <v>499</v>
      </c>
      <c r="F979" s="34" t="str">
        <f>IFERROR(VLOOKUP(VENTAS[[#This Row],[Código del producto Vendido]],STOCK[],5,FALSE),"-")</f>
        <v>Vestido Bohemio</v>
      </c>
      <c r="G979" s="34">
        <v>1</v>
      </c>
      <c r="H979" s="35">
        <v>20</v>
      </c>
      <c r="I979" s="35">
        <f>VENTAS[[#This Row],[Cantidad]]*VENTAS[[#This Row],[Precio Venta]]</f>
        <v>20</v>
      </c>
      <c r="J979" s="35">
        <f>IF(VENTAS[[#This Row],[Nombre del Gestor]]&gt;1,VENTAS[[#This Row],[Total]]*10%,0)</f>
        <v>2</v>
      </c>
      <c r="K979" s="35">
        <f>IFERROR(VLOOKUP(VENTAS[[#This Row],[Código del producto Vendido]],STOCK[],16,FALSE)*VENTAS[[#This Row],[Cantidad]]+VLOOKUP(VENTAS[[#This Row],[Código del producto Vendido]],STOCK[],19,FALSE)*VENTAS[[#This Row],[Cantidad]],VENTAS[[#This Row],[Total]])</f>
        <v>9.78944444444445</v>
      </c>
      <c r="L979" s="35">
        <f>VENTAS[[#This Row],[Total]]-VENTAS[[#This Row],[Comisión 10%]]-VENTAS[[#This Row],[Costo SIN Comision]]</f>
        <v>8.21055555555555</v>
      </c>
      <c r="M979" s="35"/>
    </row>
    <row r="980" ht="20" customHeight="1" spans="1:13">
      <c r="A980" s="29">
        <v>45470</v>
      </c>
      <c r="B980" s="30"/>
      <c r="C980" s="30"/>
      <c r="D980" s="30" t="s">
        <v>3509</v>
      </c>
      <c r="E980" s="30" t="s">
        <v>1876</v>
      </c>
      <c r="F980" s="34" t="str">
        <f>IFERROR(VLOOKUP(VENTAS[[#This Row],[Código del producto Vendido]],STOCK[],5,FALSE),"-")</f>
        <v>Vestido Chic Primavera</v>
      </c>
      <c r="G980" s="34">
        <v>1</v>
      </c>
      <c r="H980" s="35">
        <v>32</v>
      </c>
      <c r="I980" s="35">
        <f>VENTAS[[#This Row],[Cantidad]]*VENTAS[[#This Row],[Precio Venta]]</f>
        <v>32</v>
      </c>
      <c r="J980" s="35">
        <f>IF(VENTAS[[#This Row],[Nombre del Gestor]]&gt;1,VENTAS[[#This Row],[Total]]*10%,0)</f>
        <v>3.2</v>
      </c>
      <c r="K980" s="35">
        <f>IFERROR(VLOOKUP(VENTAS[[#This Row],[Código del producto Vendido]],STOCK[],16,FALSE)*VENTAS[[#This Row],[Cantidad]]+VLOOKUP(VENTAS[[#This Row],[Código del producto Vendido]],STOCK[],19,FALSE)*VENTAS[[#This Row],[Cantidad]],VENTAS[[#This Row],[Total]])</f>
        <v>19.38</v>
      </c>
      <c r="L980" s="35">
        <f>VENTAS[[#This Row],[Total]]-VENTAS[[#This Row],[Comisión 10%]]-VENTAS[[#This Row],[Costo SIN Comision]]</f>
        <v>9.42</v>
      </c>
      <c r="M980" s="35"/>
    </row>
    <row r="981" ht="20" customHeight="1" spans="1:13">
      <c r="A981" s="29">
        <v>45471</v>
      </c>
      <c r="B981" s="30"/>
      <c r="C981" s="30"/>
      <c r="D981" s="30" t="s">
        <v>3510</v>
      </c>
      <c r="E981" s="30" t="s">
        <v>209</v>
      </c>
      <c r="F981" s="34" t="str">
        <f>IFERROR(VLOOKUP(VENTAS[[#This Row],[Código del producto Vendido]],STOCK[],5,FALSE),"-")</f>
        <v>Maxi vestido de bajo floral</v>
      </c>
      <c r="G981" s="34">
        <v>1</v>
      </c>
      <c r="H981" s="35">
        <v>25</v>
      </c>
      <c r="I981" s="35">
        <f>VENTAS[[#This Row],[Cantidad]]*VENTAS[[#This Row],[Precio Venta]]</f>
        <v>25</v>
      </c>
      <c r="J981" s="35">
        <f>IF(VENTAS[[#This Row],[Nombre del Gestor]]&gt;1,VENTAS[[#This Row],[Total]]*10%,0)</f>
        <v>2.5</v>
      </c>
      <c r="K981" s="35">
        <f>IFERROR(VLOOKUP(VENTAS[[#This Row],[Código del producto Vendido]],STOCK[],16,FALSE)*VENTAS[[#This Row],[Cantidad]]+VLOOKUP(VENTAS[[#This Row],[Código del producto Vendido]],STOCK[],19,FALSE)*VENTAS[[#This Row],[Cantidad]],VENTAS[[#This Row],[Total]])</f>
        <v>14.06</v>
      </c>
      <c r="L981" s="35">
        <f>VENTAS[[#This Row],[Total]]-VENTAS[[#This Row],[Comisión 10%]]-VENTAS[[#This Row],[Costo SIN Comision]]</f>
        <v>8.44</v>
      </c>
      <c r="M981" s="35"/>
    </row>
    <row r="982" ht="20" customHeight="1" spans="1:13">
      <c r="A982" s="29">
        <v>45472</v>
      </c>
      <c r="B982" s="30"/>
      <c r="C982" s="30"/>
      <c r="D982" s="30"/>
      <c r="E982" s="30" t="s">
        <v>694</v>
      </c>
      <c r="F982" s="34" t="str">
        <f>IFERROR(VLOOKUP(VENTAS[[#This Row],[Código del producto Vendido]],STOCK[],5,FALSE),"-")</f>
        <v>Vestido slip cebra</v>
      </c>
      <c r="G982" s="34">
        <v>1</v>
      </c>
      <c r="H982" s="35">
        <v>10</v>
      </c>
      <c r="I982" s="35">
        <f>VENTAS[[#This Row],[Cantidad]]*VENTAS[[#This Row],[Precio Venta]]</f>
        <v>10</v>
      </c>
      <c r="J982" s="35">
        <f>IF(VENTAS[[#This Row],[Nombre del Gestor]]&gt;1,VENTAS[[#This Row],[Total]]*10%,0)</f>
        <v>0</v>
      </c>
      <c r="K982" s="35">
        <f>IFERROR(VLOOKUP(VENTAS[[#This Row],[Código del producto Vendido]],STOCK[],16,FALSE)*VENTAS[[#This Row],[Cantidad]]+VLOOKUP(VENTAS[[#This Row],[Código del producto Vendido]],STOCK[],19,FALSE)*VENTAS[[#This Row],[Cantidad]],VENTAS[[#This Row],[Total]])</f>
        <v>7.10555555555556</v>
      </c>
      <c r="L982" s="35">
        <f>VENTAS[[#This Row],[Total]]-VENTAS[[#This Row],[Comisión 10%]]-VENTAS[[#This Row],[Costo SIN Comision]]</f>
        <v>2.89444444444444</v>
      </c>
      <c r="M982" s="35"/>
    </row>
    <row r="983" ht="20" customHeight="1" spans="1:13">
      <c r="A983" s="29">
        <v>45473</v>
      </c>
      <c r="B983" s="30"/>
      <c r="C983" s="30" t="s">
        <v>3477</v>
      </c>
      <c r="D983" s="30"/>
      <c r="E983" s="30" t="s">
        <v>2380</v>
      </c>
      <c r="F983" s="34" t="str">
        <f>IFERROR(VLOOKUP(VENTAS[[#This Row],[Código del producto Vendido]],STOCK[],5,FALSE),"-")</f>
        <v>Vestido elegante de botones en color sólido</v>
      </c>
      <c r="G983" s="34">
        <v>1</v>
      </c>
      <c r="H983" s="35">
        <v>35</v>
      </c>
      <c r="I983" s="35">
        <f>VENTAS[[#This Row],[Cantidad]]*VENTAS[[#This Row],[Precio Venta]]</f>
        <v>35</v>
      </c>
      <c r="J983" s="35">
        <f>IF(VENTAS[[#This Row],[Nombre del Gestor]]&gt;1,VENTAS[[#This Row],[Total]]*10%,0)</f>
        <v>0</v>
      </c>
      <c r="K983" s="35">
        <f>IFERROR(VLOOKUP(VENTAS[[#This Row],[Código del producto Vendido]],STOCK[],16,FALSE)*VENTAS[[#This Row],[Cantidad]]+VLOOKUP(VENTAS[[#This Row],[Código del producto Vendido]],STOCK[],19,FALSE)*VENTAS[[#This Row],[Cantidad]],VENTAS[[#This Row],[Total]])</f>
        <v>24.609375</v>
      </c>
      <c r="L983" s="35">
        <f>VENTAS[[#This Row],[Total]]-VENTAS[[#This Row],[Comisión 10%]]-VENTAS[[#This Row],[Costo SIN Comision]]</f>
        <v>10.390625</v>
      </c>
      <c r="M983" s="35"/>
    </row>
    <row r="984" ht="20" customHeight="1" spans="1:13">
      <c r="A984" s="29">
        <v>45444</v>
      </c>
      <c r="B984" s="30"/>
      <c r="C984" s="30"/>
      <c r="D984" s="30"/>
      <c r="E984" s="30" t="s">
        <v>207</v>
      </c>
      <c r="F984" s="34" t="str">
        <f>IFERROR(VLOOKUP(VENTAS[[#This Row],[Código del producto Vendido]],STOCK[],5,FALSE),"-")</f>
        <v>Maxi vestido de bajo floral</v>
      </c>
      <c r="G984" s="34">
        <v>1</v>
      </c>
      <c r="H984" s="35">
        <v>25</v>
      </c>
      <c r="I984" s="35">
        <f>VENTAS[[#This Row],[Cantidad]]*VENTAS[[#This Row],[Precio Venta]]</f>
        <v>25</v>
      </c>
      <c r="J984" s="35">
        <f>IF(VENTAS[[#This Row],[Nombre del Gestor]]&gt;1,VENTAS[[#This Row],[Total]]*10%,0)</f>
        <v>0</v>
      </c>
      <c r="K984" s="35">
        <f>IFERROR(VLOOKUP(VENTAS[[#This Row],[Código del producto Vendido]],STOCK[],16,FALSE)*VENTAS[[#This Row],[Cantidad]]+VLOOKUP(VENTAS[[#This Row],[Código del producto Vendido]],STOCK[],19,FALSE)*VENTAS[[#This Row],[Cantidad]],VENTAS[[#This Row],[Total]])</f>
        <v>14.5</v>
      </c>
      <c r="L984" s="35">
        <f>VENTAS[[#This Row],[Total]]-VENTAS[[#This Row],[Comisión 10%]]-VENTAS[[#This Row],[Costo SIN Comision]]</f>
        <v>10.5</v>
      </c>
      <c r="M984" s="35"/>
    </row>
    <row r="985" ht="20" customHeight="1" spans="1:13">
      <c r="A985" s="29">
        <v>45445</v>
      </c>
      <c r="B985" s="30"/>
      <c r="C985" s="30"/>
      <c r="D985" s="30" t="s">
        <v>3503</v>
      </c>
      <c r="E985" s="30" t="s">
        <v>1748</v>
      </c>
      <c r="F985" s="34" t="str">
        <f>IFERROR(VLOOKUP(VENTAS[[#This Row],[Código del producto Vendido]],STOCK[],5,FALSE),"-")</f>
        <v>Traje de baño de mangas estampadas</v>
      </c>
      <c r="G985" s="34">
        <v>1</v>
      </c>
      <c r="H985" s="35">
        <v>25</v>
      </c>
      <c r="I985" s="35">
        <f>VENTAS[[#This Row],[Cantidad]]*VENTAS[[#This Row],[Precio Venta]]</f>
        <v>25</v>
      </c>
      <c r="J985" s="35">
        <f>IF(VENTAS[[#This Row],[Nombre del Gestor]]&gt;1,VENTAS[[#This Row],[Total]]*10%,0)</f>
        <v>2.5</v>
      </c>
      <c r="K985" s="35">
        <f>IFERROR(VLOOKUP(VENTAS[[#This Row],[Código del producto Vendido]],STOCK[],16,FALSE)*VENTAS[[#This Row],[Cantidad]]+VLOOKUP(VENTAS[[#This Row],[Código del producto Vendido]],STOCK[],19,FALSE)*VENTAS[[#This Row],[Cantidad]],VENTAS[[#This Row],[Total]])</f>
        <v>12.4117647058824</v>
      </c>
      <c r="L985" s="35">
        <f>VENTAS[[#This Row],[Total]]-VENTAS[[#This Row],[Comisión 10%]]-VENTAS[[#This Row],[Costo SIN Comision]]</f>
        <v>10.0882352941176</v>
      </c>
      <c r="M985" s="35"/>
    </row>
    <row r="986" ht="20" customHeight="1" spans="1:13">
      <c r="A986" s="29">
        <v>45446</v>
      </c>
      <c r="B986" s="30"/>
      <c r="C986" s="30"/>
      <c r="D986" s="30" t="s">
        <v>3339</v>
      </c>
      <c r="E986" s="30" t="s">
        <v>2155</v>
      </c>
      <c r="F986" s="34" t="str">
        <f>IFERROR(VLOOKUP(VENTAS[[#This Row],[Código del producto Vendido]],STOCK[],5,FALSE),"-")</f>
        <v>Set de bikini estampado de flor de 3 piezas de cintura alta</v>
      </c>
      <c r="G986" s="34">
        <v>1</v>
      </c>
      <c r="H986" s="35">
        <v>25</v>
      </c>
      <c r="I986" s="35">
        <f>VENTAS[[#This Row],[Cantidad]]*VENTAS[[#This Row],[Precio Venta]]</f>
        <v>25</v>
      </c>
      <c r="J986" s="35">
        <f>IF(VENTAS[[#This Row],[Nombre del Gestor]]&gt;1,VENTAS[[#This Row],[Total]]*10%,0)</f>
        <v>2.5</v>
      </c>
      <c r="K986" s="35">
        <f>IFERROR(VLOOKUP(VENTAS[[#This Row],[Código del producto Vendido]],STOCK[],16,FALSE)*VENTAS[[#This Row],[Cantidad]]+VLOOKUP(VENTAS[[#This Row],[Código del producto Vendido]],STOCK[],19,FALSE)*VENTAS[[#This Row],[Cantidad]],VENTAS[[#This Row],[Total]])</f>
        <v>10.43</v>
      </c>
      <c r="L986" s="35">
        <f>VENTAS[[#This Row],[Total]]-VENTAS[[#This Row],[Comisión 10%]]-VENTAS[[#This Row],[Costo SIN Comision]]</f>
        <v>12.07</v>
      </c>
      <c r="M986" s="35"/>
    </row>
    <row r="987" ht="20" customHeight="1" spans="1:13">
      <c r="A987" s="29">
        <v>45447</v>
      </c>
      <c r="B987" s="30"/>
      <c r="C987" s="30"/>
      <c r="D987" s="30" t="s">
        <v>3509</v>
      </c>
      <c r="E987" s="30" t="s">
        <v>2285</v>
      </c>
      <c r="F987" s="34" t="str">
        <f>IFERROR(VLOOKUP(VENTAS[[#This Row],[Código del producto Vendido]],STOCK[],5,FALSE),"-")</f>
        <v>Bolso de lona en bloque de color</v>
      </c>
      <c r="G987" s="34">
        <v>1</v>
      </c>
      <c r="H987" s="35">
        <v>12</v>
      </c>
      <c r="I987" s="35">
        <f>VENTAS[[#This Row],[Cantidad]]*VENTAS[[#This Row],[Precio Venta]]</f>
        <v>12</v>
      </c>
      <c r="J987" s="35">
        <f>IF(VENTAS[[#This Row],[Nombre del Gestor]]&gt;1,VENTAS[[#This Row],[Total]]*10%,0)</f>
        <v>1.2</v>
      </c>
      <c r="K987" s="35">
        <f>IFERROR(VLOOKUP(VENTAS[[#This Row],[Código del producto Vendido]],STOCK[],16,FALSE)*VENTAS[[#This Row],[Cantidad]]+VLOOKUP(VENTAS[[#This Row],[Código del producto Vendido]],STOCK[],19,FALSE)*VENTAS[[#This Row],[Cantidad]],VENTAS[[#This Row],[Total]])</f>
        <v>5.54</v>
      </c>
      <c r="L987" s="35">
        <f>VENTAS[[#This Row],[Total]]-VENTAS[[#This Row],[Comisión 10%]]-VENTAS[[#This Row],[Costo SIN Comision]]</f>
        <v>5.26</v>
      </c>
      <c r="M987" s="35"/>
    </row>
    <row r="988" ht="20" customHeight="1" spans="1:13">
      <c r="A988" s="29">
        <v>45448</v>
      </c>
      <c r="B988" s="30"/>
      <c r="C988" s="30" t="s">
        <v>3477</v>
      </c>
      <c r="D988" s="30"/>
      <c r="E988" s="30" t="s">
        <v>2324</v>
      </c>
      <c r="F988" s="34" t="str">
        <f>IFERROR(VLOOKUP(VENTAS[[#This Row],[Código del producto Vendido]],STOCK[],5,FALSE),"-")</f>
        <v>Pantalón palazzo estiloso</v>
      </c>
      <c r="G988" s="34">
        <v>1</v>
      </c>
      <c r="H988" s="35">
        <v>20</v>
      </c>
      <c r="I988" s="35">
        <f>VENTAS[[#This Row],[Cantidad]]*VENTAS[[#This Row],[Precio Venta]]</f>
        <v>20</v>
      </c>
      <c r="J988" s="35">
        <f>IF(VENTAS[[#This Row],[Nombre del Gestor]]&gt;1,VENTAS[[#This Row],[Total]]*10%,0)</f>
        <v>0</v>
      </c>
      <c r="K988" s="35">
        <f>IFERROR(VLOOKUP(VENTAS[[#This Row],[Código del producto Vendido]],STOCK[],16,FALSE)*VENTAS[[#This Row],[Cantidad]]+VLOOKUP(VENTAS[[#This Row],[Código del producto Vendido]],STOCK[],19,FALSE)*VENTAS[[#This Row],[Cantidad]],VENTAS[[#This Row],[Total]])</f>
        <v>10.914375</v>
      </c>
      <c r="L988" s="35">
        <f>VENTAS[[#This Row],[Total]]-VENTAS[[#This Row],[Comisión 10%]]-VENTAS[[#This Row],[Costo SIN Comision]]</f>
        <v>9.085625</v>
      </c>
      <c r="M988" s="35"/>
    </row>
    <row r="989" ht="20" customHeight="1" spans="1:13">
      <c r="A989" s="29">
        <v>45449</v>
      </c>
      <c r="B989" s="30"/>
      <c r="C989" s="30" t="s">
        <v>3477</v>
      </c>
      <c r="D989" s="30"/>
      <c r="E989" s="30" t="s">
        <v>2372</v>
      </c>
      <c r="F989" s="34" t="str">
        <f>IFERROR(VLOOKUP(VENTAS[[#This Row],[Código del producto Vendido]],STOCK[],5,FALSE),"-")</f>
        <v>Blusa atada al frente de estilo casual</v>
      </c>
      <c r="G989" s="34">
        <v>1</v>
      </c>
      <c r="H989" s="35">
        <v>17</v>
      </c>
      <c r="I989" s="35">
        <f>VENTAS[[#This Row],[Cantidad]]*VENTAS[[#This Row],[Precio Venta]]</f>
        <v>17</v>
      </c>
      <c r="J989" s="35">
        <f>IF(VENTAS[[#This Row],[Nombre del Gestor]]&gt;1,VENTAS[[#This Row],[Total]]*10%,0)</f>
        <v>0</v>
      </c>
      <c r="K989" s="35">
        <f>IFERROR(VLOOKUP(VENTAS[[#This Row],[Código del producto Vendido]],STOCK[],16,FALSE)*VENTAS[[#This Row],[Cantidad]]+VLOOKUP(VENTAS[[#This Row],[Código del producto Vendido]],STOCK[],19,FALSE)*VENTAS[[#This Row],[Cantidad]],VENTAS[[#This Row],[Total]])</f>
        <v>10.821875</v>
      </c>
      <c r="L989" s="35">
        <f>VENTAS[[#This Row],[Total]]-VENTAS[[#This Row],[Comisión 10%]]-VENTAS[[#This Row],[Costo SIN Comision]]</f>
        <v>6.178125</v>
      </c>
      <c r="M989" s="35"/>
    </row>
    <row r="990" ht="20" customHeight="1" spans="1:13">
      <c r="A990" s="29">
        <v>45450</v>
      </c>
      <c r="B990" s="30"/>
      <c r="C990" s="30" t="s">
        <v>3511</v>
      </c>
      <c r="D990" s="30" t="s">
        <v>3509</v>
      </c>
      <c r="E990" s="30" t="s">
        <v>2326</v>
      </c>
      <c r="F990" s="34" t="str">
        <f>IFERROR(VLOOKUP(VENTAS[[#This Row],[Código del producto Vendido]],STOCK[],5,FALSE),"-")</f>
        <v>Pantalón palazzo estiloso</v>
      </c>
      <c r="G990" s="34">
        <v>1</v>
      </c>
      <c r="H990" s="35">
        <v>20</v>
      </c>
      <c r="I990" s="35">
        <f>VENTAS[[#This Row],[Cantidad]]*VENTAS[[#This Row],[Precio Venta]]</f>
        <v>20</v>
      </c>
      <c r="J990" s="35">
        <f>IF(VENTAS[[#This Row],[Nombre del Gestor]]&gt;1,VENTAS[[#This Row],[Total]]*10%,0)</f>
        <v>2</v>
      </c>
      <c r="K990" s="35">
        <f>IFERROR(VLOOKUP(VENTAS[[#This Row],[Código del producto Vendido]],STOCK[],16,FALSE)*VENTAS[[#This Row],[Cantidad]]+VLOOKUP(VENTAS[[#This Row],[Código del producto Vendido]],STOCK[],19,FALSE)*VENTAS[[#This Row],[Cantidad]],VENTAS[[#This Row],[Total]])</f>
        <v>10.914375</v>
      </c>
      <c r="L990" s="35">
        <f>VENTAS[[#This Row],[Total]]-VENTAS[[#This Row],[Comisión 10%]]-VENTAS[[#This Row],[Costo SIN Comision]]</f>
        <v>7.085625</v>
      </c>
      <c r="M990" s="35"/>
    </row>
    <row r="991" ht="20" customHeight="1" spans="1:13">
      <c r="A991" s="29">
        <v>45451</v>
      </c>
      <c r="B991" s="30"/>
      <c r="C991" s="30" t="s">
        <v>3512</v>
      </c>
      <c r="D991" s="30" t="s">
        <v>3459</v>
      </c>
      <c r="E991" s="30" t="s">
        <v>2378</v>
      </c>
      <c r="F991" s="34" t="str">
        <f>IFERROR(VLOOKUP(VENTAS[[#This Row],[Código del producto Vendido]],STOCK[],5,FALSE),"-")</f>
        <v>Vestido elegante de botones en color sólido</v>
      </c>
      <c r="G991" s="34">
        <v>1</v>
      </c>
      <c r="H991" s="35">
        <v>35</v>
      </c>
      <c r="I991" s="35">
        <f>VENTAS[[#This Row],[Cantidad]]*VENTAS[[#This Row],[Precio Venta]]</f>
        <v>35</v>
      </c>
      <c r="J991" s="35">
        <f>IF(VENTAS[[#This Row],[Nombre del Gestor]]&gt;1,VENTAS[[#This Row],[Total]]*10%,0)</f>
        <v>3.5</v>
      </c>
      <c r="K991" s="35">
        <f>IFERROR(VLOOKUP(VENTAS[[#This Row],[Código del producto Vendido]],STOCK[],16,FALSE)*VENTAS[[#This Row],[Cantidad]]+VLOOKUP(VENTAS[[#This Row],[Código del producto Vendido]],STOCK[],19,FALSE)*VENTAS[[#This Row],[Cantidad]],VENTAS[[#This Row],[Total]])</f>
        <v>24.609375</v>
      </c>
      <c r="L991" s="35">
        <f>VENTAS[[#This Row],[Total]]-VENTAS[[#This Row],[Comisión 10%]]-VENTAS[[#This Row],[Costo SIN Comision]]</f>
        <v>6.890625</v>
      </c>
      <c r="M991" s="35"/>
    </row>
    <row r="992" ht="20" customHeight="1" spans="1:13">
      <c r="A992" s="29">
        <v>45452</v>
      </c>
      <c r="B992" s="30"/>
      <c r="C992" s="30" t="s">
        <v>3513</v>
      </c>
      <c r="D992" s="30" t="s">
        <v>3507</v>
      </c>
      <c r="E992" s="30" t="s">
        <v>1671</v>
      </c>
      <c r="F992" s="34" t="str">
        <f>IFERROR(VLOOKUP(VENTAS[[#This Row],[Código del producto Vendido]],STOCK[],5,FALSE),"-")</f>
        <v>Conjunto Beis satinado</v>
      </c>
      <c r="G992" s="34">
        <v>1</v>
      </c>
      <c r="H992" s="35">
        <v>28</v>
      </c>
      <c r="I992" s="35">
        <f>VENTAS[[#This Row],[Cantidad]]*VENTAS[[#This Row],[Precio Venta]]</f>
        <v>28</v>
      </c>
      <c r="J992" s="35">
        <f>IF(VENTAS[[#This Row],[Nombre del Gestor]]&gt;1,VENTAS[[#This Row],[Total]]*10%,0)</f>
        <v>2.8</v>
      </c>
      <c r="K992" s="35">
        <f>IFERROR(VLOOKUP(VENTAS[[#This Row],[Código del producto Vendido]],STOCK[],16,FALSE)*VENTAS[[#This Row],[Cantidad]]+VLOOKUP(VENTAS[[#This Row],[Código del producto Vendido]],STOCK[],19,FALSE)*VENTAS[[#This Row],[Cantidad]],VENTAS[[#This Row],[Total]])</f>
        <v>16.7</v>
      </c>
      <c r="L992" s="35">
        <f>VENTAS[[#This Row],[Total]]-VENTAS[[#This Row],[Comisión 10%]]-VENTAS[[#This Row],[Costo SIN Comision]]</f>
        <v>8.5</v>
      </c>
      <c r="M992" s="35"/>
    </row>
    <row r="993" ht="20" customHeight="1" spans="1:13">
      <c r="A993" s="29">
        <v>45453</v>
      </c>
      <c r="B993" s="30"/>
      <c r="C993" s="30" t="s">
        <v>3513</v>
      </c>
      <c r="D993" s="30" t="s">
        <v>3507</v>
      </c>
      <c r="E993" s="30" t="s">
        <v>1378</v>
      </c>
      <c r="F993" s="34" t="str">
        <f>IFERROR(VLOOKUP(VENTAS[[#This Row],[Código del producto Vendido]],STOCK[],5,FALSE),"-")</f>
        <v>Conjunto Skort &amp; top Floreado</v>
      </c>
      <c r="G993" s="34">
        <v>1</v>
      </c>
      <c r="H993" s="35">
        <v>25</v>
      </c>
      <c r="I993" s="35">
        <f>VENTAS[[#This Row],[Cantidad]]*VENTAS[[#This Row],[Precio Venta]]</f>
        <v>25</v>
      </c>
      <c r="J993" s="35">
        <f>IF(VENTAS[[#This Row],[Nombre del Gestor]]&gt;1,VENTAS[[#This Row],[Total]]*10%,0)</f>
        <v>2.5</v>
      </c>
      <c r="K993" s="35">
        <f>IFERROR(VLOOKUP(VENTAS[[#This Row],[Código del producto Vendido]],STOCK[],16,FALSE)*VENTAS[[#This Row],[Cantidad]]+VLOOKUP(VENTAS[[#This Row],[Código del producto Vendido]],STOCK[],19,FALSE)*VENTAS[[#This Row],[Cantidad]],VENTAS[[#This Row],[Total]])</f>
        <v>15</v>
      </c>
      <c r="L993" s="35">
        <f>VENTAS[[#This Row],[Total]]-VENTAS[[#This Row],[Comisión 10%]]-VENTAS[[#This Row],[Costo SIN Comision]]</f>
        <v>7.5</v>
      </c>
      <c r="M993" s="35"/>
    </row>
    <row r="994" ht="20" customHeight="1" spans="1:13">
      <c r="A994" s="29">
        <v>45454</v>
      </c>
      <c r="B994" s="30"/>
      <c r="C994" s="30" t="s">
        <v>3514</v>
      </c>
      <c r="D994" s="30" t="s">
        <v>3478</v>
      </c>
      <c r="E994" s="30" t="s">
        <v>2108</v>
      </c>
      <c r="F994" s="34" t="str">
        <f>IFERROR(VLOOKUP(VENTAS[[#This Row],[Código del producto Vendido]],STOCK[],5,FALSE),"-")</f>
        <v>The Cat TOTE bag tamaño de Gran Capacidad </v>
      </c>
      <c r="G994" s="34">
        <v>1</v>
      </c>
      <c r="H994" s="35">
        <v>12</v>
      </c>
      <c r="I994" s="35">
        <f>VENTAS[[#This Row],[Cantidad]]*VENTAS[[#This Row],[Precio Venta]]</f>
        <v>12</v>
      </c>
      <c r="J994" s="35">
        <f>IF(VENTAS[[#This Row],[Nombre del Gestor]]&gt;1,VENTAS[[#This Row],[Total]]*10%,0)</f>
        <v>1.2</v>
      </c>
      <c r="K994" s="35">
        <f>IFERROR(VLOOKUP(VENTAS[[#This Row],[Código del producto Vendido]],STOCK[],16,FALSE)*VENTAS[[#This Row],[Cantidad]]+VLOOKUP(VENTAS[[#This Row],[Código del producto Vendido]],STOCK[],19,FALSE)*VENTAS[[#This Row],[Cantidad]],VENTAS[[#This Row],[Total]])</f>
        <v>5.58</v>
      </c>
      <c r="L994" s="35">
        <f>VENTAS[[#This Row],[Total]]-VENTAS[[#This Row],[Comisión 10%]]-VENTAS[[#This Row],[Costo SIN Comision]]</f>
        <v>5.22</v>
      </c>
      <c r="M994" s="35"/>
    </row>
    <row r="995" ht="20" customHeight="1" spans="1:13">
      <c r="A995" s="29">
        <v>45455</v>
      </c>
      <c r="B995" s="30"/>
      <c r="C995" s="30" t="s">
        <v>3515</v>
      </c>
      <c r="D995" s="30" t="s">
        <v>3509</v>
      </c>
      <c r="E995" s="30" t="s">
        <v>1633</v>
      </c>
      <c r="F995" s="34" t="str">
        <f>IFERROR(VLOOKUP(VENTAS[[#This Row],[Código del producto Vendido]],STOCK[],5,FALSE),"-")</f>
        <v>Vestido Privé  </v>
      </c>
      <c r="G995" s="34">
        <v>1</v>
      </c>
      <c r="H995" s="35">
        <v>25</v>
      </c>
      <c r="I995" s="35">
        <f>VENTAS[[#This Row],[Cantidad]]*VENTAS[[#This Row],[Precio Venta]]</f>
        <v>25</v>
      </c>
      <c r="J995" s="35">
        <f>IF(VENTAS[[#This Row],[Nombre del Gestor]]&gt;1,VENTAS[[#This Row],[Total]]*10%,0)</f>
        <v>2.5</v>
      </c>
      <c r="K995" s="35">
        <f>IFERROR(VLOOKUP(VENTAS[[#This Row],[Código del producto Vendido]],STOCK[],16,FALSE)*VENTAS[[#This Row],[Cantidad]]+VLOOKUP(VENTAS[[#This Row],[Código del producto Vendido]],STOCK[],19,FALSE)*VENTAS[[#This Row],[Cantidad]],VENTAS[[#This Row],[Total]])</f>
        <v>11.1</v>
      </c>
      <c r="L995" s="35">
        <f>VENTAS[[#This Row],[Total]]-VENTAS[[#This Row],[Comisión 10%]]-VENTAS[[#This Row],[Costo SIN Comision]]</f>
        <v>11.4</v>
      </c>
      <c r="M995" s="35"/>
    </row>
    <row r="996" ht="20" customHeight="1" spans="1:13">
      <c r="A996" s="29">
        <v>45456</v>
      </c>
      <c r="B996" s="30"/>
      <c r="C996" s="30" t="s">
        <v>3516</v>
      </c>
      <c r="D996" s="30" t="s">
        <v>3478</v>
      </c>
      <c r="E996" s="30" t="s">
        <v>2374</v>
      </c>
      <c r="F996" s="34" t="str">
        <f>IFERROR(VLOOKUP(VENTAS[[#This Row],[Código del producto Vendido]],STOCK[],5,FALSE),"-")</f>
        <v>Vestido elegante de botones en color sólido</v>
      </c>
      <c r="G996" s="34">
        <v>1</v>
      </c>
      <c r="H996" s="35">
        <v>35</v>
      </c>
      <c r="I996" s="35">
        <f>VENTAS[[#This Row],[Cantidad]]*VENTAS[[#This Row],[Precio Venta]]</f>
        <v>35</v>
      </c>
      <c r="J996" s="35">
        <f>IF(VENTAS[[#This Row],[Nombre del Gestor]]&gt;1,VENTAS[[#This Row],[Total]]*10%,0)</f>
        <v>3.5</v>
      </c>
      <c r="K996" s="35">
        <f>IFERROR(VLOOKUP(VENTAS[[#This Row],[Código del producto Vendido]],STOCK[],16,FALSE)*VENTAS[[#This Row],[Cantidad]]+VLOOKUP(VENTAS[[#This Row],[Código del producto Vendido]],STOCK[],19,FALSE)*VENTAS[[#This Row],[Cantidad]],VENTAS[[#This Row],[Total]])</f>
        <v>24.609375</v>
      </c>
      <c r="L996" s="35">
        <f>VENTAS[[#This Row],[Total]]-VENTAS[[#This Row],[Comisión 10%]]-VENTAS[[#This Row],[Costo SIN Comision]]</f>
        <v>6.890625</v>
      </c>
      <c r="M996" s="35"/>
    </row>
    <row r="997" ht="20" customHeight="1" spans="1:13">
      <c r="A997" s="29">
        <v>45457</v>
      </c>
      <c r="B997" s="30"/>
      <c r="C997" s="30" t="s">
        <v>3516</v>
      </c>
      <c r="D997" s="30" t="s">
        <v>3478</v>
      </c>
      <c r="E997" s="30" t="s">
        <v>1607</v>
      </c>
      <c r="F997" s="34" t="str">
        <f>IFERROR(VLOOKUP(VENTAS[[#This Row],[Código del producto Vendido]],STOCK[],5,FALSE),"-")</f>
        <v>Vestido camisero con estampado floral </v>
      </c>
      <c r="G997" s="34">
        <v>1</v>
      </c>
      <c r="H997" s="35">
        <v>35</v>
      </c>
      <c r="I997" s="35">
        <f>VENTAS[[#This Row],[Cantidad]]*VENTAS[[#This Row],[Precio Venta]]</f>
        <v>35</v>
      </c>
      <c r="J997" s="35">
        <f>IF(VENTAS[[#This Row],[Nombre del Gestor]]&gt;1,VENTAS[[#This Row],[Total]]*10%,0)</f>
        <v>3.5</v>
      </c>
      <c r="K997" s="35">
        <f>IFERROR(VLOOKUP(VENTAS[[#This Row],[Código del producto Vendido]],STOCK[],16,FALSE)*VENTAS[[#This Row],[Cantidad]]+VLOOKUP(VENTAS[[#This Row],[Código del producto Vendido]],STOCK[],19,FALSE)*VENTAS[[#This Row],[Cantidad]],VENTAS[[#This Row],[Total]])</f>
        <v>14.84</v>
      </c>
      <c r="L997" s="35">
        <f>VENTAS[[#This Row],[Total]]-VENTAS[[#This Row],[Comisión 10%]]-VENTAS[[#This Row],[Costo SIN Comision]]</f>
        <v>16.66</v>
      </c>
      <c r="M997" s="35"/>
    </row>
    <row r="998" ht="20" customHeight="1" spans="1:13">
      <c r="A998" s="29">
        <v>45458</v>
      </c>
      <c r="B998" s="30"/>
      <c r="C998" s="30" t="s">
        <v>3517</v>
      </c>
      <c r="D998" s="30" t="s">
        <v>3478</v>
      </c>
      <c r="E998" s="30" t="s">
        <v>1165</v>
      </c>
      <c r="F998" s="34" t="str">
        <f>IFERROR(VLOOKUP(VENTAS[[#This Row],[Código del producto Vendido]],STOCK[],5,FALSE),"-")</f>
        <v>Short de mezclilla clara (no elastiza)</v>
      </c>
      <c r="G998" s="34">
        <v>1</v>
      </c>
      <c r="H998" s="35">
        <v>20</v>
      </c>
      <c r="I998" s="35">
        <f>VENTAS[[#This Row],[Cantidad]]*VENTAS[[#This Row],[Precio Venta]]</f>
        <v>20</v>
      </c>
      <c r="J998" s="35">
        <f>IF(VENTAS[[#This Row],[Nombre del Gestor]]&gt;1,VENTAS[[#This Row],[Total]]*10%,0)</f>
        <v>2</v>
      </c>
      <c r="K998" s="35">
        <f>IFERROR(VLOOKUP(VENTAS[[#This Row],[Código del producto Vendido]],STOCK[],16,FALSE)*VENTAS[[#This Row],[Cantidad]]+VLOOKUP(VENTAS[[#This Row],[Código del producto Vendido]],STOCK[],19,FALSE)*VENTAS[[#This Row],[Cantidad]],VENTAS[[#This Row],[Total]])</f>
        <v>14.29</v>
      </c>
      <c r="L998" s="35">
        <f>VENTAS[[#This Row],[Total]]-VENTAS[[#This Row],[Comisión 10%]]-VENTAS[[#This Row],[Costo SIN Comision]]</f>
        <v>3.71</v>
      </c>
      <c r="M998" s="35"/>
    </row>
    <row r="999" ht="20" customHeight="1" spans="1:13">
      <c r="A999" s="29">
        <v>45459</v>
      </c>
      <c r="B999" s="30"/>
      <c r="C999" s="30" t="s">
        <v>3518</v>
      </c>
      <c r="D999" s="30" t="s">
        <v>3478</v>
      </c>
      <c r="E999" s="30" t="s">
        <v>2165</v>
      </c>
      <c r="F999" s="34" t="str">
        <f>IFERROR(VLOOKUP(VENTAS[[#This Row],[Código del producto Vendido]],STOCK[],5,FALSE),"-")</f>
        <v>Bañador en color sólido sexy-elegante </v>
      </c>
      <c r="G999" s="34">
        <v>1</v>
      </c>
      <c r="H999" s="35">
        <v>20</v>
      </c>
      <c r="I999" s="35">
        <f>VENTAS[[#This Row],[Cantidad]]*VENTAS[[#This Row],[Precio Venta]]</f>
        <v>20</v>
      </c>
      <c r="J999" s="35">
        <f>IF(VENTAS[[#This Row],[Nombre del Gestor]]&gt;1,VENTAS[[#This Row],[Total]]*10%,0)</f>
        <v>2</v>
      </c>
      <c r="K999" s="35">
        <f>IFERROR(VLOOKUP(VENTAS[[#This Row],[Código del producto Vendido]],STOCK[],16,FALSE)*VENTAS[[#This Row],[Cantidad]]+VLOOKUP(VENTAS[[#This Row],[Código del producto Vendido]],STOCK[],19,FALSE)*VENTAS[[#This Row],[Cantidad]],VENTAS[[#This Row],[Total]])</f>
        <v>8.24</v>
      </c>
      <c r="L999" s="35">
        <f>VENTAS[[#This Row],[Total]]-VENTAS[[#This Row],[Comisión 10%]]-VENTAS[[#This Row],[Costo SIN Comision]]</f>
        <v>9.76</v>
      </c>
      <c r="M999" s="35"/>
    </row>
    <row r="1000" ht="20" customHeight="1" spans="1:13">
      <c r="A1000" s="29">
        <v>45460</v>
      </c>
      <c r="B1000" s="30"/>
      <c r="C1000" s="30" t="s">
        <v>3519</v>
      </c>
      <c r="D1000" s="30" t="s">
        <v>3509</v>
      </c>
      <c r="E1000" s="30" t="s">
        <v>2134</v>
      </c>
      <c r="F1000" s="34" t="str">
        <f>IFERROR(VLOOKUP(VENTAS[[#This Row],[Código del producto Vendido]],STOCK[],5,FALSE),"-")</f>
        <v>Falda Bohemia de mezclilla de cintura alta con detalles de botón</v>
      </c>
      <c r="G1000" s="34">
        <v>1</v>
      </c>
      <c r="H1000" s="35">
        <v>30</v>
      </c>
      <c r="I1000" s="35">
        <f>VENTAS[[#This Row],[Cantidad]]*VENTAS[[#This Row],[Precio Venta]]</f>
        <v>30</v>
      </c>
      <c r="J1000" s="35">
        <f>IF(VENTAS[[#This Row],[Nombre del Gestor]]&gt;1,VENTAS[[#This Row],[Total]]*10%,0)</f>
        <v>3</v>
      </c>
      <c r="K1000" s="35">
        <f>IFERROR(VLOOKUP(VENTAS[[#This Row],[Código del producto Vendido]],STOCK[],16,FALSE)*VENTAS[[#This Row],[Cantidad]]+VLOOKUP(VENTAS[[#This Row],[Código del producto Vendido]],STOCK[],19,FALSE)*VENTAS[[#This Row],[Cantidad]],VENTAS[[#This Row],[Total]])</f>
        <v>7.05</v>
      </c>
      <c r="L1000" s="35">
        <f>VENTAS[[#This Row],[Total]]-VENTAS[[#This Row],[Comisión 10%]]-VENTAS[[#This Row],[Costo SIN Comision]]</f>
        <v>19.95</v>
      </c>
      <c r="M1000" s="35"/>
    </row>
    <row r="1001" ht="20" customHeight="1" spans="1:13">
      <c r="A1001" s="29">
        <v>45461</v>
      </c>
      <c r="B1001" s="30"/>
      <c r="C1001" s="30" t="s">
        <v>3520</v>
      </c>
      <c r="D1001" s="30" t="s">
        <v>3365</v>
      </c>
      <c r="E1001" s="30" t="s">
        <v>2203</v>
      </c>
      <c r="F1001" s="34" t="str">
        <f>IFERROR(VLOOKUP(VENTAS[[#This Row],[Código del producto Vendido]],STOCK[],5,FALSE),"-")</f>
        <v>Vestido floral verano con abertura</v>
      </c>
      <c r="G1001" s="34">
        <v>1</v>
      </c>
      <c r="H1001" s="35">
        <v>25</v>
      </c>
      <c r="I1001" s="35">
        <f>VENTAS[[#This Row],[Cantidad]]*VENTAS[[#This Row],[Precio Venta]]</f>
        <v>25</v>
      </c>
      <c r="J1001" s="35">
        <f>IF(VENTAS[[#This Row],[Nombre del Gestor]]&gt;1,VENTAS[[#This Row],[Total]]*10%,0)</f>
        <v>2.5</v>
      </c>
      <c r="K1001" s="35">
        <f>IFERROR(VLOOKUP(VENTAS[[#This Row],[Código del producto Vendido]],STOCK[],16,FALSE)*VENTAS[[#This Row],[Cantidad]]+VLOOKUP(VENTAS[[#This Row],[Código del producto Vendido]],STOCK[],19,FALSE)*VENTAS[[#This Row],[Cantidad]],VENTAS[[#This Row],[Total]])</f>
        <v>14.59</v>
      </c>
      <c r="L1001" s="35">
        <f>VENTAS[[#This Row],[Total]]-VENTAS[[#This Row],[Comisión 10%]]-VENTAS[[#This Row],[Costo SIN Comision]]</f>
        <v>7.91</v>
      </c>
      <c r="M1001" s="35"/>
    </row>
    <row r="1002" ht="20" customHeight="1" spans="1:13">
      <c r="A1002" s="29">
        <v>45462</v>
      </c>
      <c r="B1002" s="30"/>
      <c r="C1002" s="30" t="s">
        <v>3351</v>
      </c>
      <c r="D1002" s="30" t="s">
        <v>3521</v>
      </c>
      <c r="E1002" s="30" t="s">
        <v>969</v>
      </c>
      <c r="F1002" s="34" t="str">
        <f>IFERROR(VLOOKUP(VENTAS[[#This Row],[Código del producto Vendido]],STOCK[],5,FALSE),"-")</f>
        <v> Top Básico Business</v>
      </c>
      <c r="G1002" s="34">
        <v>1</v>
      </c>
      <c r="H1002" s="35">
        <v>10</v>
      </c>
      <c r="I1002" s="35">
        <f>VENTAS[[#This Row],[Cantidad]]*VENTAS[[#This Row],[Precio Venta]]</f>
        <v>10</v>
      </c>
      <c r="J1002" s="35">
        <f>IF(VENTAS[[#This Row],[Nombre del Gestor]]&gt;1,VENTAS[[#This Row],[Total]]*10%,0)</f>
        <v>1</v>
      </c>
      <c r="K1002" s="35">
        <f>IFERROR(VLOOKUP(VENTAS[[#This Row],[Código del producto Vendido]],STOCK[],16,FALSE)*VENTAS[[#This Row],[Cantidad]]+VLOOKUP(VENTAS[[#This Row],[Código del producto Vendido]],STOCK[],19,FALSE)*VENTAS[[#This Row],[Cantidad]],VENTAS[[#This Row],[Total]])</f>
        <v>6.78409090909091</v>
      </c>
      <c r="L1002" s="35">
        <f>VENTAS[[#This Row],[Total]]-VENTAS[[#This Row],[Comisión 10%]]-VENTAS[[#This Row],[Costo SIN Comision]]</f>
        <v>2.21590909090909</v>
      </c>
      <c r="M1002" s="35"/>
    </row>
    <row r="1003" ht="20" customHeight="1" spans="1:13">
      <c r="A1003" s="29">
        <v>45463</v>
      </c>
      <c r="B1003" s="30"/>
      <c r="C1003" s="30" t="s">
        <v>3351</v>
      </c>
      <c r="D1003" s="30" t="s">
        <v>3521</v>
      </c>
      <c r="E1003" s="30" t="s">
        <v>991</v>
      </c>
      <c r="F1003" s="34" t="str">
        <f>IFERROR(VLOOKUP(VENTAS[[#This Row],[Código del producto Vendido]],STOCK[],5,FALSE),"-")</f>
        <v> Top Básico Business </v>
      </c>
      <c r="G1003" s="34">
        <v>1</v>
      </c>
      <c r="H1003" s="35">
        <v>10</v>
      </c>
      <c r="I1003" s="35">
        <f>VENTAS[[#This Row],[Cantidad]]*VENTAS[[#This Row],[Precio Venta]]</f>
        <v>10</v>
      </c>
      <c r="J1003" s="35">
        <f>IF(VENTAS[[#This Row],[Nombre del Gestor]]&gt;1,VENTAS[[#This Row],[Total]]*10%,0)</f>
        <v>1</v>
      </c>
      <c r="K1003" s="35">
        <f>IFERROR(VLOOKUP(VENTAS[[#This Row],[Código del producto Vendido]],STOCK[],16,FALSE)*VENTAS[[#This Row],[Cantidad]]+VLOOKUP(VENTAS[[#This Row],[Código del producto Vendido]],STOCK[],19,FALSE)*VENTAS[[#This Row],[Cantidad]],VENTAS[[#This Row],[Total]])</f>
        <v>7.37954545454545</v>
      </c>
      <c r="L1003" s="35">
        <f>VENTAS[[#This Row],[Total]]-VENTAS[[#This Row],[Comisión 10%]]-VENTAS[[#This Row],[Costo SIN Comision]]</f>
        <v>1.62045454545455</v>
      </c>
      <c r="M1003" s="35"/>
    </row>
    <row r="1004" ht="20" customHeight="1" spans="1:13">
      <c r="A1004" s="29">
        <v>45464</v>
      </c>
      <c r="B1004" s="30"/>
      <c r="C1004" s="30" t="s">
        <v>3351</v>
      </c>
      <c r="D1004" s="30" t="s">
        <v>3521</v>
      </c>
      <c r="E1004" s="30" t="s">
        <v>2163</v>
      </c>
      <c r="F1004" s="34" t="str">
        <f>IFERROR(VLOOKUP(VENTAS[[#This Row],[Código del producto Vendido]],STOCK[],5,FALSE),"-")</f>
        <v>Bañador en color sólido sexy-elegante </v>
      </c>
      <c r="G1004" s="34">
        <v>1</v>
      </c>
      <c r="H1004" s="35">
        <v>20</v>
      </c>
      <c r="I1004" s="35">
        <f>VENTAS[[#This Row],[Cantidad]]*VENTAS[[#This Row],[Precio Venta]]</f>
        <v>20</v>
      </c>
      <c r="J1004" s="35">
        <f>IF(VENTAS[[#This Row],[Nombre del Gestor]]&gt;1,VENTAS[[#This Row],[Total]]*10%,0)</f>
        <v>2</v>
      </c>
      <c r="K1004" s="35">
        <f>IFERROR(VLOOKUP(VENTAS[[#This Row],[Código del producto Vendido]],STOCK[],16,FALSE)*VENTAS[[#This Row],[Cantidad]]+VLOOKUP(VENTAS[[#This Row],[Código del producto Vendido]],STOCK[],19,FALSE)*VENTAS[[#This Row],[Cantidad]],VENTAS[[#This Row],[Total]])</f>
        <v>8.24</v>
      </c>
      <c r="L1004" s="35">
        <f>VENTAS[[#This Row],[Total]]-VENTAS[[#This Row],[Comisión 10%]]-VENTAS[[#This Row],[Costo SIN Comision]]</f>
        <v>9.76</v>
      </c>
      <c r="M1004" s="35"/>
    </row>
    <row r="1005" ht="20" customHeight="1" spans="1:13">
      <c r="A1005" s="29">
        <v>45465</v>
      </c>
      <c r="B1005" s="30"/>
      <c r="C1005" s="30" t="s">
        <v>3318</v>
      </c>
      <c r="D1005" s="30" t="s">
        <v>3521</v>
      </c>
      <c r="E1005" s="30" t="s">
        <v>2251</v>
      </c>
      <c r="F1005" s="34" t="str">
        <f>IFERROR(VLOOKUP(VENTAS[[#This Row],[Código del producto Vendido]],STOCK[],5,FALSE),"-")</f>
        <v>Bikini de cintura alta estampado clásico</v>
      </c>
      <c r="G1005" s="34">
        <v>1</v>
      </c>
      <c r="H1005" s="35">
        <v>20</v>
      </c>
      <c r="I1005" s="35">
        <f>VENTAS[[#This Row],[Cantidad]]*VENTAS[[#This Row],[Precio Venta]]</f>
        <v>20</v>
      </c>
      <c r="J1005" s="35">
        <f>IF(VENTAS[[#This Row],[Nombre del Gestor]]&gt;1,VENTAS[[#This Row],[Total]]*10%,0)</f>
        <v>2</v>
      </c>
      <c r="K1005" s="35">
        <f>IFERROR(VLOOKUP(VENTAS[[#This Row],[Código del producto Vendido]],STOCK[],16,FALSE)*VENTAS[[#This Row],[Cantidad]]+VLOOKUP(VENTAS[[#This Row],[Código del producto Vendido]],STOCK[],19,FALSE)*VENTAS[[#This Row],[Cantidad]],VENTAS[[#This Row],[Total]])</f>
        <v>8.66</v>
      </c>
      <c r="L1005" s="35">
        <f>VENTAS[[#This Row],[Total]]-VENTAS[[#This Row],[Comisión 10%]]-VENTAS[[#This Row],[Costo SIN Comision]]</f>
        <v>9.34</v>
      </c>
      <c r="M1005" s="35"/>
    </row>
    <row r="1006" ht="20" customHeight="1" spans="1:13">
      <c r="A1006" s="29">
        <v>45473</v>
      </c>
      <c r="B1006" s="30"/>
      <c r="C1006" s="30" t="s">
        <v>3522</v>
      </c>
      <c r="D1006" s="30" t="s">
        <v>3523</v>
      </c>
      <c r="E1006" s="30" t="s">
        <v>1913</v>
      </c>
      <c r="F1006" s="34" t="str">
        <f>IFERROR(VLOOKUP(VENTAS[[#This Row],[Código del producto Vendido]],STOCK[],5,FALSE),"-")</f>
        <v>Gafas de Sol Retro Negro</v>
      </c>
      <c r="G1006" s="34">
        <v>1</v>
      </c>
      <c r="H1006" s="35">
        <v>8</v>
      </c>
      <c r="I1006" s="35">
        <f>VENTAS[[#This Row],[Cantidad]]*VENTAS[[#This Row],[Precio Venta]]</f>
        <v>8</v>
      </c>
      <c r="J1006" s="35">
        <f>IF(VENTAS[[#This Row],[Nombre del Gestor]]&gt;1,VENTAS[[#This Row],[Total]]*10%,0)</f>
        <v>0.8</v>
      </c>
      <c r="K1006" s="35">
        <f>IFERROR(VLOOKUP(VENTAS[[#This Row],[Código del producto Vendido]],STOCK[],16,FALSE)*VENTAS[[#This Row],[Cantidad]]+VLOOKUP(VENTAS[[#This Row],[Código del producto Vendido]],STOCK[],19,FALSE)*VENTAS[[#This Row],[Cantidad]],VENTAS[[#This Row],[Total]])</f>
        <v>4.86</v>
      </c>
      <c r="L1006" s="35">
        <f>VENTAS[[#This Row],[Total]]-VENTAS[[#This Row],[Comisión 10%]]-VENTAS[[#This Row],[Costo SIN Comision]]</f>
        <v>2.34</v>
      </c>
      <c r="M1006" s="35"/>
    </row>
    <row r="1007" ht="20" customHeight="1" spans="1:13">
      <c r="A1007" s="29">
        <v>45473</v>
      </c>
      <c r="B1007" s="30"/>
      <c r="C1007" s="30" t="s">
        <v>3524</v>
      </c>
      <c r="D1007" s="30" t="s">
        <v>3448</v>
      </c>
      <c r="E1007" s="30" t="s">
        <v>1816</v>
      </c>
      <c r="F1007" s="34" t="str">
        <f>IFERROR(VLOOKUP(VENTAS[[#This Row],[Código del producto Vendido]],STOCK[],5,FALSE),"-")</f>
        <v>Vestido Midi Elegante</v>
      </c>
      <c r="G1007" s="34">
        <v>1</v>
      </c>
      <c r="H1007" s="35">
        <v>22</v>
      </c>
      <c r="I1007" s="35">
        <f>VENTAS[[#This Row],[Cantidad]]*VENTAS[[#This Row],[Precio Venta]]</f>
        <v>22</v>
      </c>
      <c r="J1007" s="35">
        <f>IF(VENTAS[[#This Row],[Nombre del Gestor]]&gt;1,VENTAS[[#This Row],[Total]]*10%,0)</f>
        <v>2.2</v>
      </c>
      <c r="K1007" s="35">
        <f>IFERROR(VLOOKUP(VENTAS[[#This Row],[Código del producto Vendido]],STOCK[],16,FALSE)*VENTAS[[#This Row],[Cantidad]]+VLOOKUP(VENTAS[[#This Row],[Código del producto Vendido]],STOCK[],19,FALSE)*VENTAS[[#This Row],[Cantidad]],VENTAS[[#This Row],[Total]])</f>
        <v>10.79</v>
      </c>
      <c r="L1007" s="35">
        <f>VENTAS[[#This Row],[Total]]-VENTAS[[#This Row],[Comisión 10%]]-VENTAS[[#This Row],[Costo SIN Comision]]</f>
        <v>9.01</v>
      </c>
      <c r="M1007" s="35"/>
    </row>
    <row r="1008" ht="20" customHeight="1" spans="1:13">
      <c r="A1008" s="29">
        <v>45473</v>
      </c>
      <c r="B1008" s="30"/>
      <c r="C1008" s="30" t="s">
        <v>3524</v>
      </c>
      <c r="D1008" s="30" t="s">
        <v>3448</v>
      </c>
      <c r="E1008" s="30" t="s">
        <v>1845</v>
      </c>
      <c r="F1008" s="34" t="str">
        <f>IFERROR(VLOOKUP(VENTAS[[#This Row],[Código del producto Vendido]],STOCK[],5,FALSE),"-")</f>
        <v>Crossbody Bag con hebilla</v>
      </c>
      <c r="G1008" s="34">
        <v>1</v>
      </c>
      <c r="H1008" s="35">
        <v>25</v>
      </c>
      <c r="I1008" s="35">
        <f>VENTAS[[#This Row],[Cantidad]]*VENTAS[[#This Row],[Precio Venta]]</f>
        <v>25</v>
      </c>
      <c r="J1008" s="35">
        <f>IF(VENTAS[[#This Row],[Nombre del Gestor]]&gt;1,VENTAS[[#This Row],[Total]]*10%,0)</f>
        <v>2.5</v>
      </c>
      <c r="K1008" s="35">
        <f>IFERROR(VLOOKUP(VENTAS[[#This Row],[Código del producto Vendido]],STOCK[],16,FALSE)*VENTAS[[#This Row],[Cantidad]]+VLOOKUP(VENTAS[[#This Row],[Código del producto Vendido]],STOCK[],19,FALSE)*VENTAS[[#This Row],[Cantidad]],VENTAS[[#This Row],[Total]])</f>
        <v>13.29</v>
      </c>
      <c r="L1008" s="35">
        <f>VENTAS[[#This Row],[Total]]-VENTAS[[#This Row],[Comisión 10%]]-VENTAS[[#This Row],[Costo SIN Comision]]</f>
        <v>9.21</v>
      </c>
      <c r="M1008" s="35"/>
    </row>
    <row r="1009" ht="20" customHeight="1" spans="1:13">
      <c r="A1009" s="29">
        <v>45444</v>
      </c>
      <c r="B1009" s="30"/>
      <c r="C1009" s="30" t="s">
        <v>3525</v>
      </c>
      <c r="D1009" s="30" t="s">
        <v>3377</v>
      </c>
      <c r="E1009" s="30" t="s">
        <v>1619</v>
      </c>
      <c r="F1009" s="34" t="str">
        <f>IFERROR(VLOOKUP(VENTAS[[#This Row],[Código del producto Vendido]],STOCK[],5,FALSE),"-")</f>
        <v>Vestido Becka</v>
      </c>
      <c r="G1009" s="34">
        <v>1</v>
      </c>
      <c r="H1009" s="35">
        <v>25</v>
      </c>
      <c r="I1009" s="35">
        <f>VENTAS[[#This Row],[Cantidad]]*VENTAS[[#This Row],[Precio Venta]]</f>
        <v>25</v>
      </c>
      <c r="J1009" s="35">
        <f>IF(VENTAS[[#This Row],[Nombre del Gestor]]&gt;1,VENTAS[[#This Row],[Total]]*10%,0)</f>
        <v>2.5</v>
      </c>
      <c r="K1009" s="35">
        <f>IFERROR(VLOOKUP(VENTAS[[#This Row],[Código del producto Vendido]],STOCK[],16,FALSE)*VENTAS[[#This Row],[Cantidad]]+VLOOKUP(VENTAS[[#This Row],[Código del producto Vendido]],STOCK[],19,FALSE)*VENTAS[[#This Row],[Cantidad]],VENTAS[[#This Row],[Total]])</f>
        <v>12.4</v>
      </c>
      <c r="L1009" s="35">
        <f>VENTAS[[#This Row],[Total]]-VENTAS[[#This Row],[Comisión 10%]]-VENTAS[[#This Row],[Costo SIN Comision]]</f>
        <v>10.1</v>
      </c>
      <c r="M1009" s="35"/>
    </row>
    <row r="1010" ht="20" customHeight="1" spans="1:13">
      <c r="A1010" s="29">
        <v>45474</v>
      </c>
      <c r="B1010" s="30"/>
      <c r="C1010" s="30" t="s">
        <v>3526</v>
      </c>
      <c r="D1010" s="30" t="s">
        <v>3509</v>
      </c>
      <c r="E1010" s="30" t="s">
        <v>2328</v>
      </c>
      <c r="F1010" s="34" t="str">
        <f>IFERROR(VLOOKUP(VENTAS[[#This Row],[Código del producto Vendido]],STOCK[],5,FALSE),"-")</f>
        <v>Pantalón palazzo estiloso</v>
      </c>
      <c r="G1010" s="34">
        <v>1</v>
      </c>
      <c r="H1010" s="35">
        <v>20</v>
      </c>
      <c r="I1010" s="35">
        <f>VENTAS[[#This Row],[Cantidad]]*VENTAS[[#This Row],[Precio Venta]]</f>
        <v>20</v>
      </c>
      <c r="J1010" s="35">
        <f>IF(VENTAS[[#This Row],[Nombre del Gestor]]&gt;1,VENTAS[[#This Row],[Total]]*10%,0)</f>
        <v>2</v>
      </c>
      <c r="K1010" s="35">
        <f>IFERROR(VLOOKUP(VENTAS[[#This Row],[Código del producto Vendido]],STOCK[],16,FALSE)*VENTAS[[#This Row],[Cantidad]]+VLOOKUP(VENTAS[[#This Row],[Código del producto Vendido]],STOCK[],19,FALSE)*VENTAS[[#This Row],[Cantidad]],VENTAS[[#This Row],[Total]])</f>
        <v>10.914375</v>
      </c>
      <c r="L1010" s="35">
        <f>VENTAS[[#This Row],[Total]]-VENTAS[[#This Row],[Comisión 10%]]-VENTAS[[#This Row],[Costo SIN Comision]]</f>
        <v>7.085625</v>
      </c>
      <c r="M1010" s="35"/>
    </row>
    <row r="1011" ht="20" customHeight="1" spans="1:13">
      <c r="A1011" s="29">
        <v>45474</v>
      </c>
      <c r="B1011" s="30"/>
      <c r="C1011" s="30" t="s">
        <v>3527</v>
      </c>
      <c r="D1011" s="30" t="s">
        <v>3509</v>
      </c>
      <c r="E1011" s="30" t="s">
        <v>986</v>
      </c>
      <c r="F1011" s="34" t="str">
        <f>IFERROR(VLOOKUP(VENTAS[[#This Row],[Código del producto Vendido]],STOCK[],5,FALSE),"-")</f>
        <v>Vestido con doble abertura</v>
      </c>
      <c r="G1011" s="34">
        <v>1</v>
      </c>
      <c r="H1011" s="35">
        <v>20</v>
      </c>
      <c r="I1011" s="35">
        <f>VENTAS[[#This Row],[Cantidad]]*VENTAS[[#This Row],[Precio Venta]]</f>
        <v>20</v>
      </c>
      <c r="J1011" s="35">
        <f>IF(VENTAS[[#This Row],[Nombre del Gestor]]&gt;1,VENTAS[[#This Row],[Total]]*10%,0)</f>
        <v>2</v>
      </c>
      <c r="K1011" s="35">
        <f>IFERROR(VLOOKUP(VENTAS[[#This Row],[Código del producto Vendido]],STOCK[],16,FALSE)*VENTAS[[#This Row],[Cantidad]]+VLOOKUP(VENTAS[[#This Row],[Código del producto Vendido]],STOCK[],19,FALSE)*VENTAS[[#This Row],[Cantidad]],VENTAS[[#This Row],[Total]])</f>
        <v>15.5277272727273</v>
      </c>
      <c r="L1011" s="35">
        <f>VENTAS[[#This Row],[Total]]-VENTAS[[#This Row],[Comisión 10%]]-VENTAS[[#This Row],[Costo SIN Comision]]</f>
        <v>2.4722727272727</v>
      </c>
      <c r="M1011" s="35"/>
    </row>
    <row r="1012" ht="20" customHeight="1" spans="1:13">
      <c r="A1012" s="29">
        <v>45475</v>
      </c>
      <c r="B1012" s="30"/>
      <c r="C1012" s="30"/>
      <c r="D1012" s="30" t="s">
        <v>3502</v>
      </c>
      <c r="E1012" s="30" t="s">
        <v>1171</v>
      </c>
      <c r="F1012" s="34" t="str">
        <f>IFERROR(VLOOKUP(VENTAS[[#This Row],[Código del producto Vendido]],STOCK[],5,FALSE),"-")</f>
        <v>Vestido camisero con estampado y cinturón </v>
      </c>
      <c r="G1012" s="34">
        <v>1</v>
      </c>
      <c r="H1012" s="35">
        <v>28</v>
      </c>
      <c r="I1012" s="35">
        <f>VENTAS[[#This Row],[Cantidad]]*VENTAS[[#This Row],[Precio Venta]]</f>
        <v>28</v>
      </c>
      <c r="J1012" s="35">
        <f>IF(VENTAS[[#This Row],[Nombre del Gestor]]&gt;1,VENTAS[[#This Row],[Total]]*10%,0)</f>
        <v>2.8</v>
      </c>
      <c r="K1012" s="35">
        <f>IFERROR(VLOOKUP(VENTAS[[#This Row],[Código del producto Vendido]],STOCK[],16,FALSE)*VENTAS[[#This Row],[Cantidad]]+VLOOKUP(VENTAS[[#This Row],[Código del producto Vendido]],STOCK[],19,FALSE)*VENTAS[[#This Row],[Cantidad]],VENTAS[[#This Row],[Total]])</f>
        <v>17.65</v>
      </c>
      <c r="L1012" s="35">
        <f>VENTAS[[#This Row],[Total]]-VENTAS[[#This Row],[Comisión 10%]]-VENTAS[[#This Row],[Costo SIN Comision]]</f>
        <v>7.55</v>
      </c>
      <c r="M1012" s="35"/>
    </row>
    <row r="1013" ht="20" customHeight="1" spans="1:13">
      <c r="A1013" s="29">
        <v>45475</v>
      </c>
      <c r="B1013" s="30"/>
      <c r="C1013" s="30" t="s">
        <v>3528</v>
      </c>
      <c r="D1013" s="30" t="s">
        <v>3339</v>
      </c>
      <c r="E1013" s="30" t="s">
        <v>1231</v>
      </c>
      <c r="F1013" s="34" t="str">
        <f>IFERROR(VLOOKUP(VENTAS[[#This Row],[Código del producto Vendido]],STOCK[],5,FALSE),"-")</f>
        <v>Short elegante de pierna ancha con doblez </v>
      </c>
      <c r="G1013" s="34">
        <v>1</v>
      </c>
      <c r="H1013" s="35">
        <v>22</v>
      </c>
      <c r="I1013" s="35">
        <f>VENTAS[[#This Row],[Cantidad]]*VENTAS[[#This Row],[Precio Venta]]</f>
        <v>22</v>
      </c>
      <c r="J1013" s="35">
        <f>IF(VENTAS[[#This Row],[Nombre del Gestor]]&gt;1,VENTAS[[#This Row],[Total]]*10%,0)</f>
        <v>2.2</v>
      </c>
      <c r="K1013" s="35">
        <f>IFERROR(VLOOKUP(VENTAS[[#This Row],[Código del producto Vendido]],STOCK[],16,FALSE)*VENTAS[[#This Row],[Cantidad]]+VLOOKUP(VENTAS[[#This Row],[Código del producto Vendido]],STOCK[],19,FALSE)*VENTAS[[#This Row],[Cantidad]],VENTAS[[#This Row],[Total]])</f>
        <v>14.37</v>
      </c>
      <c r="L1013" s="35">
        <f>VENTAS[[#This Row],[Total]]-VENTAS[[#This Row],[Comisión 10%]]-VENTAS[[#This Row],[Costo SIN Comision]]</f>
        <v>5.43</v>
      </c>
      <c r="M1013" s="35"/>
    </row>
    <row r="1014" ht="20" customHeight="1" spans="1:13">
      <c r="A1014" s="29">
        <v>45475</v>
      </c>
      <c r="B1014" s="30"/>
      <c r="C1014" s="30" t="s">
        <v>3528</v>
      </c>
      <c r="D1014" s="30" t="s">
        <v>3339</v>
      </c>
      <c r="E1014" s="30" t="s">
        <v>1740</v>
      </c>
      <c r="F1014" s="34" t="str">
        <f>IFERROR(VLOOKUP(VENTAS[[#This Row],[Código del producto Vendido]],STOCK[],5,FALSE),"-")</f>
        <v>Kimono Dazy Elegante</v>
      </c>
      <c r="G1014" s="34">
        <v>1</v>
      </c>
      <c r="H1014" s="35">
        <v>22</v>
      </c>
      <c r="I1014" s="35">
        <f>VENTAS[[#This Row],[Cantidad]]*VENTAS[[#This Row],[Precio Venta]]</f>
        <v>22</v>
      </c>
      <c r="J1014" s="35">
        <f>IF(VENTAS[[#This Row],[Nombre del Gestor]]&gt;1,VENTAS[[#This Row],[Total]]*10%,0)</f>
        <v>2.2</v>
      </c>
      <c r="K1014" s="35">
        <f>IFERROR(VLOOKUP(VENTAS[[#This Row],[Código del producto Vendido]],STOCK[],16,FALSE)*VENTAS[[#This Row],[Cantidad]]+VLOOKUP(VENTAS[[#This Row],[Código del producto Vendido]],STOCK[],19,FALSE)*VENTAS[[#This Row],[Cantidad]],VENTAS[[#This Row],[Total]])</f>
        <v>13.3529411764706</v>
      </c>
      <c r="L1014" s="35">
        <f>VENTAS[[#This Row],[Total]]-VENTAS[[#This Row],[Comisión 10%]]-VENTAS[[#This Row],[Costo SIN Comision]]</f>
        <v>6.44705882352941</v>
      </c>
      <c r="M1014" s="35"/>
    </row>
    <row r="1015" ht="20" customHeight="1" spans="1:13">
      <c r="A1015" s="29">
        <v>45475</v>
      </c>
      <c r="B1015" s="30"/>
      <c r="C1015" s="30"/>
      <c r="D1015" s="30" t="s">
        <v>3478</v>
      </c>
      <c r="E1015" s="30" t="s">
        <v>1003</v>
      </c>
      <c r="F1015" s="34" t="str">
        <f>IFERROR(VLOOKUP(VENTAS[[#This Row],[Código del producto Vendido]],STOCK[],5,FALSE),"-")</f>
        <v>Vestido frenchy de puntos</v>
      </c>
      <c r="G1015" s="34">
        <v>1</v>
      </c>
      <c r="H1015" s="35">
        <v>25</v>
      </c>
      <c r="I1015" s="35">
        <f>VENTAS[[#This Row],[Cantidad]]*VENTAS[[#This Row],[Precio Venta]]</f>
        <v>25</v>
      </c>
      <c r="J1015" s="35">
        <f>IF(VENTAS[[#This Row],[Nombre del Gestor]]&gt;1,VENTAS[[#This Row],[Total]]*10%,0)</f>
        <v>2.5</v>
      </c>
      <c r="K1015" s="35">
        <f>IFERROR(VLOOKUP(VENTAS[[#This Row],[Código del producto Vendido]],STOCK[],16,FALSE)*VENTAS[[#This Row],[Cantidad]]+VLOOKUP(VENTAS[[#This Row],[Código del producto Vendido]],STOCK[],19,FALSE)*VENTAS[[#This Row],[Cantidad]],VENTAS[[#This Row],[Total]])</f>
        <v>15.3272727272727</v>
      </c>
      <c r="L1015" s="35">
        <f>VENTAS[[#This Row],[Total]]-VENTAS[[#This Row],[Comisión 10%]]-VENTAS[[#This Row],[Costo SIN Comision]]</f>
        <v>7.1727272727273</v>
      </c>
      <c r="M1015" s="35"/>
    </row>
    <row r="1016" ht="20" customHeight="1" spans="1:13">
      <c r="A1016" s="29">
        <v>45475</v>
      </c>
      <c r="B1016" s="30"/>
      <c r="C1016" s="30"/>
      <c r="D1016" s="30" t="s">
        <v>3478</v>
      </c>
      <c r="E1016" s="30" t="s">
        <v>1212</v>
      </c>
      <c r="F1016" s="34" t="str">
        <f>IFERROR(VLOOKUP(VENTAS[[#This Row],[Código del producto Vendido]],STOCK[],5,FALSE),"-")</f>
        <v>Falda negra con flores y abertura</v>
      </c>
      <c r="G1016" s="34">
        <v>1</v>
      </c>
      <c r="H1016" s="35">
        <v>18</v>
      </c>
      <c r="I1016" s="35">
        <f>VENTAS[[#This Row],[Cantidad]]*VENTAS[[#This Row],[Precio Venta]]</f>
        <v>18</v>
      </c>
      <c r="J1016" s="35">
        <f>IF(VENTAS[[#This Row],[Nombre del Gestor]]&gt;1,VENTAS[[#This Row],[Total]]*10%,0)</f>
        <v>1.8</v>
      </c>
      <c r="K1016" s="35">
        <f>IFERROR(VLOOKUP(VENTAS[[#This Row],[Código del producto Vendido]],STOCK[],16,FALSE)*VENTAS[[#This Row],[Cantidad]]+VLOOKUP(VENTAS[[#This Row],[Código del producto Vendido]],STOCK[],19,FALSE)*VENTAS[[#This Row],[Cantidad]],VENTAS[[#This Row],[Total]])</f>
        <v>10.77</v>
      </c>
      <c r="L1016" s="35">
        <f>VENTAS[[#This Row],[Total]]-VENTAS[[#This Row],[Comisión 10%]]-VENTAS[[#This Row],[Costo SIN Comision]]</f>
        <v>5.43</v>
      </c>
      <c r="M1016" s="35"/>
    </row>
    <row r="1017" ht="20" customHeight="1" spans="1:13">
      <c r="A1017" s="29">
        <v>45475</v>
      </c>
      <c r="B1017" s="30"/>
      <c r="C1017" s="30"/>
      <c r="D1017" s="30" t="s">
        <v>3478</v>
      </c>
      <c r="E1017" s="30" t="s">
        <v>1168</v>
      </c>
      <c r="F1017" s="34" t="str">
        <f>IFERROR(VLOOKUP(VENTAS[[#This Row],[Código del producto Vendido]],STOCK[],5,FALSE),"-")</f>
        <v>Pullover Dazy cuello redondo Blanco</v>
      </c>
      <c r="G1017" s="34">
        <v>1</v>
      </c>
      <c r="H1017" s="35">
        <v>13</v>
      </c>
      <c r="I1017" s="35">
        <f>VENTAS[[#This Row],[Cantidad]]*VENTAS[[#This Row],[Precio Venta]]</f>
        <v>13</v>
      </c>
      <c r="J1017" s="35">
        <f>IF(VENTAS[[#This Row],[Nombre del Gestor]]&gt;1,VENTAS[[#This Row],[Total]]*10%,0)</f>
        <v>1.3</v>
      </c>
      <c r="K1017" s="35">
        <f>IFERROR(VLOOKUP(VENTAS[[#This Row],[Código del producto Vendido]],STOCK[],16,FALSE)*VENTAS[[#This Row],[Cantidad]]+VLOOKUP(VENTAS[[#This Row],[Código del producto Vendido]],STOCK[],19,FALSE)*VENTAS[[#This Row],[Cantidad]],VENTAS[[#This Row],[Total]])</f>
        <v>8.61</v>
      </c>
      <c r="L1017" s="35">
        <f>VENTAS[[#This Row],[Total]]-VENTAS[[#This Row],[Comisión 10%]]-VENTAS[[#This Row],[Costo SIN Comision]]</f>
        <v>3.09</v>
      </c>
      <c r="M1017" s="35"/>
    </row>
    <row r="1018" ht="20" customHeight="1" spans="1:13">
      <c r="A1018" s="29">
        <v>45474</v>
      </c>
      <c r="B1018" s="30"/>
      <c r="C1018" s="30"/>
      <c r="D1018" s="30" t="s">
        <v>3507</v>
      </c>
      <c r="E1018" s="30" t="s">
        <v>1165</v>
      </c>
      <c r="F1018" s="34" t="str">
        <f>IFERROR(VLOOKUP(VENTAS[[#This Row],[Código del producto Vendido]],STOCK[],5,FALSE),"-")</f>
        <v>Short de mezclilla clara (no elastiza)</v>
      </c>
      <c r="G1018" s="34">
        <v>1</v>
      </c>
      <c r="H1018" s="35">
        <v>20</v>
      </c>
      <c r="I1018" s="35">
        <f>VENTAS[[#This Row],[Cantidad]]*VENTAS[[#This Row],[Precio Venta]]</f>
        <v>20</v>
      </c>
      <c r="J1018" s="35">
        <f>IF(VENTAS[[#This Row],[Nombre del Gestor]]&gt;1,VENTAS[[#This Row],[Total]]*10%,0)</f>
        <v>2</v>
      </c>
      <c r="K1018" s="35">
        <f>IFERROR(VLOOKUP(VENTAS[[#This Row],[Código del producto Vendido]],STOCK[],16,FALSE)*VENTAS[[#This Row],[Cantidad]]+VLOOKUP(VENTAS[[#This Row],[Código del producto Vendido]],STOCK[],19,FALSE)*VENTAS[[#This Row],[Cantidad]],VENTAS[[#This Row],[Total]])</f>
        <v>14.29</v>
      </c>
      <c r="L1018" s="35">
        <f>VENTAS[[#This Row],[Total]]-VENTAS[[#This Row],[Comisión 10%]]-VENTAS[[#This Row],[Costo SIN Comision]]</f>
        <v>3.71</v>
      </c>
      <c r="M1018" s="35"/>
    </row>
    <row r="1019" ht="20" customHeight="1" spans="1:13">
      <c r="A1019" s="29">
        <v>45459</v>
      </c>
      <c r="B1019" s="30"/>
      <c r="C1019" s="30"/>
      <c r="D1019" s="30" t="s">
        <v>3478</v>
      </c>
      <c r="E1019" s="30" t="s">
        <v>1823</v>
      </c>
      <c r="F1019" s="34" t="str">
        <f>IFERROR(VLOOKUP(VENTAS[[#This Row],[Código del producto Vendido]],STOCK[],5,FALSE),"-")</f>
        <v>Vestido Midi Elegante</v>
      </c>
      <c r="G1019" s="34">
        <v>1</v>
      </c>
      <c r="H1019" s="35">
        <v>22</v>
      </c>
      <c r="I1019" s="35">
        <f>VENTAS[[#This Row],[Cantidad]]*VENTAS[[#This Row],[Precio Venta]]</f>
        <v>22</v>
      </c>
      <c r="J1019" s="35">
        <f>IF(VENTAS[[#This Row],[Nombre del Gestor]]&gt;1,VENTAS[[#This Row],[Total]]*10%,0)</f>
        <v>2.2</v>
      </c>
      <c r="K1019" s="35">
        <f>IFERROR(VLOOKUP(VENTAS[[#This Row],[Código del producto Vendido]],STOCK[],16,FALSE)*VENTAS[[#This Row],[Cantidad]]+VLOOKUP(VENTAS[[#This Row],[Código del producto Vendido]],STOCK[],19,FALSE)*VENTAS[[#This Row],[Cantidad]],VENTAS[[#This Row],[Total]])</f>
        <v>10.79</v>
      </c>
      <c r="L1019" s="35">
        <f>VENTAS[[#This Row],[Total]]-VENTAS[[#This Row],[Comisión 10%]]-VENTAS[[#This Row],[Costo SIN Comision]]</f>
        <v>9.01</v>
      </c>
      <c r="M1019" s="35"/>
    </row>
    <row r="1020" ht="20" customHeight="1" spans="1:13">
      <c r="A1020" s="29">
        <v>45450</v>
      </c>
      <c r="B1020" s="30"/>
      <c r="C1020" s="30"/>
      <c r="D1020" s="30" t="s">
        <v>3478</v>
      </c>
      <c r="E1020" s="30" t="s">
        <v>1593</v>
      </c>
      <c r="F1020" s="34" t="str">
        <f>IFERROR(VLOOKUP(VENTAS[[#This Row],[Código del producto Vendido]],STOCK[],5,FALSE),"-")</f>
        <v>Sandalias flip de plataforma Negro</v>
      </c>
      <c r="G1020" s="34">
        <v>1</v>
      </c>
      <c r="H1020" s="35">
        <v>15</v>
      </c>
      <c r="I1020" s="35">
        <f>VENTAS[[#This Row],[Cantidad]]*VENTAS[[#This Row],[Precio Venta]]</f>
        <v>15</v>
      </c>
      <c r="J1020" s="35">
        <f>IF(VENTAS[[#This Row],[Nombre del Gestor]]&gt;1,VENTAS[[#This Row],[Total]]*10%,0)</f>
        <v>1.5</v>
      </c>
      <c r="K1020" s="35">
        <f>IFERROR(VLOOKUP(VENTAS[[#This Row],[Código del producto Vendido]],STOCK[],16,FALSE)*VENTAS[[#This Row],[Cantidad]]+VLOOKUP(VENTAS[[#This Row],[Código del producto Vendido]],STOCK[],19,FALSE)*VENTAS[[#This Row],[Cantidad]],VENTAS[[#This Row],[Total]])</f>
        <v>9.49</v>
      </c>
      <c r="L1020" s="35">
        <f>VENTAS[[#This Row],[Total]]-VENTAS[[#This Row],[Comisión 10%]]-VENTAS[[#This Row],[Costo SIN Comision]]</f>
        <v>4.01</v>
      </c>
      <c r="M1020" s="35"/>
    </row>
    <row r="1021" ht="20" customHeight="1" spans="1:13">
      <c r="A1021" s="29">
        <v>45479</v>
      </c>
      <c r="B1021" s="30"/>
      <c r="C1021" s="30"/>
      <c r="D1021" s="30" t="s">
        <v>3478</v>
      </c>
      <c r="E1021" s="30" t="s">
        <v>2209</v>
      </c>
      <c r="F1021" s="34" t="str">
        <f>IFERROR(VLOOKUP(VENTAS[[#This Row],[Código del producto Vendido]],STOCK[],5,FALSE),"-")</f>
        <v>Vestido Resorte estampado bohemio</v>
      </c>
      <c r="G1021" s="34">
        <v>1</v>
      </c>
      <c r="H1021" s="35">
        <v>35</v>
      </c>
      <c r="I1021" s="35">
        <f>VENTAS[[#This Row],[Cantidad]]*VENTAS[[#This Row],[Precio Venta]]</f>
        <v>35</v>
      </c>
      <c r="J1021" s="35">
        <f>IF(VENTAS[[#This Row],[Nombre del Gestor]]&gt;1,VENTAS[[#This Row],[Total]]*10%,0)</f>
        <v>3.5</v>
      </c>
      <c r="K1021" s="35">
        <f>IFERROR(VLOOKUP(VENTAS[[#This Row],[Código del producto Vendido]],STOCK[],16,FALSE)*VENTAS[[#This Row],[Cantidad]]+VLOOKUP(VENTAS[[#This Row],[Código del producto Vendido]],STOCK[],19,FALSE)*VENTAS[[#This Row],[Cantidad]],VENTAS[[#This Row],[Total]])</f>
        <v>15.39</v>
      </c>
      <c r="L1021" s="35">
        <f>VENTAS[[#This Row],[Total]]-VENTAS[[#This Row],[Comisión 10%]]-VENTAS[[#This Row],[Costo SIN Comision]]</f>
        <v>16.11</v>
      </c>
      <c r="M1021" s="35"/>
    </row>
    <row r="1022" ht="20" customHeight="1" spans="1:13">
      <c r="A1022" s="29">
        <v>45479</v>
      </c>
      <c r="B1022" s="30"/>
      <c r="C1022" s="30"/>
      <c r="D1022" s="30" t="s">
        <v>3478</v>
      </c>
      <c r="E1022" s="30" t="s">
        <v>2253</v>
      </c>
      <c r="F1022" s="34" t="str">
        <f>IFERROR(VLOOKUP(VENTAS[[#This Row],[Código del producto Vendido]],STOCK[],5,FALSE),"-")</f>
        <v>Vestido Resorte estampado bohemio</v>
      </c>
      <c r="G1022" s="34">
        <v>1</v>
      </c>
      <c r="H1022" s="35">
        <v>35</v>
      </c>
      <c r="I1022" s="35">
        <f>VENTAS[[#This Row],[Cantidad]]*VENTAS[[#This Row],[Precio Venta]]</f>
        <v>35</v>
      </c>
      <c r="J1022" s="35">
        <f>IF(VENTAS[[#This Row],[Nombre del Gestor]]&gt;1,VENTAS[[#This Row],[Total]]*10%,0)</f>
        <v>3.5</v>
      </c>
      <c r="K1022" s="35">
        <f>IFERROR(VLOOKUP(VENTAS[[#This Row],[Código del producto Vendido]],STOCK[],16,FALSE)*VENTAS[[#This Row],[Cantidad]]+VLOOKUP(VENTAS[[#This Row],[Código del producto Vendido]],STOCK[],19,FALSE)*VENTAS[[#This Row],[Cantidad]],VENTAS[[#This Row],[Total]])</f>
        <v>15.39</v>
      </c>
      <c r="L1022" s="35">
        <f>VENTAS[[#This Row],[Total]]-VENTAS[[#This Row],[Comisión 10%]]-VENTAS[[#This Row],[Costo SIN Comision]]</f>
        <v>16.11</v>
      </c>
      <c r="M1022" s="35"/>
    </row>
    <row r="1023" ht="20" customHeight="1" spans="1:13">
      <c r="A1023" s="29">
        <v>45479</v>
      </c>
      <c r="B1023" s="30"/>
      <c r="C1023" s="30"/>
      <c r="D1023" s="30" t="s">
        <v>3478</v>
      </c>
      <c r="E1023" s="30" t="s">
        <v>2288</v>
      </c>
      <c r="F1023" s="34" t="str">
        <f>IFERROR(VLOOKUP(VENTAS[[#This Row],[Código del producto Vendido]],STOCK[],5,FALSE),"-")</f>
        <v>Maxi vestido de cuello healter de Lunares</v>
      </c>
      <c r="G1023" s="34">
        <v>1</v>
      </c>
      <c r="H1023" s="35">
        <v>35</v>
      </c>
      <c r="I1023" s="35">
        <f>VENTAS[[#This Row],[Cantidad]]*VENTAS[[#This Row],[Precio Venta]]</f>
        <v>35</v>
      </c>
      <c r="J1023" s="35">
        <f>IF(VENTAS[[#This Row],[Nombre del Gestor]]&gt;1,VENTAS[[#This Row],[Total]]*10%,0)</f>
        <v>3.5</v>
      </c>
      <c r="K1023" s="35">
        <f>IFERROR(VLOOKUP(VENTAS[[#This Row],[Código del producto Vendido]],STOCK[],16,FALSE)*VENTAS[[#This Row],[Cantidad]]+VLOOKUP(VENTAS[[#This Row],[Código del producto Vendido]],STOCK[],19,FALSE)*VENTAS[[#This Row],[Cantidad]],VENTAS[[#This Row],[Total]])</f>
        <v>12.69</v>
      </c>
      <c r="L1023" s="35">
        <f>VENTAS[[#This Row],[Total]]-VENTAS[[#This Row],[Comisión 10%]]-VENTAS[[#This Row],[Costo SIN Comision]]</f>
        <v>18.81</v>
      </c>
      <c r="M1023" s="35"/>
    </row>
    <row r="1024" ht="20" customHeight="1" spans="1:13">
      <c r="A1024" s="29">
        <v>45479</v>
      </c>
      <c r="B1024" s="30"/>
      <c r="C1024" s="30"/>
      <c r="D1024" s="30" t="s">
        <v>3478</v>
      </c>
      <c r="E1024" s="30" t="s">
        <v>2318</v>
      </c>
      <c r="F1024" s="34" t="str">
        <f>IFERROR(VLOOKUP(VENTAS[[#This Row],[Código del producto Vendido]],STOCK[],5,FALSE),"-")</f>
        <v>Vestido color block de bajo asimétrico</v>
      </c>
      <c r="G1024" s="34">
        <v>1</v>
      </c>
      <c r="H1024" s="35">
        <v>30</v>
      </c>
      <c r="I1024" s="35">
        <f>VENTAS[[#This Row],[Cantidad]]*VENTAS[[#This Row],[Precio Venta]]</f>
        <v>30</v>
      </c>
      <c r="J1024" s="35">
        <f>IF(VENTAS[[#This Row],[Nombre del Gestor]]&gt;1,VENTAS[[#This Row],[Total]]*10%,0)</f>
        <v>3</v>
      </c>
      <c r="K1024" s="35">
        <f>IFERROR(VLOOKUP(VENTAS[[#This Row],[Código del producto Vendido]],STOCK[],16,FALSE)*VENTAS[[#This Row],[Cantidad]]+VLOOKUP(VENTAS[[#This Row],[Código del producto Vendido]],STOCK[],19,FALSE)*VENTAS[[#This Row],[Cantidad]],VENTAS[[#This Row],[Total]])</f>
        <v>17.214375</v>
      </c>
      <c r="L1024" s="35">
        <f>VENTAS[[#This Row],[Total]]-VENTAS[[#This Row],[Comisión 10%]]-VENTAS[[#This Row],[Costo SIN Comision]]</f>
        <v>9.785625</v>
      </c>
      <c r="M1024" s="35"/>
    </row>
    <row r="1025" ht="20" customHeight="1" spans="1:13">
      <c r="A1025" s="29">
        <v>45479</v>
      </c>
      <c r="B1025" s="30"/>
      <c r="C1025" s="30"/>
      <c r="D1025" s="30" t="s">
        <v>3478</v>
      </c>
      <c r="E1025" s="30" t="s">
        <v>1616</v>
      </c>
      <c r="F1025" s="34" t="str">
        <f>IFERROR(VLOOKUP(VENTAS[[#This Row],[Código del producto Vendido]],STOCK[],5,FALSE),"-")</f>
        <v>Vestido largo estampado</v>
      </c>
      <c r="G1025" s="34">
        <v>1</v>
      </c>
      <c r="H1025" s="35">
        <v>30</v>
      </c>
      <c r="I1025" s="35">
        <f>VENTAS[[#This Row],[Cantidad]]*VENTAS[[#This Row],[Precio Venta]]</f>
        <v>30</v>
      </c>
      <c r="J1025" s="35">
        <f>IF(VENTAS[[#This Row],[Nombre del Gestor]]&gt;1,VENTAS[[#This Row],[Total]]*10%,0)</f>
        <v>3</v>
      </c>
      <c r="K1025" s="35">
        <f>IFERROR(VLOOKUP(VENTAS[[#This Row],[Código del producto Vendido]],STOCK[],16,FALSE)*VENTAS[[#This Row],[Cantidad]]+VLOOKUP(VENTAS[[#This Row],[Código del producto Vendido]],STOCK[],19,FALSE)*VENTAS[[#This Row],[Cantidad]],VENTAS[[#This Row],[Total]])</f>
        <v>15.09</v>
      </c>
      <c r="L1025" s="35">
        <f>VENTAS[[#This Row],[Total]]-VENTAS[[#This Row],[Comisión 10%]]-VENTAS[[#This Row],[Costo SIN Comision]]</f>
        <v>11.91</v>
      </c>
      <c r="M1025" s="35"/>
    </row>
    <row r="1026" ht="20" customHeight="1" spans="1:13">
      <c r="A1026" s="29">
        <v>45479</v>
      </c>
      <c r="B1026" s="30"/>
      <c r="C1026" s="30"/>
      <c r="D1026" s="30" t="s">
        <v>3478</v>
      </c>
      <c r="E1026" s="30" t="s">
        <v>1128</v>
      </c>
      <c r="F1026" s="34" t="str">
        <f>IFERROR(VLOOKUP(VENTAS[[#This Row],[Código del producto Vendido]],STOCK[],5,FALSE),"-")</f>
        <v>Maxi vestido floreado con abertura</v>
      </c>
      <c r="G1026" s="34">
        <v>1</v>
      </c>
      <c r="H1026" s="35">
        <v>35</v>
      </c>
      <c r="I1026" s="35">
        <f>VENTAS[[#This Row],[Cantidad]]*VENTAS[[#This Row],[Precio Venta]]</f>
        <v>35</v>
      </c>
      <c r="J1026" s="35">
        <f>IF(VENTAS[[#This Row],[Nombre del Gestor]]&gt;1,VENTAS[[#This Row],[Total]]*10%,0)</f>
        <v>3.5</v>
      </c>
      <c r="K1026" s="35">
        <f>IFERROR(VLOOKUP(VENTAS[[#This Row],[Código del producto Vendido]],STOCK[],16,FALSE)*VENTAS[[#This Row],[Cantidad]]+VLOOKUP(VENTAS[[#This Row],[Código del producto Vendido]],STOCK[],19,FALSE)*VENTAS[[#This Row],[Cantidad]],VENTAS[[#This Row],[Total]])</f>
        <v>23.6544117647059</v>
      </c>
      <c r="L1026" s="35">
        <f>VENTAS[[#This Row],[Total]]-VENTAS[[#This Row],[Comisión 10%]]-VENTAS[[#This Row],[Costo SIN Comision]]</f>
        <v>7.8455882352941</v>
      </c>
      <c r="M1026" s="35"/>
    </row>
    <row r="1027" ht="20" customHeight="1" spans="1:13">
      <c r="A1027" s="29">
        <v>45476</v>
      </c>
      <c r="B1027" s="30"/>
      <c r="C1027" s="30"/>
      <c r="D1027" s="30" t="s">
        <v>3503</v>
      </c>
      <c r="E1027" s="30" t="s">
        <v>1105</v>
      </c>
      <c r="F1027" s="34" t="str">
        <f>IFERROR(VLOOKUP(VENTAS[[#This Row],[Código del producto Vendido]],STOCK[],5,FALSE),"-")</f>
        <v>Jumpsuit Palazzo Oliva</v>
      </c>
      <c r="G1027" s="34">
        <v>1</v>
      </c>
      <c r="H1027" s="35">
        <v>28</v>
      </c>
      <c r="I1027" s="35">
        <f>VENTAS[[#This Row],[Cantidad]]*VENTAS[[#This Row],[Precio Venta]]</f>
        <v>28</v>
      </c>
      <c r="J1027" s="35">
        <f>IF(VENTAS[[#This Row],[Nombre del Gestor]]&gt;1,VENTAS[[#This Row],[Total]]*10%,0)</f>
        <v>2.8</v>
      </c>
      <c r="K1027" s="35">
        <f>IFERROR(VLOOKUP(VENTAS[[#This Row],[Código del producto Vendido]],STOCK[],16,FALSE)*VENTAS[[#This Row],[Cantidad]]+VLOOKUP(VENTAS[[#This Row],[Código del producto Vendido]],STOCK[],19,FALSE)*VENTAS[[#This Row],[Cantidad]],VENTAS[[#This Row],[Total]])</f>
        <v>18.4279411764706</v>
      </c>
      <c r="L1027" s="35">
        <f>VENTAS[[#This Row],[Total]]-VENTAS[[#This Row],[Comisión 10%]]-VENTAS[[#This Row],[Costo SIN Comision]]</f>
        <v>6.7720588235294</v>
      </c>
      <c r="M1027" s="35"/>
    </row>
    <row r="1028" ht="20" customHeight="1" spans="1:13">
      <c r="A1028" s="29">
        <v>45479</v>
      </c>
      <c r="B1028" s="30"/>
      <c r="C1028" s="30"/>
      <c r="D1028" s="30" t="s">
        <v>3478</v>
      </c>
      <c r="E1028" s="30" t="s">
        <v>715</v>
      </c>
      <c r="F1028" s="34" t="str">
        <f>IFERROR(VLOOKUP(VENTAS[[#This Row],[Código del producto Vendido]],STOCK[],5,FALSE),"-")</f>
        <v>Vestido con cordón de ajuste H&amp;M</v>
      </c>
      <c r="G1028" s="34">
        <v>1</v>
      </c>
      <c r="H1028" s="35">
        <v>19</v>
      </c>
      <c r="I1028" s="35">
        <f>VENTAS[[#This Row],[Cantidad]]*VENTAS[[#This Row],[Precio Venta]]</f>
        <v>19</v>
      </c>
      <c r="J1028" s="35">
        <f>IF(VENTAS[[#This Row],[Nombre del Gestor]]&gt;1,VENTAS[[#This Row],[Total]]*10%,0)</f>
        <v>1.9</v>
      </c>
      <c r="K1028" s="35">
        <f>IFERROR(VLOOKUP(VENTAS[[#This Row],[Código del producto Vendido]],STOCK[],16,FALSE)*VENTAS[[#This Row],[Cantidad]]+VLOOKUP(VENTAS[[#This Row],[Código del producto Vendido]],STOCK[],19,FALSE)*VENTAS[[#This Row],[Cantidad]],VENTAS[[#This Row],[Total]])</f>
        <v>12.9444444444444</v>
      </c>
      <c r="L1028" s="35">
        <f>VENTAS[[#This Row],[Total]]-VENTAS[[#This Row],[Comisión 10%]]-VENTAS[[#This Row],[Costo SIN Comision]]</f>
        <v>4.15555555555556</v>
      </c>
      <c r="M1028" s="35"/>
    </row>
    <row r="1029" ht="20" customHeight="1" spans="1:13">
      <c r="A1029" s="29">
        <v>45482</v>
      </c>
      <c r="B1029" s="30"/>
      <c r="C1029" s="30"/>
      <c r="D1029" s="30" t="s">
        <v>3507</v>
      </c>
      <c r="E1029" s="30" t="s">
        <v>341</v>
      </c>
      <c r="F1029" s="34" t="str">
        <f>IFERROR(VLOOKUP(VENTAS[[#This Row],[Código del producto Vendido]],STOCK[],5,FALSE),"-")</f>
        <v> Body de encaje</v>
      </c>
      <c r="G1029" s="34">
        <v>1</v>
      </c>
      <c r="H1029" s="35">
        <v>8</v>
      </c>
      <c r="I1029" s="35">
        <f>VENTAS[[#This Row],[Cantidad]]*VENTAS[[#This Row],[Precio Venta]]</f>
        <v>8</v>
      </c>
      <c r="J1029" s="35">
        <f>IF(VENTAS[[#This Row],[Nombre del Gestor]]&gt;1,VENTAS[[#This Row],[Total]]*10%,0)</f>
        <v>0.8</v>
      </c>
      <c r="K1029" s="35">
        <f>IFERROR(VLOOKUP(VENTAS[[#This Row],[Código del producto Vendido]],STOCK[],16,FALSE)*VENTAS[[#This Row],[Cantidad]]+VLOOKUP(VENTAS[[#This Row],[Código del producto Vendido]],STOCK[],19,FALSE)*VENTAS[[#This Row],[Cantidad]],VENTAS[[#This Row],[Total]])</f>
        <v>4.76666666666667</v>
      </c>
      <c r="L1029" s="35">
        <f>VENTAS[[#This Row],[Total]]-VENTAS[[#This Row],[Comisión 10%]]-VENTAS[[#This Row],[Costo SIN Comision]]</f>
        <v>2.43333333333333</v>
      </c>
      <c r="M1029" s="35"/>
    </row>
    <row r="1030" ht="20" customHeight="1" spans="1:13">
      <c r="A1030" s="29">
        <v>45479</v>
      </c>
      <c r="B1030" s="30"/>
      <c r="C1030" s="30"/>
      <c r="D1030" s="30" t="s">
        <v>3478</v>
      </c>
      <c r="E1030" s="30" t="s">
        <v>311</v>
      </c>
      <c r="F1030" s="34" t="str">
        <f>IFERROR(VLOOKUP(VENTAS[[#This Row],[Código del producto Vendido]],STOCK[],5,FALSE),"-")</f>
        <v>Vestido ajustado de titrantes finos</v>
      </c>
      <c r="G1030" s="34">
        <v>1</v>
      </c>
      <c r="H1030" s="35">
        <v>22</v>
      </c>
      <c r="I1030" s="35">
        <f>VENTAS[[#This Row],[Cantidad]]*VENTAS[[#This Row],[Precio Venta]]</f>
        <v>22</v>
      </c>
      <c r="J1030" s="35">
        <f>IF(VENTAS[[#This Row],[Nombre del Gestor]]&gt;1,VENTAS[[#This Row],[Total]]*10%,0)</f>
        <v>2.2</v>
      </c>
      <c r="K1030" s="35">
        <f>IFERROR(VLOOKUP(VENTAS[[#This Row],[Código del producto Vendido]],STOCK[],16,FALSE)*VENTAS[[#This Row],[Cantidad]]+VLOOKUP(VENTAS[[#This Row],[Código del producto Vendido]],STOCK[],19,FALSE)*VENTAS[[#This Row],[Cantidad]],VENTAS[[#This Row],[Total]])</f>
        <v>13.1111111111111</v>
      </c>
      <c r="L1030" s="35">
        <f>VENTAS[[#This Row],[Total]]-VENTAS[[#This Row],[Comisión 10%]]-VENTAS[[#This Row],[Costo SIN Comision]]</f>
        <v>6.6888888888889</v>
      </c>
      <c r="M1030" s="35"/>
    </row>
    <row r="1031" ht="20" customHeight="1" spans="1:13">
      <c r="A1031" s="29">
        <v>45479</v>
      </c>
      <c r="B1031" s="30"/>
      <c r="C1031" s="30"/>
      <c r="D1031" s="30" t="s">
        <v>3478</v>
      </c>
      <c r="E1031" s="30" t="s">
        <v>1851</v>
      </c>
      <c r="F1031" s="34" t="str">
        <f>IFERROR(VLOOKUP(VENTAS[[#This Row],[Código del producto Vendido]],STOCK[],5,FALSE),"-")</f>
        <v>Crossbody Bag Negro Lacado</v>
      </c>
      <c r="G1031" s="34">
        <v>1</v>
      </c>
      <c r="H1031" s="35">
        <v>20</v>
      </c>
      <c r="I1031" s="35">
        <f>VENTAS[[#This Row],[Cantidad]]*VENTAS[[#This Row],[Precio Venta]]</f>
        <v>20</v>
      </c>
      <c r="J1031" s="35">
        <f>IF(VENTAS[[#This Row],[Nombre del Gestor]]&gt;1,VENTAS[[#This Row],[Total]]*10%,0)</f>
        <v>2</v>
      </c>
      <c r="K1031" s="35">
        <f>IFERROR(VLOOKUP(VENTAS[[#This Row],[Código del producto Vendido]],STOCK[],16,FALSE)*VENTAS[[#This Row],[Cantidad]]+VLOOKUP(VENTAS[[#This Row],[Código del producto Vendido]],STOCK[],19,FALSE)*VENTAS[[#This Row],[Cantidad]],VENTAS[[#This Row],[Total]])</f>
        <v>10.79</v>
      </c>
      <c r="L1031" s="35">
        <f>VENTAS[[#This Row],[Total]]-VENTAS[[#This Row],[Comisión 10%]]-VENTAS[[#This Row],[Costo SIN Comision]]</f>
        <v>7.21</v>
      </c>
      <c r="M1031" s="35"/>
    </row>
    <row r="1032" ht="20" customHeight="1" spans="1:13">
      <c r="A1032" s="29">
        <v>45478</v>
      </c>
      <c r="B1032" s="30"/>
      <c r="C1032" s="30"/>
      <c r="D1032" s="30" t="s">
        <v>3478</v>
      </c>
      <c r="E1032" s="30" t="s">
        <v>105</v>
      </c>
      <c r="F1032" s="34" t="str">
        <f>IFERROR(VLOOKUP(VENTAS[[#This Row],[Código del producto Vendido]],STOCK[],5,FALSE),"-")</f>
        <v>Bikini elegante con herrajes color negro</v>
      </c>
      <c r="G1032" s="34">
        <v>1</v>
      </c>
      <c r="H1032" s="35">
        <v>18</v>
      </c>
      <c r="I1032" s="35">
        <f>VENTAS[[#This Row],[Cantidad]]*VENTAS[[#This Row],[Precio Venta]]</f>
        <v>18</v>
      </c>
      <c r="J1032" s="35">
        <f>IF(VENTAS[[#This Row],[Nombre del Gestor]]&gt;1,VENTAS[[#This Row],[Total]]*10%,0)</f>
        <v>1.8</v>
      </c>
      <c r="K1032" s="35">
        <f>IFERROR(VLOOKUP(VENTAS[[#This Row],[Código del producto Vendido]],STOCK[],16,FALSE)*VENTAS[[#This Row],[Cantidad]]+VLOOKUP(VENTAS[[#This Row],[Código del producto Vendido]],STOCK[],19,FALSE)*VENTAS[[#This Row],[Cantidad]],VENTAS[[#This Row],[Total]])</f>
        <v>12.4194444444444</v>
      </c>
      <c r="L1032" s="35">
        <f>VENTAS[[#This Row],[Total]]-VENTAS[[#This Row],[Comisión 10%]]-VENTAS[[#This Row],[Costo SIN Comision]]</f>
        <v>3.78055555555556</v>
      </c>
      <c r="M1032" s="35"/>
    </row>
    <row r="1033" ht="20" customHeight="1" spans="1:13">
      <c r="A1033" s="29">
        <v>45477</v>
      </c>
      <c r="B1033" s="30"/>
      <c r="C1033" s="30"/>
      <c r="D1033" s="30" t="s">
        <v>3478</v>
      </c>
      <c r="E1033" s="30" t="s">
        <v>782</v>
      </c>
      <c r="F1033" s="34" t="str">
        <f>IFERROR(VLOOKUP(VENTAS[[#This Row],[Código del producto Vendido]],STOCK[],5,FALSE),"-")</f>
        <v>Top Negro en tela de algodón</v>
      </c>
      <c r="G1033" s="34">
        <v>1</v>
      </c>
      <c r="H1033" s="35">
        <v>10</v>
      </c>
      <c r="I1033" s="35">
        <f>VENTAS[[#This Row],[Cantidad]]*VENTAS[[#This Row],[Precio Venta]]</f>
        <v>10</v>
      </c>
      <c r="J1033" s="35">
        <f>IF(VENTAS[[#This Row],[Nombre del Gestor]]&gt;1,VENTAS[[#This Row],[Total]]*10%,0)</f>
        <v>1</v>
      </c>
      <c r="K1033" s="35">
        <f>IFERROR(VLOOKUP(VENTAS[[#This Row],[Código del producto Vendido]],STOCK[],16,FALSE)*VENTAS[[#This Row],[Cantidad]]+VLOOKUP(VENTAS[[#This Row],[Código del producto Vendido]],STOCK[],19,FALSE)*VENTAS[[#This Row],[Cantidad]],VENTAS[[#This Row],[Total]])</f>
        <v>6.05555555555556</v>
      </c>
      <c r="L1033" s="35">
        <f>VENTAS[[#This Row],[Total]]-VENTAS[[#This Row],[Comisión 10%]]-VENTAS[[#This Row],[Costo SIN Comision]]</f>
        <v>2.94444444444444</v>
      </c>
      <c r="M1033" s="35"/>
    </row>
    <row r="1034" ht="20" customHeight="1" spans="1:13">
      <c r="A1034" s="29">
        <v>45477</v>
      </c>
      <c r="B1034" s="30"/>
      <c r="C1034" s="30"/>
      <c r="D1034" s="30" t="s">
        <v>3478</v>
      </c>
      <c r="E1034" s="30" t="s">
        <v>1407</v>
      </c>
      <c r="F1034" s="34" t="str">
        <f>IFERROR(VLOOKUP(VENTAS[[#This Row],[Código del producto Vendido]],STOCK[],5,FALSE),"-")</f>
        <v>Pantaloneta con abertura y bolsillos</v>
      </c>
      <c r="G1034" s="34">
        <v>1</v>
      </c>
      <c r="H1034" s="35">
        <v>23</v>
      </c>
      <c r="I1034" s="35">
        <f>VENTAS[[#This Row],[Cantidad]]*VENTAS[[#This Row],[Precio Venta]]</f>
        <v>23</v>
      </c>
      <c r="J1034" s="35">
        <f>IF(VENTAS[[#This Row],[Nombre del Gestor]]&gt;1,VENTAS[[#This Row],[Total]]*10%,0)</f>
        <v>2.3</v>
      </c>
      <c r="K1034" s="35">
        <f>IFERROR(VLOOKUP(VENTAS[[#This Row],[Código del producto Vendido]],STOCK[],16,FALSE)*VENTAS[[#This Row],[Cantidad]]+VLOOKUP(VENTAS[[#This Row],[Código del producto Vendido]],STOCK[],19,FALSE)*VENTAS[[#This Row],[Cantidad]],VENTAS[[#This Row],[Total]])</f>
        <v>14.22</v>
      </c>
      <c r="L1034" s="35">
        <f>VENTAS[[#This Row],[Total]]-VENTAS[[#This Row],[Comisión 10%]]-VENTAS[[#This Row],[Costo SIN Comision]]</f>
        <v>6.48</v>
      </c>
      <c r="M1034" s="35"/>
    </row>
    <row r="1035" ht="20" customHeight="1" spans="1:13">
      <c r="A1035" s="29">
        <v>45477</v>
      </c>
      <c r="B1035" s="30"/>
      <c r="C1035" s="30"/>
      <c r="D1035" s="30" t="s">
        <v>3478</v>
      </c>
      <c r="E1035" s="30" t="s">
        <v>2387</v>
      </c>
      <c r="F1035" s="34" t="str">
        <f>IFERROR(VLOOKUP(VENTAS[[#This Row],[Código del producto Vendido]],STOCK[],5,FALSE),"-")</f>
        <v>Pullover Dazy cuello redondo Blanco</v>
      </c>
      <c r="G1035" s="34">
        <v>1</v>
      </c>
      <c r="H1035" s="35">
        <v>13</v>
      </c>
      <c r="I1035" s="35">
        <f>VENTAS[[#This Row],[Cantidad]]*VENTAS[[#This Row],[Precio Venta]]</f>
        <v>13</v>
      </c>
      <c r="J1035" s="35">
        <f>IF(VENTAS[[#This Row],[Nombre del Gestor]]&gt;1,VENTAS[[#This Row],[Total]]*10%,0)</f>
        <v>1.3</v>
      </c>
      <c r="K1035" s="35">
        <f>IFERROR(VLOOKUP(VENTAS[[#This Row],[Código del producto Vendido]],STOCK[],16,FALSE)*VENTAS[[#This Row],[Cantidad]]+VLOOKUP(VENTAS[[#This Row],[Código del producto Vendido]],STOCK[],19,FALSE)*VENTAS[[#This Row],[Cantidad]],VENTAS[[#This Row],[Total]])</f>
        <v>8.61</v>
      </c>
      <c r="L1035" s="35">
        <f>VENTAS[[#This Row],[Total]]-VENTAS[[#This Row],[Comisión 10%]]-VENTAS[[#This Row],[Costo SIN Comision]]</f>
        <v>3.09</v>
      </c>
      <c r="M1035" s="35"/>
    </row>
    <row r="1036" ht="20" customHeight="1" spans="1:13">
      <c r="A1036" s="29">
        <v>45477</v>
      </c>
      <c r="B1036" s="30"/>
      <c r="C1036" s="30"/>
      <c r="D1036" s="30" t="s">
        <v>3478</v>
      </c>
      <c r="E1036" s="30" t="s">
        <v>1174</v>
      </c>
      <c r="F1036" s="34" t="str">
        <f>IFERROR(VLOOKUP(VENTAS[[#This Row],[Código del producto Vendido]],STOCK[],5,FALSE),"-")</f>
        <v>Vestido camisero con estampado y cinturón </v>
      </c>
      <c r="G1036" s="34">
        <v>1</v>
      </c>
      <c r="H1036" s="35">
        <v>28</v>
      </c>
      <c r="I1036" s="35">
        <f>VENTAS[[#This Row],[Cantidad]]*VENTAS[[#This Row],[Precio Venta]]</f>
        <v>28</v>
      </c>
      <c r="J1036" s="35">
        <f>IF(VENTAS[[#This Row],[Nombre del Gestor]]&gt;1,VENTAS[[#This Row],[Total]]*10%,0)</f>
        <v>2.8</v>
      </c>
      <c r="K1036" s="35">
        <f>IFERROR(VLOOKUP(VENTAS[[#This Row],[Código del producto Vendido]],STOCK[],16,FALSE)*VENTAS[[#This Row],[Cantidad]]+VLOOKUP(VENTAS[[#This Row],[Código del producto Vendido]],STOCK[],19,FALSE)*VENTAS[[#This Row],[Cantidad]],VENTAS[[#This Row],[Total]])</f>
        <v>17.65</v>
      </c>
      <c r="L1036" s="35">
        <f>VENTAS[[#This Row],[Total]]-VENTAS[[#This Row],[Comisión 10%]]-VENTAS[[#This Row],[Costo SIN Comision]]</f>
        <v>7.55</v>
      </c>
      <c r="M1036" s="35"/>
    </row>
    <row r="1037" ht="20" customHeight="1" spans="1:13">
      <c r="A1037" s="29">
        <v>45476</v>
      </c>
      <c r="B1037" s="30"/>
      <c r="C1037" s="30"/>
      <c r="D1037" s="30" t="s">
        <v>3478</v>
      </c>
      <c r="E1037" s="30" t="s">
        <v>2387</v>
      </c>
      <c r="F1037" s="34" t="str">
        <f>IFERROR(VLOOKUP(VENTAS[[#This Row],[Código del producto Vendido]],STOCK[],5,FALSE),"-")</f>
        <v>Pullover Dazy cuello redondo Blanco</v>
      </c>
      <c r="G1037" s="34">
        <v>1</v>
      </c>
      <c r="H1037" s="35">
        <v>13</v>
      </c>
      <c r="I1037" s="35">
        <f>VENTAS[[#This Row],[Cantidad]]*VENTAS[[#This Row],[Precio Venta]]</f>
        <v>13</v>
      </c>
      <c r="J1037" s="35">
        <f>IF(VENTAS[[#This Row],[Nombre del Gestor]]&gt;1,VENTAS[[#This Row],[Total]]*10%,0)</f>
        <v>1.3</v>
      </c>
      <c r="K1037" s="35">
        <f>IFERROR(VLOOKUP(VENTAS[[#This Row],[Código del producto Vendido]],STOCK[],16,FALSE)*VENTAS[[#This Row],[Cantidad]]+VLOOKUP(VENTAS[[#This Row],[Código del producto Vendido]],STOCK[],19,FALSE)*VENTAS[[#This Row],[Cantidad]],VENTAS[[#This Row],[Total]])</f>
        <v>8.61</v>
      </c>
      <c r="L1037" s="35">
        <f>VENTAS[[#This Row],[Total]]-VENTAS[[#This Row],[Comisión 10%]]-VENTAS[[#This Row],[Costo SIN Comision]]</f>
        <v>3.09</v>
      </c>
      <c r="M1037" s="35"/>
    </row>
    <row r="1038" ht="20" customHeight="1" spans="1:13">
      <c r="A1038" s="29">
        <v>45476</v>
      </c>
      <c r="B1038" s="30"/>
      <c r="C1038" s="30"/>
      <c r="D1038" s="30" t="s">
        <v>3478</v>
      </c>
      <c r="E1038" s="30" t="s">
        <v>1216</v>
      </c>
      <c r="F1038" s="34" t="str">
        <f>IFERROR(VLOOKUP(VENTAS[[#This Row],[Código del producto Vendido]],STOCK[],5,FALSE),"-")</f>
        <v>Pullover negro cuello redondo</v>
      </c>
      <c r="G1038" s="34">
        <v>1</v>
      </c>
      <c r="H1038" s="35">
        <v>13</v>
      </c>
      <c r="I1038" s="35">
        <f>VENTAS[[#This Row],[Cantidad]]*VENTAS[[#This Row],[Precio Venta]]</f>
        <v>13</v>
      </c>
      <c r="J1038" s="35">
        <f>IF(VENTAS[[#This Row],[Nombre del Gestor]]&gt;1,VENTAS[[#This Row],[Total]]*10%,0)</f>
        <v>1.3</v>
      </c>
      <c r="K1038" s="35">
        <f>IFERROR(VLOOKUP(VENTAS[[#This Row],[Código del producto Vendido]],STOCK[],16,FALSE)*VENTAS[[#This Row],[Cantidad]]+VLOOKUP(VENTAS[[#This Row],[Código del producto Vendido]],STOCK[],19,FALSE)*VENTAS[[#This Row],[Cantidad]],VENTAS[[#This Row],[Total]])</f>
        <v>8.53</v>
      </c>
      <c r="L1038" s="35">
        <f>VENTAS[[#This Row],[Total]]-VENTAS[[#This Row],[Comisión 10%]]-VENTAS[[#This Row],[Costo SIN Comision]]</f>
        <v>3.17</v>
      </c>
      <c r="M1038" s="35"/>
    </row>
    <row r="1039" ht="20" customHeight="1" spans="1:13">
      <c r="A1039" s="29">
        <v>45476</v>
      </c>
      <c r="B1039" s="30"/>
      <c r="C1039" s="30"/>
      <c r="D1039" s="30" t="s">
        <v>3478</v>
      </c>
      <c r="E1039" s="30" t="s">
        <v>2139</v>
      </c>
      <c r="F1039" s="34" t="str">
        <f>IFERROR(VLOOKUP(VENTAS[[#This Row],[Código del producto Vendido]],STOCK[],5,FALSE),"-")</f>
        <v>Falda Bohemia de mezclilla de cintura alta con detalles de botón</v>
      </c>
      <c r="G1039" s="34">
        <v>1</v>
      </c>
      <c r="H1039" s="35">
        <v>30</v>
      </c>
      <c r="I1039" s="35">
        <f>VENTAS[[#This Row],[Cantidad]]*VENTAS[[#This Row],[Precio Venta]]</f>
        <v>30</v>
      </c>
      <c r="J1039" s="35">
        <f>IF(VENTAS[[#This Row],[Nombre del Gestor]]&gt;1,VENTAS[[#This Row],[Total]]*10%,0)</f>
        <v>3</v>
      </c>
      <c r="K1039" s="35">
        <f>IFERROR(VLOOKUP(VENTAS[[#This Row],[Código del producto Vendido]],STOCK[],16,FALSE)*VENTAS[[#This Row],[Cantidad]]+VLOOKUP(VENTAS[[#This Row],[Código del producto Vendido]],STOCK[],19,FALSE)*VENTAS[[#This Row],[Cantidad]],VENTAS[[#This Row],[Total]])</f>
        <v>7.05</v>
      </c>
      <c r="L1039" s="35">
        <f>VENTAS[[#This Row],[Total]]-VENTAS[[#This Row],[Comisión 10%]]-VENTAS[[#This Row],[Costo SIN Comision]]</f>
        <v>19.95</v>
      </c>
      <c r="M1039" s="35"/>
    </row>
    <row r="1040" ht="20" customHeight="1" spans="1:13">
      <c r="A1040" s="29">
        <v>45476</v>
      </c>
      <c r="B1040" s="30"/>
      <c r="C1040" s="30" t="s">
        <v>3318</v>
      </c>
      <c r="D1040" s="30" t="s">
        <v>3503</v>
      </c>
      <c r="E1040" s="30" t="s">
        <v>1686</v>
      </c>
      <c r="F1040" s="34" t="str">
        <f>IFERROR(VLOOKUP(VENTAS[[#This Row],[Código del producto Vendido]],STOCK[],5,FALSE),"-")</f>
        <v>Mono elegante con mangas de vuelo</v>
      </c>
      <c r="G1040" s="34">
        <v>1</v>
      </c>
      <c r="H1040" s="35">
        <v>30</v>
      </c>
      <c r="I1040" s="35">
        <f>VENTAS[[#This Row],[Cantidad]]*VENTAS[[#This Row],[Precio Venta]]</f>
        <v>30</v>
      </c>
      <c r="J1040" s="35">
        <f>IF(VENTAS[[#This Row],[Nombre del Gestor]]&gt;1,VENTAS[[#This Row],[Total]]*10%,0)</f>
        <v>3</v>
      </c>
      <c r="K1040" s="35">
        <f>IFERROR(VLOOKUP(VENTAS[[#This Row],[Código del producto Vendido]],STOCK[],16,FALSE)*VENTAS[[#This Row],[Cantidad]]+VLOOKUP(VENTAS[[#This Row],[Código del producto Vendido]],STOCK[],19,FALSE)*VENTAS[[#This Row],[Cantidad]],VENTAS[[#This Row],[Total]])</f>
        <v>17.8</v>
      </c>
      <c r="L1040" s="35">
        <f>VENTAS[[#This Row],[Total]]-VENTAS[[#This Row],[Comisión 10%]]-VENTAS[[#This Row],[Costo SIN Comision]]</f>
        <v>9.2</v>
      </c>
      <c r="M1040" s="35"/>
    </row>
    <row r="1041" ht="20" customHeight="1" spans="1:13">
      <c r="A1041" s="29">
        <v>45476</v>
      </c>
      <c r="B1041" s="30"/>
      <c r="C1041" s="30" t="s">
        <v>3529</v>
      </c>
      <c r="D1041" s="30" t="s">
        <v>3503</v>
      </c>
      <c r="E1041" s="30" t="s">
        <v>1790</v>
      </c>
      <c r="F1041" s="34" t="str">
        <f>IFERROR(VLOOKUP(VENTAS[[#This Row],[Código del producto Vendido]],STOCK[],5,FALSE),"-")</f>
        <v>Cinturón básico grueso Camel</v>
      </c>
      <c r="G1041" s="34">
        <v>1</v>
      </c>
      <c r="H1041" s="35">
        <v>10</v>
      </c>
      <c r="I1041" s="35">
        <f>VENTAS[[#This Row],[Cantidad]]*VENTAS[[#This Row],[Precio Venta]]</f>
        <v>10</v>
      </c>
      <c r="J1041" s="35">
        <f>IF(VENTAS[[#This Row],[Nombre del Gestor]]&gt;1,VENTAS[[#This Row],[Total]]*10%,0)</f>
        <v>1</v>
      </c>
      <c r="K1041" s="35">
        <f>IFERROR(VLOOKUP(VENTAS[[#This Row],[Código del producto Vendido]],STOCK[],16,FALSE)*VENTAS[[#This Row],[Cantidad]]+VLOOKUP(VENTAS[[#This Row],[Código del producto Vendido]],STOCK[],19,FALSE)*VENTAS[[#This Row],[Cantidad]],VENTAS[[#This Row],[Total]])</f>
        <v>3.76470588235294</v>
      </c>
      <c r="L1041" s="35">
        <f>VENTAS[[#This Row],[Total]]-VENTAS[[#This Row],[Comisión 10%]]-VENTAS[[#This Row],[Costo SIN Comision]]</f>
        <v>5.23529411764706</v>
      </c>
      <c r="M1041" s="35"/>
    </row>
    <row r="1042" ht="20" customHeight="1" spans="1:13">
      <c r="A1042" s="29">
        <v>45480</v>
      </c>
      <c r="B1042" s="30"/>
      <c r="C1042" s="30"/>
      <c r="D1042" s="30" t="s">
        <v>3478</v>
      </c>
      <c r="E1042" s="30" t="s">
        <v>1318</v>
      </c>
      <c r="F1042" s="34" t="str">
        <f>IFERROR(VLOOKUP(VENTAS[[#This Row],[Código del producto Vendido]],STOCK[],5,FALSE),"-")</f>
        <v>Blazer Carmelita oscuro (hacer foto)</v>
      </c>
      <c r="G1042" s="34">
        <v>1</v>
      </c>
      <c r="H1042" s="35">
        <v>40</v>
      </c>
      <c r="I1042" s="35">
        <f>VENTAS[[#This Row],[Cantidad]]*VENTAS[[#This Row],[Precio Venta]]</f>
        <v>40</v>
      </c>
      <c r="J1042" s="35">
        <f>IF(VENTAS[[#This Row],[Nombre del Gestor]]&gt;1,VENTAS[[#This Row],[Total]]*10%,0)</f>
        <v>4</v>
      </c>
      <c r="K1042" s="35">
        <f>IFERROR(VLOOKUP(VENTAS[[#This Row],[Código del producto Vendido]],STOCK[],16,FALSE)*VENTAS[[#This Row],[Cantidad]]+VLOOKUP(VENTAS[[#This Row],[Código del producto Vendido]],STOCK[],19,FALSE)*VENTAS[[#This Row],[Cantidad]],VENTAS[[#This Row],[Total]])</f>
        <v>24.75</v>
      </c>
      <c r="L1042" s="35">
        <f>VENTAS[[#This Row],[Total]]-VENTAS[[#This Row],[Comisión 10%]]-VENTAS[[#This Row],[Costo SIN Comision]]</f>
        <v>11.25</v>
      </c>
      <c r="M1042" s="35"/>
    </row>
    <row r="1043" ht="20" customHeight="1" spans="1:13">
      <c r="A1043" s="29">
        <v>45480</v>
      </c>
      <c r="B1043" s="30"/>
      <c r="C1043" s="30"/>
      <c r="D1043" s="30" t="s">
        <v>3478</v>
      </c>
      <c r="E1043" s="30" t="s">
        <v>1867</v>
      </c>
      <c r="F1043" s="34" t="str">
        <f>IFERROR(VLOOKUP(VENTAS[[#This Row],[Código del producto Vendido]],STOCK[],5,FALSE),"-")</f>
        <v>Blazer entallado</v>
      </c>
      <c r="G1043" s="34">
        <v>1</v>
      </c>
      <c r="H1043" s="35">
        <v>40</v>
      </c>
      <c r="I1043" s="35">
        <f>VENTAS[[#This Row],[Cantidad]]*VENTAS[[#This Row],[Precio Venta]]</f>
        <v>40</v>
      </c>
      <c r="J1043" s="35">
        <f>IF(VENTAS[[#This Row],[Nombre del Gestor]]&gt;1,VENTAS[[#This Row],[Total]]*10%,0)</f>
        <v>4</v>
      </c>
      <c r="K1043" s="35">
        <f>IFERROR(VLOOKUP(VENTAS[[#This Row],[Código del producto Vendido]],STOCK[],16,FALSE)*VENTAS[[#This Row],[Cantidad]]+VLOOKUP(VENTAS[[#This Row],[Código del producto Vendido]],STOCK[],19,FALSE)*VENTAS[[#This Row],[Cantidad]],VENTAS[[#This Row],[Total]])</f>
        <v>24.29</v>
      </c>
      <c r="L1043" s="35">
        <f>VENTAS[[#This Row],[Total]]-VENTAS[[#This Row],[Comisión 10%]]-VENTAS[[#This Row],[Costo SIN Comision]]</f>
        <v>11.71</v>
      </c>
      <c r="M1043" s="35"/>
    </row>
    <row r="1044" ht="20" customHeight="1" spans="1:13">
      <c r="A1044" s="29">
        <v>45480</v>
      </c>
      <c r="B1044" s="30"/>
      <c r="C1044" s="30"/>
      <c r="D1044" s="30" t="s">
        <v>3478</v>
      </c>
      <c r="E1044" s="30" t="s">
        <v>626</v>
      </c>
      <c r="F1044" s="34" t="str">
        <f>IFERROR(VLOOKUP(VENTAS[[#This Row],[Código del producto Vendido]],STOCK[],5,FALSE),"-")</f>
        <v>Vestido vaporoso</v>
      </c>
      <c r="G1044" s="34">
        <v>1</v>
      </c>
      <c r="H1044" s="35">
        <v>17</v>
      </c>
      <c r="I1044" s="35">
        <f>VENTAS[[#This Row],[Cantidad]]*VENTAS[[#This Row],[Precio Venta]]</f>
        <v>17</v>
      </c>
      <c r="J1044" s="35">
        <f>IF(VENTAS[[#This Row],[Nombre del Gestor]]&gt;1,VENTAS[[#This Row],[Total]]*10%,0)</f>
        <v>1.7</v>
      </c>
      <c r="K1044" s="35">
        <f>IFERROR(VLOOKUP(VENTAS[[#This Row],[Código del producto Vendido]],STOCK[],16,FALSE)*VENTAS[[#This Row],[Cantidad]]+VLOOKUP(VENTAS[[#This Row],[Código del producto Vendido]],STOCK[],19,FALSE)*VENTAS[[#This Row],[Cantidad]],VENTAS[[#This Row],[Total]])</f>
        <v>10.7222222222222</v>
      </c>
      <c r="L1044" s="35">
        <f>VENTAS[[#This Row],[Total]]-VENTAS[[#This Row],[Comisión 10%]]-VENTAS[[#This Row],[Costo SIN Comision]]</f>
        <v>4.57777777777778</v>
      </c>
      <c r="M1044" s="35"/>
    </row>
    <row r="1045" ht="20" customHeight="1" spans="1:13">
      <c r="A1045" s="29">
        <v>45476</v>
      </c>
      <c r="B1045" s="30"/>
      <c r="C1045" s="30"/>
      <c r="D1045" s="30" t="s">
        <v>3503</v>
      </c>
      <c r="E1045" s="30" t="s">
        <v>2356</v>
      </c>
      <c r="F1045" s="34" t="str">
        <f>IFERROR(VLOOKUP(VENTAS[[#This Row],[Código del producto Vendido]],STOCK[],5,FALSE),"-")</f>
        <v>Espejuelos rectangulares unisex</v>
      </c>
      <c r="G1045" s="34">
        <v>1</v>
      </c>
      <c r="H1045" s="35">
        <v>10</v>
      </c>
      <c r="I1045" s="35">
        <f>VENTAS[[#This Row],[Cantidad]]*VENTAS[[#This Row],[Precio Venta]]</f>
        <v>10</v>
      </c>
      <c r="J1045" s="35">
        <f>IF(VENTAS[[#This Row],[Nombre del Gestor]]&gt;1,VENTAS[[#This Row],[Total]]*10%,0)</f>
        <v>1</v>
      </c>
      <c r="K1045" s="35">
        <f>IFERROR(VLOOKUP(VENTAS[[#This Row],[Código del producto Vendido]],STOCK[],16,FALSE)*VENTAS[[#This Row],[Cantidad]]+VLOOKUP(VENTAS[[#This Row],[Código del producto Vendido]],STOCK[],19,FALSE)*VENTAS[[#This Row],[Cantidad]],VENTAS[[#This Row],[Total]])</f>
        <v>6.33125</v>
      </c>
      <c r="L1045" s="35">
        <f>VENTAS[[#This Row],[Total]]-VENTAS[[#This Row],[Comisión 10%]]-VENTAS[[#This Row],[Costo SIN Comision]]</f>
        <v>2.66875</v>
      </c>
      <c r="M1045" s="35"/>
    </row>
    <row r="1046" ht="20" customHeight="1" spans="1:13">
      <c r="A1046" s="29">
        <v>45476</v>
      </c>
      <c r="B1046" s="30"/>
      <c r="C1046" s="30"/>
      <c r="D1046" s="30" t="s">
        <v>3503</v>
      </c>
      <c r="E1046" s="30" t="s">
        <v>201</v>
      </c>
      <c r="F1046" s="34" t="str">
        <f>IFERROR(VLOOKUP(VENTAS[[#This Row],[Código del producto Vendido]],STOCK[],5,FALSE),"-")</f>
        <v>Vestido moca ajustado</v>
      </c>
      <c r="G1046" s="34">
        <v>1</v>
      </c>
      <c r="H1046" s="35">
        <v>18</v>
      </c>
      <c r="I1046" s="35">
        <f>VENTAS[[#This Row],[Cantidad]]*VENTAS[[#This Row],[Precio Venta]]</f>
        <v>18</v>
      </c>
      <c r="J1046" s="35">
        <f>IF(VENTAS[[#This Row],[Nombre del Gestor]]&gt;1,VENTAS[[#This Row],[Total]]*10%,0)</f>
        <v>1.8</v>
      </c>
      <c r="K1046" s="35">
        <f>IFERROR(VLOOKUP(VENTAS[[#This Row],[Código del producto Vendido]],STOCK[],16,FALSE)*VENTAS[[#This Row],[Cantidad]]+VLOOKUP(VENTAS[[#This Row],[Código del producto Vendido]],STOCK[],19,FALSE)*VENTAS[[#This Row],[Cantidad]],VENTAS[[#This Row],[Total]])</f>
        <v>12.5155555555556</v>
      </c>
      <c r="L1046" s="35">
        <f>VENTAS[[#This Row],[Total]]-VENTAS[[#This Row],[Comisión 10%]]-VENTAS[[#This Row],[Costo SIN Comision]]</f>
        <v>3.6844444444444</v>
      </c>
      <c r="M1046" s="35"/>
    </row>
    <row r="1047" ht="20" customHeight="1" spans="1:13">
      <c r="A1047" s="29">
        <v>45479</v>
      </c>
      <c r="B1047" s="30"/>
      <c r="C1047" s="30"/>
      <c r="D1047" s="30" t="s">
        <v>3503</v>
      </c>
      <c r="E1047" s="30" t="s">
        <v>2365</v>
      </c>
      <c r="F1047" s="34" t="str">
        <f>IFERROR(VLOOKUP(VENTAS[[#This Row],[Código del producto Vendido]],STOCK[],5,FALSE),"-")</f>
        <v>Sombrero de protección Verano fashionista</v>
      </c>
      <c r="G1047" s="34">
        <v>1</v>
      </c>
      <c r="H1047" s="35">
        <v>15</v>
      </c>
      <c r="I1047" s="35">
        <f>VENTAS[[#This Row],[Cantidad]]*VENTAS[[#This Row],[Precio Venta]]</f>
        <v>15</v>
      </c>
      <c r="J1047" s="35">
        <f>IF(VENTAS[[#This Row],[Nombre del Gestor]]&gt;1,VENTAS[[#This Row],[Total]]*10%,0)</f>
        <v>1.5</v>
      </c>
      <c r="K1047" s="35">
        <f>IFERROR(VLOOKUP(VENTAS[[#This Row],[Código del producto Vendido]],STOCK[],16,FALSE)*VENTAS[[#This Row],[Cantidad]]+VLOOKUP(VENTAS[[#This Row],[Código del producto Vendido]],STOCK[],19,FALSE)*VENTAS[[#This Row],[Cantidad]],VENTAS[[#This Row],[Total]])</f>
        <v>8.551875</v>
      </c>
      <c r="L1047" s="35">
        <f>VENTAS[[#This Row],[Total]]-VENTAS[[#This Row],[Comisión 10%]]-VENTAS[[#This Row],[Costo SIN Comision]]</f>
        <v>4.948125</v>
      </c>
      <c r="M1047" s="35"/>
    </row>
    <row r="1048" ht="20" customHeight="1" spans="1:13">
      <c r="A1048" s="29">
        <v>45478</v>
      </c>
      <c r="B1048" s="30"/>
      <c r="C1048" s="30"/>
      <c r="D1048" s="30" t="s">
        <v>3507</v>
      </c>
      <c r="E1048" s="30" t="s">
        <v>1407</v>
      </c>
      <c r="F1048" s="34" t="str">
        <f>IFERROR(VLOOKUP(VENTAS[[#This Row],[Código del producto Vendido]],STOCK[],5,FALSE),"-")</f>
        <v>Pantaloneta con abertura y bolsillos</v>
      </c>
      <c r="G1048" s="34">
        <v>1</v>
      </c>
      <c r="H1048" s="35">
        <v>23</v>
      </c>
      <c r="I1048" s="35">
        <f>VENTAS[[#This Row],[Cantidad]]*VENTAS[[#This Row],[Precio Venta]]</f>
        <v>23</v>
      </c>
      <c r="J1048" s="35">
        <f>IF(VENTAS[[#This Row],[Nombre del Gestor]]&gt;1,VENTAS[[#This Row],[Total]]*10%,0)</f>
        <v>2.3</v>
      </c>
      <c r="K1048" s="35">
        <f>IFERROR(VLOOKUP(VENTAS[[#This Row],[Código del producto Vendido]],STOCK[],16,FALSE)*VENTAS[[#This Row],[Cantidad]]+VLOOKUP(VENTAS[[#This Row],[Código del producto Vendido]],STOCK[],19,FALSE)*VENTAS[[#This Row],[Cantidad]],VENTAS[[#This Row],[Total]])</f>
        <v>14.22</v>
      </c>
      <c r="L1048" s="35">
        <f>VENTAS[[#This Row],[Total]]-VENTAS[[#This Row],[Comisión 10%]]-VENTAS[[#This Row],[Costo SIN Comision]]</f>
        <v>6.48</v>
      </c>
      <c r="M1048" s="35"/>
    </row>
    <row r="1049" ht="20" customHeight="1" spans="1:13">
      <c r="A1049" s="29">
        <v>45478</v>
      </c>
      <c r="B1049" s="30"/>
      <c r="C1049" s="30"/>
      <c r="D1049" s="30" t="s">
        <v>3507</v>
      </c>
      <c r="E1049" s="30" t="s">
        <v>2216</v>
      </c>
      <c r="F1049" s="34" t="str">
        <f>IFERROR(VLOOKUP(VENTAS[[#This Row],[Código del producto Vendido]],STOCK[],5,FALSE),"-")</f>
        <v>vestido Boho con tirantes de spaguetti y abertura</v>
      </c>
      <c r="G1049" s="34">
        <v>1</v>
      </c>
      <c r="H1049" s="35">
        <v>30</v>
      </c>
      <c r="I1049" s="35">
        <f>VENTAS[[#This Row],[Cantidad]]*VENTAS[[#This Row],[Precio Venta]]</f>
        <v>30</v>
      </c>
      <c r="J1049" s="35">
        <f>IF(VENTAS[[#This Row],[Nombre del Gestor]]&gt;1,VENTAS[[#This Row],[Total]]*10%,0)</f>
        <v>3</v>
      </c>
      <c r="K1049" s="35">
        <f>IFERROR(VLOOKUP(VENTAS[[#This Row],[Código del producto Vendido]],STOCK[],16,FALSE)*VENTAS[[#This Row],[Cantidad]]+VLOOKUP(VENTAS[[#This Row],[Código del producto Vendido]],STOCK[],19,FALSE)*VENTAS[[#This Row],[Cantidad]],VENTAS[[#This Row],[Total]])</f>
        <v>16.09</v>
      </c>
      <c r="L1049" s="35">
        <f>VENTAS[[#This Row],[Total]]-VENTAS[[#This Row],[Comisión 10%]]-VENTAS[[#This Row],[Costo SIN Comision]]</f>
        <v>10.91</v>
      </c>
      <c r="M1049" s="35"/>
    </row>
    <row r="1050" ht="20" customHeight="1" spans="1:13">
      <c r="A1050" s="29">
        <v>45478</v>
      </c>
      <c r="B1050" s="30"/>
      <c r="C1050" s="30"/>
      <c r="D1050" s="30" t="s">
        <v>3507</v>
      </c>
      <c r="E1050" s="30" t="s">
        <v>2388</v>
      </c>
      <c r="F1050" s="34" t="str">
        <f>IFERROR(VLOOKUP(VENTAS[[#This Row],[Código del producto Vendido]],STOCK[],5,FALSE),"-")</f>
        <v>Pullover Dazy cuello redondo Negro</v>
      </c>
      <c r="G1050" s="34">
        <v>1</v>
      </c>
      <c r="H1050" s="35">
        <v>13</v>
      </c>
      <c r="I1050" s="35">
        <f>VENTAS[[#This Row],[Cantidad]]*VENTAS[[#This Row],[Precio Venta]]</f>
        <v>13</v>
      </c>
      <c r="J1050" s="35">
        <f>IF(VENTAS[[#This Row],[Nombre del Gestor]]&gt;1,VENTAS[[#This Row],[Total]]*10%,0)</f>
        <v>1.3</v>
      </c>
      <c r="K1050" s="35">
        <f>IFERROR(VLOOKUP(VENTAS[[#This Row],[Código del producto Vendido]],STOCK[],16,FALSE)*VENTAS[[#This Row],[Cantidad]]+VLOOKUP(VENTAS[[#This Row],[Código del producto Vendido]],STOCK[],19,FALSE)*VENTAS[[#This Row],[Cantidad]],VENTAS[[#This Row],[Total]])</f>
        <v>7.61</v>
      </c>
      <c r="L1050" s="35">
        <f>VENTAS[[#This Row],[Total]]-VENTAS[[#This Row],[Comisión 10%]]-VENTAS[[#This Row],[Costo SIN Comision]]</f>
        <v>4.09</v>
      </c>
      <c r="M1050" s="35"/>
    </row>
    <row r="1051" ht="20" customHeight="1" spans="1:13">
      <c r="A1051" s="29">
        <v>45478</v>
      </c>
      <c r="B1051" s="30"/>
      <c r="C1051" s="30"/>
      <c r="D1051" s="30" t="s">
        <v>3507</v>
      </c>
      <c r="E1051" s="30" t="s">
        <v>1827</v>
      </c>
      <c r="F1051" s="34" t="str">
        <f>IFERROR(VLOOKUP(VENTAS[[#This Row],[Código del producto Vendido]],STOCK[],5,FALSE),"-")</f>
        <v>Pantalón Palazzo </v>
      </c>
      <c r="G1051" s="34">
        <v>1</v>
      </c>
      <c r="H1051" s="35">
        <v>30</v>
      </c>
      <c r="I1051" s="35">
        <f>VENTAS[[#This Row],[Cantidad]]*VENTAS[[#This Row],[Precio Venta]]</f>
        <v>30</v>
      </c>
      <c r="J1051" s="35">
        <f>IF(VENTAS[[#This Row],[Nombre del Gestor]]&gt;1,VENTAS[[#This Row],[Total]]*10%,0)</f>
        <v>3</v>
      </c>
      <c r="K1051" s="35">
        <f>IFERROR(VLOOKUP(VENTAS[[#This Row],[Código del producto Vendido]],STOCK[],16,FALSE)*VENTAS[[#This Row],[Cantidad]]+VLOOKUP(VENTAS[[#This Row],[Código del producto Vendido]],STOCK[],19,FALSE)*VENTAS[[#This Row],[Cantidad]],VENTAS[[#This Row],[Total]])</f>
        <v>16.79</v>
      </c>
      <c r="L1051" s="35">
        <f>VENTAS[[#This Row],[Total]]-VENTAS[[#This Row],[Comisión 10%]]-VENTAS[[#This Row],[Costo SIN Comision]]</f>
        <v>10.21</v>
      </c>
      <c r="M1051" s="35"/>
    </row>
    <row r="1052" ht="20" customHeight="1" spans="1:13">
      <c r="A1052" s="29">
        <v>45476</v>
      </c>
      <c r="B1052" s="30"/>
      <c r="C1052" s="30"/>
      <c r="D1052" s="30" t="s">
        <v>3507</v>
      </c>
      <c r="E1052" s="30" t="s">
        <v>1931</v>
      </c>
      <c r="F1052" s="34" t="str">
        <f>IFERROR(VLOOKUP(VENTAS[[#This Row],[Código del producto Vendido]],STOCK[],5,FALSE),"-")</f>
        <v>Sujetador Invisible Suave sin tirantes</v>
      </c>
      <c r="G1052" s="34">
        <v>1</v>
      </c>
      <c r="H1052" s="35">
        <v>12</v>
      </c>
      <c r="I1052" s="35">
        <f>VENTAS[[#This Row],[Cantidad]]*VENTAS[[#This Row],[Precio Venta]]</f>
        <v>12</v>
      </c>
      <c r="J1052" s="35">
        <f>IF(VENTAS[[#This Row],[Nombre del Gestor]]&gt;1,VENTAS[[#This Row],[Total]]*10%,0)</f>
        <v>1.2</v>
      </c>
      <c r="K1052" s="35">
        <f>IFERROR(VLOOKUP(VENTAS[[#This Row],[Código del producto Vendido]],STOCK[],16,FALSE)*VENTAS[[#This Row],[Cantidad]]+VLOOKUP(VENTAS[[#This Row],[Código del producto Vendido]],STOCK[],19,FALSE)*VENTAS[[#This Row],[Cantidad]],VENTAS[[#This Row],[Total]])</f>
        <v>4.97</v>
      </c>
      <c r="L1052" s="35">
        <f>VENTAS[[#This Row],[Total]]-VENTAS[[#This Row],[Comisión 10%]]-VENTAS[[#This Row],[Costo SIN Comision]]</f>
        <v>5.83</v>
      </c>
      <c r="M1052" s="35"/>
    </row>
    <row r="1053" ht="20" customHeight="1" spans="1:13">
      <c r="A1053" s="29">
        <v>45476</v>
      </c>
      <c r="B1053" s="30"/>
      <c r="C1053" s="30"/>
      <c r="D1053" s="30" t="s">
        <v>3507</v>
      </c>
      <c r="E1053" s="30" t="s">
        <v>1645</v>
      </c>
      <c r="F1053" s="34" t="str">
        <f>IFERROR(VLOOKUP(VENTAS[[#This Row],[Código del producto Vendido]],STOCK[],5,FALSE),"-")</f>
        <v>Mono palazzo</v>
      </c>
      <c r="G1053" s="34">
        <v>1</v>
      </c>
      <c r="H1053" s="35">
        <v>30</v>
      </c>
      <c r="I1053" s="35">
        <f>VENTAS[[#This Row],[Cantidad]]*VENTAS[[#This Row],[Precio Venta]]</f>
        <v>30</v>
      </c>
      <c r="J1053" s="35">
        <f>IF(VENTAS[[#This Row],[Nombre del Gestor]]&gt;1,VENTAS[[#This Row],[Total]]*10%,0)</f>
        <v>3</v>
      </c>
      <c r="K1053" s="35">
        <f>IFERROR(VLOOKUP(VENTAS[[#This Row],[Código del producto Vendido]],STOCK[],16,FALSE)*VENTAS[[#This Row],[Cantidad]]+VLOOKUP(VENTAS[[#This Row],[Código del producto Vendido]],STOCK[],19,FALSE)*VENTAS[[#This Row],[Cantidad]],VENTAS[[#This Row],[Total]])</f>
        <v>17.87</v>
      </c>
      <c r="L1053" s="35">
        <f>VENTAS[[#This Row],[Total]]-VENTAS[[#This Row],[Comisión 10%]]-VENTAS[[#This Row],[Costo SIN Comision]]</f>
        <v>9.13</v>
      </c>
      <c r="M1053" s="35"/>
    </row>
    <row r="1054" ht="20" customHeight="1" spans="1:13">
      <c r="A1054" s="29">
        <v>45476</v>
      </c>
      <c r="B1054" s="30"/>
      <c r="C1054" s="30"/>
      <c r="D1054" s="30" t="s">
        <v>3507</v>
      </c>
      <c r="E1054" s="30" t="s">
        <v>1617</v>
      </c>
      <c r="F1054" s="34" t="str">
        <f>IFERROR(VLOOKUP(VENTAS[[#This Row],[Código del producto Vendido]],STOCK[],5,FALSE),"-")</f>
        <v>Vestido Becka</v>
      </c>
      <c r="G1054" s="34">
        <v>1</v>
      </c>
      <c r="H1054" s="35">
        <v>25</v>
      </c>
      <c r="I1054" s="35">
        <f>VENTAS[[#This Row],[Cantidad]]*VENTAS[[#This Row],[Precio Venta]]</f>
        <v>25</v>
      </c>
      <c r="J1054" s="35">
        <f>IF(VENTAS[[#This Row],[Nombre del Gestor]]&gt;1,VENTAS[[#This Row],[Total]]*10%,0)</f>
        <v>2.5</v>
      </c>
      <c r="K1054" s="35">
        <f>IFERROR(VLOOKUP(VENTAS[[#This Row],[Código del producto Vendido]],STOCK[],16,FALSE)*VENTAS[[#This Row],[Cantidad]]+VLOOKUP(VENTAS[[#This Row],[Código del producto Vendido]],STOCK[],19,FALSE)*VENTAS[[#This Row],[Cantidad]],VENTAS[[#This Row],[Total]])</f>
        <v>12.4</v>
      </c>
      <c r="L1054" s="35">
        <f>VENTAS[[#This Row],[Total]]-VENTAS[[#This Row],[Comisión 10%]]-VENTAS[[#This Row],[Costo SIN Comision]]</f>
        <v>10.1</v>
      </c>
      <c r="M1054" s="35"/>
    </row>
    <row r="1055" ht="20" customHeight="1" spans="1:13">
      <c r="A1055" s="29">
        <v>45476</v>
      </c>
      <c r="B1055" s="30"/>
      <c r="C1055" s="30"/>
      <c r="D1055" s="30" t="s">
        <v>3507</v>
      </c>
      <c r="E1055" s="30" t="s">
        <v>2388</v>
      </c>
      <c r="F1055" s="34" t="str">
        <f>IFERROR(VLOOKUP(VENTAS[[#This Row],[Código del producto Vendido]],STOCK[],5,FALSE),"-")</f>
        <v>Pullover Dazy cuello redondo Negro</v>
      </c>
      <c r="G1055" s="34">
        <v>1</v>
      </c>
      <c r="H1055" s="35">
        <v>13</v>
      </c>
      <c r="I1055" s="35">
        <f>VENTAS[[#This Row],[Cantidad]]*VENTAS[[#This Row],[Precio Venta]]</f>
        <v>13</v>
      </c>
      <c r="J1055" s="35">
        <f>IF(VENTAS[[#This Row],[Nombre del Gestor]]&gt;1,VENTAS[[#This Row],[Total]]*10%,0)</f>
        <v>1.3</v>
      </c>
      <c r="K1055" s="35">
        <f>IFERROR(VLOOKUP(VENTAS[[#This Row],[Código del producto Vendido]],STOCK[],16,FALSE)*VENTAS[[#This Row],[Cantidad]]+VLOOKUP(VENTAS[[#This Row],[Código del producto Vendido]],STOCK[],19,FALSE)*VENTAS[[#This Row],[Cantidad]],VENTAS[[#This Row],[Total]])</f>
        <v>7.61</v>
      </c>
      <c r="L1055" s="35">
        <f>VENTAS[[#This Row],[Total]]-VENTAS[[#This Row],[Comisión 10%]]-VENTAS[[#This Row],[Costo SIN Comision]]</f>
        <v>4.09</v>
      </c>
      <c r="M1055" s="35"/>
    </row>
    <row r="1056" ht="20" customHeight="1" spans="1:13">
      <c r="A1056" s="29">
        <v>45476</v>
      </c>
      <c r="B1056" s="30"/>
      <c r="C1056" s="30"/>
      <c r="D1056" s="30" t="s">
        <v>3507</v>
      </c>
      <c r="E1056" s="30" t="s">
        <v>1402</v>
      </c>
      <c r="F1056" s="34" t="str">
        <f>IFERROR(VLOOKUP(VENTAS[[#This Row],[Código del producto Vendido]],STOCK[],5,FALSE),"-")</f>
        <v>Top bustier corsetero</v>
      </c>
      <c r="G1056" s="34">
        <v>1</v>
      </c>
      <c r="H1056" s="35">
        <v>10</v>
      </c>
      <c r="I1056" s="35">
        <f>VENTAS[[#This Row],[Cantidad]]*VENTAS[[#This Row],[Precio Venta]]</f>
        <v>10</v>
      </c>
      <c r="J1056" s="35">
        <f>IF(VENTAS[[#This Row],[Nombre del Gestor]]&gt;1,VENTAS[[#This Row],[Total]]*10%,0)</f>
        <v>1</v>
      </c>
      <c r="K1056" s="35">
        <f>IFERROR(VLOOKUP(VENTAS[[#This Row],[Código del producto Vendido]],STOCK[],16,FALSE)*VENTAS[[#This Row],[Cantidad]]+VLOOKUP(VENTAS[[#This Row],[Código del producto Vendido]],STOCK[],19,FALSE)*VENTAS[[#This Row],[Cantidad]],VENTAS[[#This Row],[Total]])</f>
        <v>5.5</v>
      </c>
      <c r="L1056" s="35">
        <f>VENTAS[[#This Row],[Total]]-VENTAS[[#This Row],[Comisión 10%]]-VENTAS[[#This Row],[Costo SIN Comision]]</f>
        <v>3.5</v>
      </c>
      <c r="M1056" s="35"/>
    </row>
    <row r="1057" ht="20" customHeight="1" spans="1:13">
      <c r="A1057" s="29">
        <v>45476</v>
      </c>
      <c r="B1057" s="30"/>
      <c r="C1057" s="30"/>
      <c r="D1057" s="30" t="s">
        <v>3507</v>
      </c>
      <c r="E1057" s="30" t="s">
        <v>1173</v>
      </c>
      <c r="F1057" s="34" t="str">
        <f>IFERROR(VLOOKUP(VENTAS[[#This Row],[Código del producto Vendido]],STOCK[],5,FALSE),"-")</f>
        <v>Vestido camisero con estampado y cinturón </v>
      </c>
      <c r="G1057" s="34">
        <v>1</v>
      </c>
      <c r="H1057" s="35">
        <v>28</v>
      </c>
      <c r="I1057" s="35">
        <f>VENTAS[[#This Row],[Cantidad]]*VENTAS[[#This Row],[Precio Venta]]</f>
        <v>28</v>
      </c>
      <c r="J1057" s="35">
        <f>IF(VENTAS[[#This Row],[Nombre del Gestor]]&gt;1,VENTAS[[#This Row],[Total]]*10%,0)</f>
        <v>2.8</v>
      </c>
      <c r="K1057" s="35">
        <f>IFERROR(VLOOKUP(VENTAS[[#This Row],[Código del producto Vendido]],STOCK[],16,FALSE)*VENTAS[[#This Row],[Cantidad]]+VLOOKUP(VENTAS[[#This Row],[Código del producto Vendido]],STOCK[],19,FALSE)*VENTAS[[#This Row],[Cantidad]],VENTAS[[#This Row],[Total]])</f>
        <v>17.65</v>
      </c>
      <c r="L1057" s="35">
        <f>VENTAS[[#This Row],[Total]]-VENTAS[[#This Row],[Comisión 10%]]-VENTAS[[#This Row],[Costo SIN Comision]]</f>
        <v>7.55</v>
      </c>
      <c r="M1057" s="35"/>
    </row>
    <row r="1058" ht="20" customHeight="1" spans="1:13">
      <c r="A1058" s="29">
        <v>45476</v>
      </c>
      <c r="B1058" s="30"/>
      <c r="C1058" s="30"/>
      <c r="D1058" s="30" t="s">
        <v>3507</v>
      </c>
      <c r="E1058" s="30" t="s">
        <v>1731</v>
      </c>
      <c r="F1058" s="34" t="str">
        <f>IFERROR(VLOOKUP(VENTAS[[#This Row],[Código del producto Vendido]],STOCK[],5,FALSE),"-")</f>
        <v>Chaleco de traje Crema</v>
      </c>
      <c r="G1058" s="34">
        <v>1</v>
      </c>
      <c r="H1058" s="35">
        <v>25</v>
      </c>
      <c r="I1058" s="35">
        <f>VENTAS[[#This Row],[Cantidad]]*VENTAS[[#This Row],[Precio Venta]]</f>
        <v>25</v>
      </c>
      <c r="J1058" s="35">
        <f>IF(VENTAS[[#This Row],[Nombre del Gestor]]&gt;1,VENTAS[[#This Row],[Total]]*10%,0)</f>
        <v>2.5</v>
      </c>
      <c r="K1058" s="35">
        <f>IFERROR(VLOOKUP(VENTAS[[#This Row],[Código del producto Vendido]],STOCK[],16,FALSE)*VENTAS[[#This Row],[Cantidad]]+VLOOKUP(VENTAS[[#This Row],[Código del producto Vendido]],STOCK[],19,FALSE)*VENTAS[[#This Row],[Cantidad]],VENTAS[[#This Row],[Total]])</f>
        <v>17.9411764705882</v>
      </c>
      <c r="L1058" s="35">
        <f>VENTAS[[#This Row],[Total]]-VENTAS[[#This Row],[Comisión 10%]]-VENTAS[[#This Row],[Costo SIN Comision]]</f>
        <v>4.5588235294118</v>
      </c>
      <c r="M1058" s="35"/>
    </row>
    <row r="1059" ht="20" customHeight="1" spans="1:13">
      <c r="A1059" s="29">
        <v>45477</v>
      </c>
      <c r="B1059" s="30"/>
      <c r="C1059" s="30"/>
      <c r="D1059" s="30" t="s">
        <v>3509</v>
      </c>
      <c r="E1059" s="30" t="s">
        <v>676</v>
      </c>
      <c r="F1059" s="34" t="str">
        <f>IFERROR(VLOOKUP(VENTAS[[#This Row],[Código del producto Vendido]],STOCK[],5,FALSE),"-")</f>
        <v>Blusa corta de manga farol</v>
      </c>
      <c r="G1059" s="34">
        <v>1</v>
      </c>
      <c r="H1059" s="35">
        <v>9</v>
      </c>
      <c r="I1059" s="35">
        <f>VENTAS[[#This Row],[Cantidad]]*VENTAS[[#This Row],[Precio Venta]]</f>
        <v>9</v>
      </c>
      <c r="J1059" s="35">
        <f>IF(VENTAS[[#This Row],[Nombre del Gestor]]&gt;1,VENTAS[[#This Row],[Total]]*10%,0)</f>
        <v>0.9</v>
      </c>
      <c r="K1059" s="35">
        <f>IFERROR(VLOOKUP(VENTAS[[#This Row],[Código del producto Vendido]],STOCK[],16,FALSE)*VENTAS[[#This Row],[Cantidad]]+VLOOKUP(VENTAS[[#This Row],[Código del producto Vendido]],STOCK[],19,FALSE)*VENTAS[[#This Row],[Cantidad]],VENTAS[[#This Row],[Total]])</f>
        <v>7.52666666666667</v>
      </c>
      <c r="L1059" s="35">
        <f>VENTAS[[#This Row],[Total]]-VENTAS[[#This Row],[Comisión 10%]]-VENTAS[[#This Row],[Costo SIN Comision]]</f>
        <v>0.57333333333333</v>
      </c>
      <c r="M1059" s="35"/>
    </row>
    <row r="1060" ht="20" customHeight="1" spans="1:13">
      <c r="A1060" s="29">
        <v>45476</v>
      </c>
      <c r="B1060" s="30"/>
      <c r="C1060" s="30"/>
      <c r="D1060" s="30" t="s">
        <v>3530</v>
      </c>
      <c r="E1060" s="30" t="s">
        <v>2027</v>
      </c>
      <c r="F1060" s="34" t="str">
        <f>IFERROR(VLOOKUP(VENTAS[[#This Row],[Código del producto Vendido]],STOCK[],5,FALSE),"-")</f>
        <v>Blusa de bolas cuello con lazo</v>
      </c>
      <c r="G1060" s="34">
        <v>1</v>
      </c>
      <c r="H1060" s="35">
        <v>3</v>
      </c>
      <c r="I1060" s="35">
        <f>VENTAS[[#This Row],[Cantidad]]*VENTAS[[#This Row],[Precio Venta]]</f>
        <v>3</v>
      </c>
      <c r="J1060" s="35">
        <f>IF(VENTAS[[#This Row],[Nombre del Gestor]]&gt;1,VENTAS[[#This Row],[Total]]*10%,0)</f>
        <v>0.3</v>
      </c>
      <c r="K1060" s="35">
        <f>IFERROR(VLOOKUP(VENTAS[[#This Row],[Código del producto Vendido]],STOCK[],16,FALSE)*VENTAS[[#This Row],[Cantidad]]+VLOOKUP(VENTAS[[#This Row],[Código del producto Vendido]],STOCK[],19,FALSE)*VENTAS[[#This Row],[Cantidad]],VENTAS[[#This Row],[Total]])</f>
        <v>0</v>
      </c>
      <c r="L1060" s="68">
        <f>VENTAS[[#This Row],[Total]]-VENTAS[[#This Row],[Comisión 10%]]-VENTAS[[#This Row],[Costo SIN Comision]]</f>
        <v>2.7</v>
      </c>
      <c r="M1060" s="35"/>
    </row>
    <row r="1061" ht="20" customHeight="1" spans="1:13">
      <c r="A1061" s="29">
        <v>45478</v>
      </c>
      <c r="B1061" s="30"/>
      <c r="C1061" s="30" t="s">
        <v>3531</v>
      </c>
      <c r="D1061" s="30"/>
      <c r="E1061" s="30" t="s">
        <v>1223</v>
      </c>
      <c r="F1061" s="34" t="str">
        <f>IFERROR(VLOOKUP(VENTAS[[#This Row],[Código del producto Vendido]],STOCK[],5,FALSE),"-")</f>
        <v>Calzado tacón negro</v>
      </c>
      <c r="G1061" s="34">
        <v>1</v>
      </c>
      <c r="H1061" s="35">
        <v>55</v>
      </c>
      <c r="I1061" s="35">
        <f>VENTAS[[#This Row],[Cantidad]]*VENTAS[[#This Row],[Precio Venta]]</f>
        <v>55</v>
      </c>
      <c r="J1061" s="35">
        <f>IF(VENTAS[[#This Row],[Nombre del Gestor]]&gt;1,VENTAS[[#This Row],[Total]]*10%,0)</f>
        <v>0</v>
      </c>
      <c r="K1061" s="35">
        <f>IFERROR(VLOOKUP(VENTAS[[#This Row],[Código del producto Vendido]],STOCK[],16,FALSE)*VENTAS[[#This Row],[Cantidad]]+VLOOKUP(VENTAS[[#This Row],[Código del producto Vendido]],STOCK[],19,FALSE)*VENTAS[[#This Row],[Cantidad]],VENTAS[[#This Row],[Total]])</f>
        <v>41.83</v>
      </c>
      <c r="L1061" s="35">
        <f>VENTAS[[#This Row],[Total]]-VENTAS[[#This Row],[Comisión 10%]]-VENTAS[[#This Row],[Costo SIN Comision]]</f>
        <v>13.17</v>
      </c>
      <c r="M1061" s="35"/>
    </row>
    <row r="1062" ht="20" customHeight="1" spans="1:13">
      <c r="A1062" s="29">
        <v>45474</v>
      </c>
      <c r="B1062" s="30"/>
      <c r="C1062" s="30"/>
      <c r="D1062" s="30" t="s">
        <v>3478</v>
      </c>
      <c r="E1062" s="30" t="s">
        <v>2108</v>
      </c>
      <c r="F1062" s="34" t="str">
        <f>IFERROR(VLOOKUP(VENTAS[[#This Row],[Código del producto Vendido]],STOCK[],5,FALSE),"-")</f>
        <v>The Cat TOTE bag tamaño de Gran Capacidad </v>
      </c>
      <c r="G1062" s="34">
        <v>1</v>
      </c>
      <c r="H1062" s="35">
        <v>12</v>
      </c>
      <c r="I1062" s="35">
        <f>VENTAS[[#This Row],[Cantidad]]*VENTAS[[#This Row],[Precio Venta]]</f>
        <v>12</v>
      </c>
      <c r="J1062" s="35">
        <f>IF(VENTAS[[#This Row],[Nombre del Gestor]]&gt;1,VENTAS[[#This Row],[Total]]*10%,0)</f>
        <v>1.2</v>
      </c>
      <c r="K1062" s="35">
        <f>IFERROR(VLOOKUP(VENTAS[[#This Row],[Código del producto Vendido]],STOCK[],16,FALSE)*VENTAS[[#This Row],[Cantidad]]+VLOOKUP(VENTAS[[#This Row],[Código del producto Vendido]],STOCK[],19,FALSE)*VENTAS[[#This Row],[Cantidad]],VENTAS[[#This Row],[Total]])</f>
        <v>5.58</v>
      </c>
      <c r="L1062" s="35">
        <f>VENTAS[[#This Row],[Total]]-VENTAS[[#This Row],[Comisión 10%]]-VENTAS[[#This Row],[Costo SIN Comision]]</f>
        <v>5.22</v>
      </c>
      <c r="M1062" s="35"/>
    </row>
    <row r="1063" ht="20" customHeight="1" spans="1:13">
      <c r="A1063" s="29">
        <v>45488</v>
      </c>
      <c r="B1063" s="30"/>
      <c r="C1063" s="30"/>
      <c r="D1063" s="30" t="s">
        <v>3321</v>
      </c>
      <c r="E1063" s="30" t="s">
        <v>2165</v>
      </c>
      <c r="F1063" s="34" t="str">
        <f>IFERROR(VLOOKUP(VENTAS[[#This Row],[Código del producto Vendido]],STOCK[],5,FALSE),"-")</f>
        <v>Bañador en color sólido sexy-elegante </v>
      </c>
      <c r="G1063" s="34">
        <v>1</v>
      </c>
      <c r="H1063" s="35">
        <v>20</v>
      </c>
      <c r="I1063" s="35">
        <f>VENTAS[[#This Row],[Cantidad]]*VENTAS[[#This Row],[Precio Venta]]</f>
        <v>20</v>
      </c>
      <c r="J1063" s="35">
        <f>IF(VENTAS[[#This Row],[Nombre del Gestor]]&gt;1,VENTAS[[#This Row],[Total]]*10%,0)</f>
        <v>2</v>
      </c>
      <c r="K1063" s="35">
        <f>IFERROR(VLOOKUP(VENTAS[[#This Row],[Código del producto Vendido]],STOCK[],16,FALSE)*VENTAS[[#This Row],[Cantidad]]+VLOOKUP(VENTAS[[#This Row],[Código del producto Vendido]],STOCK[],19,FALSE)*VENTAS[[#This Row],[Cantidad]],VENTAS[[#This Row],[Total]])</f>
        <v>8.24</v>
      </c>
      <c r="L1063" s="35">
        <f>VENTAS[[#This Row],[Total]]-VENTAS[[#This Row],[Comisión 10%]]-VENTAS[[#This Row],[Costo SIN Comision]]</f>
        <v>9.76</v>
      </c>
      <c r="M1063" s="35" t="s">
        <v>3532</v>
      </c>
    </row>
    <row r="1064" ht="20" customHeight="1" spans="1:13">
      <c r="A1064" s="29">
        <v>45483</v>
      </c>
      <c r="B1064" s="30"/>
      <c r="C1064" s="30"/>
      <c r="D1064" s="30" t="s">
        <v>3478</v>
      </c>
      <c r="E1064" s="30" t="s">
        <v>2184</v>
      </c>
      <c r="F1064" s="34" t="str">
        <f>IFERROR(VLOOKUP(VENTAS[[#This Row],[Código del producto Vendido]],STOCK[],5,FALSE),"-")</f>
        <v>Bikini sexy de pierna alta en tendencia</v>
      </c>
      <c r="G1064" s="34">
        <v>1</v>
      </c>
      <c r="H1064" s="35">
        <v>20</v>
      </c>
      <c r="I1064" s="35">
        <f>VENTAS[[#This Row],[Cantidad]]*VENTAS[[#This Row],[Precio Venta]]</f>
        <v>20</v>
      </c>
      <c r="J1064" s="35">
        <f>IF(VENTAS[[#This Row],[Nombre del Gestor]]&gt;1,VENTAS[[#This Row],[Total]]*10%,0)</f>
        <v>2</v>
      </c>
      <c r="K1064" s="35">
        <f>IFERROR(VLOOKUP(VENTAS[[#This Row],[Código del producto Vendido]],STOCK[],16,FALSE)*VENTAS[[#This Row],[Cantidad]]+VLOOKUP(VENTAS[[#This Row],[Código del producto Vendido]],STOCK[],19,FALSE)*VENTAS[[#This Row],[Cantidad]],VENTAS[[#This Row],[Total]])</f>
        <v>6.62</v>
      </c>
      <c r="L1064" s="35">
        <f>VENTAS[[#This Row],[Total]]-VENTAS[[#This Row],[Comisión 10%]]-VENTAS[[#This Row],[Costo SIN Comision]]</f>
        <v>11.38</v>
      </c>
      <c r="M1064" s="35"/>
    </row>
    <row r="1065" ht="20" customHeight="1" spans="1:13">
      <c r="A1065" s="29">
        <v>45483</v>
      </c>
      <c r="B1065" s="30"/>
      <c r="C1065" s="30"/>
      <c r="D1065" s="30" t="s">
        <v>3478</v>
      </c>
      <c r="E1065" s="30" t="s">
        <v>1907</v>
      </c>
      <c r="F1065" s="34" t="str">
        <f>IFERROR(VLOOKUP(VENTAS[[#This Row],[Código del producto Vendido]],STOCK[],5,FALSE),"-")</f>
        <v>Gafas de Sol Retro Blanco</v>
      </c>
      <c r="G1065" s="34">
        <v>1</v>
      </c>
      <c r="H1065" s="35">
        <v>8</v>
      </c>
      <c r="I1065" s="35">
        <f>VENTAS[[#This Row],[Cantidad]]*VENTAS[[#This Row],[Precio Venta]]</f>
        <v>8</v>
      </c>
      <c r="J1065" s="35">
        <f>IF(VENTAS[[#This Row],[Nombre del Gestor]]&gt;1,VENTAS[[#This Row],[Total]]*10%,0)</f>
        <v>0.8</v>
      </c>
      <c r="K1065" s="35">
        <f>IFERROR(VLOOKUP(VENTAS[[#This Row],[Código del producto Vendido]],STOCK[],16,FALSE)*VENTAS[[#This Row],[Cantidad]]+VLOOKUP(VENTAS[[#This Row],[Código del producto Vendido]],STOCK[],19,FALSE)*VENTAS[[#This Row],[Cantidad]],VENTAS[[#This Row],[Total]])</f>
        <v>4.45</v>
      </c>
      <c r="L1065" s="35">
        <f>VENTAS[[#This Row],[Total]]-VENTAS[[#This Row],[Comisión 10%]]-VENTAS[[#This Row],[Costo SIN Comision]]</f>
        <v>2.75</v>
      </c>
      <c r="M1065" s="35"/>
    </row>
    <row r="1066" ht="20" customHeight="1" spans="1:13">
      <c r="A1066" s="29">
        <v>45483</v>
      </c>
      <c r="B1066" s="30"/>
      <c r="C1066" s="30"/>
      <c r="D1066" s="30" t="s">
        <v>3478</v>
      </c>
      <c r="E1066" s="30" t="s">
        <v>2418</v>
      </c>
      <c r="F1066" s="34" t="str">
        <f>IFERROR(VLOOKUP(VENTAS[[#This Row],[Código del producto Vendido]],STOCK[],5,FALSE),"-")</f>
        <v>Camisa blanca en mezcla de algodón</v>
      </c>
      <c r="G1066" s="34">
        <v>1</v>
      </c>
      <c r="H1066" s="35">
        <v>22</v>
      </c>
      <c r="I1066" s="35">
        <f>VENTAS[[#This Row],[Cantidad]]*VENTAS[[#This Row],[Precio Venta]]</f>
        <v>22</v>
      </c>
      <c r="J1066" s="35">
        <f>IF(VENTAS[[#This Row],[Nombre del Gestor]]&gt;1,VENTAS[[#This Row],[Total]]*10%,0)</f>
        <v>2.2</v>
      </c>
      <c r="K1066" s="35">
        <f>IFERROR(VLOOKUP(VENTAS[[#This Row],[Código del producto Vendido]],STOCK[],16,FALSE)*VENTAS[[#This Row],[Cantidad]]+VLOOKUP(VENTAS[[#This Row],[Código del producto Vendido]],STOCK[],19,FALSE)*VENTAS[[#This Row],[Cantidad]],VENTAS[[#This Row],[Total]])</f>
        <v>17.7808108108108</v>
      </c>
      <c r="L1066" s="35">
        <f>VENTAS[[#This Row],[Total]]-VENTAS[[#This Row],[Comisión 10%]]-VENTAS[[#This Row],[Costo SIN Comision]]</f>
        <v>2.0191891891892</v>
      </c>
      <c r="M1066" s="35"/>
    </row>
    <row r="1067" ht="20" customHeight="1" spans="1:13">
      <c r="A1067" s="29">
        <v>45484</v>
      </c>
      <c r="B1067" s="30"/>
      <c r="C1067" s="30"/>
      <c r="D1067" s="30" t="s">
        <v>3478</v>
      </c>
      <c r="E1067" s="30" t="s">
        <v>603</v>
      </c>
      <c r="F1067" s="34" t="str">
        <f>IFERROR(VLOOKUP(VENTAS[[#This Row],[Código del producto Vendido]],STOCK[],5,FALSE),"-")</f>
        <v>Vestido floral de mangas farol</v>
      </c>
      <c r="G1067" s="34">
        <v>1</v>
      </c>
      <c r="H1067" s="35">
        <v>20</v>
      </c>
      <c r="I1067" s="35">
        <f>VENTAS[[#This Row],[Cantidad]]*VENTAS[[#This Row],[Precio Venta]]</f>
        <v>20</v>
      </c>
      <c r="J1067" s="35">
        <f>IF(VENTAS[[#This Row],[Nombre del Gestor]]&gt;1,VENTAS[[#This Row],[Total]]*10%,0)</f>
        <v>2</v>
      </c>
      <c r="K1067" s="35">
        <f>IFERROR(VLOOKUP(VENTAS[[#This Row],[Código del producto Vendido]],STOCK[],16,FALSE)*VENTAS[[#This Row],[Cantidad]]+VLOOKUP(VENTAS[[#This Row],[Código del producto Vendido]],STOCK[],19,FALSE)*VENTAS[[#This Row],[Cantidad]],VENTAS[[#This Row],[Total]])</f>
        <v>10.7222222222222</v>
      </c>
      <c r="L1067" s="35">
        <f>VENTAS[[#This Row],[Total]]-VENTAS[[#This Row],[Comisión 10%]]-VENTAS[[#This Row],[Costo SIN Comision]]</f>
        <v>7.27777777777778</v>
      </c>
      <c r="M1067" s="35"/>
    </row>
    <row r="1068" ht="20" customHeight="1" spans="1:13">
      <c r="A1068" s="29">
        <v>45485</v>
      </c>
      <c r="B1068" s="30"/>
      <c r="C1068" s="30"/>
      <c r="D1068" s="30" t="s">
        <v>3478</v>
      </c>
      <c r="E1068" s="30" t="s">
        <v>1163</v>
      </c>
      <c r="F1068" s="34" t="str">
        <f>IFERROR(VLOOKUP(VENTAS[[#This Row],[Código del producto Vendido]],STOCK[],5,FALSE),"-")</f>
        <v>Short de mezclilla con doblez (no elastiza)</v>
      </c>
      <c r="G1068" s="34">
        <v>1</v>
      </c>
      <c r="H1068" s="35">
        <v>20</v>
      </c>
      <c r="I1068" s="35">
        <f>VENTAS[[#This Row],[Cantidad]]*VENTAS[[#This Row],[Precio Venta]]</f>
        <v>20</v>
      </c>
      <c r="J1068" s="35">
        <f>IF(VENTAS[[#This Row],[Nombre del Gestor]]&gt;1,VENTAS[[#This Row],[Total]]*10%,0)</f>
        <v>2</v>
      </c>
      <c r="K1068" s="35">
        <f>IFERROR(VLOOKUP(VENTAS[[#This Row],[Código del producto Vendido]],STOCK[],16,FALSE)*VENTAS[[#This Row],[Cantidad]]+VLOOKUP(VENTAS[[#This Row],[Código del producto Vendido]],STOCK[],19,FALSE)*VENTAS[[#This Row],[Cantidad]],VENTAS[[#This Row],[Total]])</f>
        <v>14.29</v>
      </c>
      <c r="L1068" s="35">
        <f>VENTAS[[#This Row],[Total]]-VENTAS[[#This Row],[Comisión 10%]]-VENTAS[[#This Row],[Costo SIN Comision]]</f>
        <v>3.71</v>
      </c>
      <c r="M1068" s="35"/>
    </row>
    <row r="1069" ht="20" customHeight="1" spans="1:13">
      <c r="A1069" s="29">
        <v>45485</v>
      </c>
      <c r="B1069" s="30"/>
      <c r="C1069" s="30"/>
      <c r="D1069" s="30" t="s">
        <v>3478</v>
      </c>
      <c r="E1069" s="30"/>
      <c r="F1069" s="34" t="s">
        <v>3533</v>
      </c>
      <c r="G1069" s="34">
        <v>1</v>
      </c>
      <c r="H1069" s="35">
        <v>25</v>
      </c>
      <c r="I1069" s="35">
        <f>VENTAS[[#This Row],[Cantidad]]*VENTAS[[#This Row],[Precio Venta]]</f>
        <v>25</v>
      </c>
      <c r="J1069" s="35">
        <f>IF(VENTAS[[#This Row],[Nombre del Gestor]]&gt;1,VENTAS[[#This Row],[Total]]*10%,0)</f>
        <v>2.5</v>
      </c>
      <c r="K1069" s="35">
        <f>IFERROR(VLOOKUP(VENTAS[[#This Row],[Código del producto Vendido]],STOCK[],16,FALSE)*VENTAS[[#This Row],[Cantidad]]+VLOOKUP(VENTAS[[#This Row],[Código del producto Vendido]],STOCK[],19,FALSE)*VENTAS[[#This Row],[Cantidad]],VENTAS[[#This Row],[Total]])</f>
        <v>25</v>
      </c>
      <c r="L1069" s="35">
        <f>VENTAS[[#This Row],[Total]]-VENTAS[[#This Row],[Comisión 10%]]-VENTAS[[#This Row],[Costo SIN Comision]]</f>
        <v>-2.5</v>
      </c>
      <c r="M1069" s="35"/>
    </row>
    <row r="1070" ht="20" customHeight="1" spans="1:13">
      <c r="A1070" s="29">
        <v>45485</v>
      </c>
      <c r="B1070" s="30"/>
      <c r="C1070" s="30"/>
      <c r="D1070" s="30" t="s">
        <v>3478</v>
      </c>
      <c r="E1070" s="30" t="s">
        <v>2182</v>
      </c>
      <c r="F1070" s="34" t="str">
        <f>IFERROR(VLOOKUP(VENTAS[[#This Row],[Código del producto Vendido]],STOCK[],5,FALSE),"-")</f>
        <v>Bikini sexy de pierna alta en tendencia</v>
      </c>
      <c r="G1070" s="34">
        <v>1</v>
      </c>
      <c r="H1070" s="35">
        <v>20</v>
      </c>
      <c r="I1070" s="35">
        <f>VENTAS[[#This Row],[Cantidad]]*VENTAS[[#This Row],[Precio Venta]]</f>
        <v>20</v>
      </c>
      <c r="J1070" s="35">
        <f>IF(VENTAS[[#This Row],[Nombre del Gestor]]&gt;1,VENTAS[[#This Row],[Total]]*10%,0)</f>
        <v>2</v>
      </c>
      <c r="K1070" s="35">
        <f>IFERROR(VLOOKUP(VENTAS[[#This Row],[Código del producto Vendido]],STOCK[],16,FALSE)*VENTAS[[#This Row],[Cantidad]]+VLOOKUP(VENTAS[[#This Row],[Código del producto Vendido]],STOCK[],19,FALSE)*VENTAS[[#This Row],[Cantidad]],VENTAS[[#This Row],[Total]])</f>
        <v>6.62</v>
      </c>
      <c r="L1070" s="35">
        <f>VENTAS[[#This Row],[Total]]-VENTAS[[#This Row],[Comisión 10%]]-VENTAS[[#This Row],[Costo SIN Comision]]</f>
        <v>11.38</v>
      </c>
      <c r="M1070" s="35"/>
    </row>
    <row r="1071" ht="20" customHeight="1" spans="1:13">
      <c r="A1071" s="29">
        <v>45485</v>
      </c>
      <c r="B1071" s="30"/>
      <c r="C1071" s="30"/>
      <c r="D1071" s="30" t="s">
        <v>3478</v>
      </c>
      <c r="E1071" s="30" t="s">
        <v>2312</v>
      </c>
      <c r="F1071" s="34" t="str">
        <f>IFERROR(VLOOKUP(VENTAS[[#This Row],[Código del producto Vendido]],STOCK[],5,FALSE),"-")</f>
        <v>Blusa Vacaciones con lazo delantero</v>
      </c>
      <c r="G1071" s="34">
        <v>1</v>
      </c>
      <c r="H1071" s="35">
        <v>15</v>
      </c>
      <c r="I1071" s="35">
        <f>VENTAS[[#This Row],[Cantidad]]*VENTAS[[#This Row],[Precio Venta]]</f>
        <v>15</v>
      </c>
      <c r="J1071" s="35">
        <f>IF(VENTAS[[#This Row],[Nombre del Gestor]]&gt;1,VENTAS[[#This Row],[Total]]*10%,0)</f>
        <v>1.5</v>
      </c>
      <c r="K1071" s="35">
        <f>IFERROR(VLOOKUP(VENTAS[[#This Row],[Código del producto Vendido]],STOCK[],16,FALSE)*VENTAS[[#This Row],[Cantidad]]+VLOOKUP(VENTAS[[#This Row],[Código del producto Vendido]],STOCK[],19,FALSE)*VENTAS[[#This Row],[Cantidad]],VENTAS[[#This Row],[Total]])</f>
        <v>8.733125</v>
      </c>
      <c r="L1071" s="35">
        <f>VENTAS[[#This Row],[Total]]-VENTAS[[#This Row],[Comisión 10%]]-VENTAS[[#This Row],[Costo SIN Comision]]</f>
        <v>4.766875</v>
      </c>
      <c r="M1071" s="35"/>
    </row>
    <row r="1072" ht="20" customHeight="1" spans="1:13">
      <c r="A1072" s="29">
        <v>45485</v>
      </c>
      <c r="B1072" s="30"/>
      <c r="C1072" s="30"/>
      <c r="D1072" s="30" t="s">
        <v>3478</v>
      </c>
      <c r="E1072" s="30" t="s">
        <v>2310</v>
      </c>
      <c r="F1072" s="34" t="str">
        <f>IFERROR(VLOOKUP(VENTAS[[#This Row],[Código del producto Vendido]],STOCK[],5,FALSE),"-")</f>
        <v>Blusa Vacaciones con lazo delantero</v>
      </c>
      <c r="G1072" s="34">
        <v>1</v>
      </c>
      <c r="H1072" s="35">
        <v>15</v>
      </c>
      <c r="I1072" s="35">
        <f>VENTAS[[#This Row],[Cantidad]]*VENTAS[[#This Row],[Precio Venta]]</f>
        <v>15</v>
      </c>
      <c r="J1072" s="35">
        <f>IF(VENTAS[[#This Row],[Nombre del Gestor]]&gt;1,VENTAS[[#This Row],[Total]]*10%,0)</f>
        <v>1.5</v>
      </c>
      <c r="K1072" s="35">
        <f>IFERROR(VLOOKUP(VENTAS[[#This Row],[Código del producto Vendido]],STOCK[],16,FALSE)*VENTAS[[#This Row],[Cantidad]]+VLOOKUP(VENTAS[[#This Row],[Código del producto Vendido]],STOCK[],19,FALSE)*VENTAS[[#This Row],[Cantidad]],VENTAS[[#This Row],[Total]])</f>
        <v>8.733125</v>
      </c>
      <c r="L1072" s="35">
        <f>VENTAS[[#This Row],[Total]]-VENTAS[[#This Row],[Comisión 10%]]-VENTAS[[#This Row],[Costo SIN Comision]]</f>
        <v>4.766875</v>
      </c>
      <c r="M1072" s="35"/>
    </row>
    <row r="1073" ht="20" customHeight="1" spans="1:13">
      <c r="A1073" s="29">
        <v>45486</v>
      </c>
      <c r="B1073" s="30"/>
      <c r="C1073" s="30"/>
      <c r="D1073" s="30" t="s">
        <v>3478</v>
      </c>
      <c r="E1073" s="30" t="s">
        <v>2184</v>
      </c>
      <c r="F1073" s="34" t="str">
        <f>IFERROR(VLOOKUP(VENTAS[[#This Row],[Código del producto Vendido]],STOCK[],5,FALSE),"-")</f>
        <v>Bikini sexy de pierna alta en tendencia</v>
      </c>
      <c r="G1073" s="34">
        <v>1</v>
      </c>
      <c r="H1073" s="35">
        <v>20</v>
      </c>
      <c r="I1073" s="35">
        <f>VENTAS[[#This Row],[Cantidad]]*VENTAS[[#This Row],[Precio Venta]]</f>
        <v>20</v>
      </c>
      <c r="J1073" s="35">
        <f>IF(VENTAS[[#This Row],[Nombre del Gestor]]&gt;1,VENTAS[[#This Row],[Total]]*10%,0)</f>
        <v>2</v>
      </c>
      <c r="K1073" s="35">
        <f>IFERROR(VLOOKUP(VENTAS[[#This Row],[Código del producto Vendido]],STOCK[],16,FALSE)*VENTAS[[#This Row],[Cantidad]]+VLOOKUP(VENTAS[[#This Row],[Código del producto Vendido]],STOCK[],19,FALSE)*VENTAS[[#This Row],[Cantidad]],VENTAS[[#This Row],[Total]])</f>
        <v>6.62</v>
      </c>
      <c r="L1073" s="35">
        <f>VENTAS[[#This Row],[Total]]-VENTAS[[#This Row],[Comisión 10%]]-VENTAS[[#This Row],[Costo SIN Comision]]</f>
        <v>11.38</v>
      </c>
      <c r="M1073" s="35"/>
    </row>
    <row r="1074" ht="20" customHeight="1" spans="1:13">
      <c r="A1074" s="29">
        <v>45487</v>
      </c>
      <c r="B1074" s="30"/>
      <c r="C1074" s="30"/>
      <c r="D1074" s="30" t="s">
        <v>3478</v>
      </c>
      <c r="E1074" s="30" t="s">
        <v>2174</v>
      </c>
      <c r="F1074" s="34" t="str">
        <f>IFERROR(VLOOKUP(VENTAS[[#This Row],[Código del producto Vendido]],STOCK[],5,FALSE),"-")</f>
        <v>Set de bikini 2 piezas estampado de colores con adorno de aro</v>
      </c>
      <c r="G1074" s="34">
        <v>1</v>
      </c>
      <c r="H1074" s="35">
        <v>18</v>
      </c>
      <c r="I1074" s="35">
        <f>VENTAS[[#This Row],[Cantidad]]*VENTAS[[#This Row],[Precio Venta]]</f>
        <v>18</v>
      </c>
      <c r="J1074" s="35">
        <f>IF(VENTAS[[#This Row],[Nombre del Gestor]]&gt;1,VENTAS[[#This Row],[Total]]*10%,0)</f>
        <v>1.8</v>
      </c>
      <c r="K1074" s="35">
        <f>IFERROR(VLOOKUP(VENTAS[[#This Row],[Código del producto Vendido]],STOCK[],16,FALSE)*VENTAS[[#This Row],[Cantidad]]+VLOOKUP(VENTAS[[#This Row],[Código del producto Vendido]],STOCK[],19,FALSE)*VENTAS[[#This Row],[Cantidad]],VENTAS[[#This Row],[Total]])</f>
        <v>4.43</v>
      </c>
      <c r="L1074" s="35">
        <f>VENTAS[[#This Row],[Total]]-VENTAS[[#This Row],[Comisión 10%]]-VENTAS[[#This Row],[Costo SIN Comision]]</f>
        <v>11.77</v>
      </c>
      <c r="M1074" s="35"/>
    </row>
    <row r="1075" ht="20" customHeight="1" spans="1:13">
      <c r="A1075" s="29">
        <v>45487</v>
      </c>
      <c r="B1075" s="30"/>
      <c r="C1075" s="30"/>
      <c r="D1075" s="30" t="s">
        <v>3478</v>
      </c>
      <c r="E1075" s="30" t="s">
        <v>2206</v>
      </c>
      <c r="F1075" s="34" t="str">
        <f>IFERROR(VLOOKUP(VENTAS[[#This Row],[Código del producto Vendido]],STOCK[],5,FALSE),"-")</f>
        <v>Bolso TOTE arcoíris trending </v>
      </c>
      <c r="G1075" s="34">
        <v>1</v>
      </c>
      <c r="H1075" s="35">
        <v>12</v>
      </c>
      <c r="I1075" s="35">
        <f>VENTAS[[#This Row],[Cantidad]]*VENTAS[[#This Row],[Precio Venta]]</f>
        <v>12</v>
      </c>
      <c r="J1075" s="35">
        <f>IF(VENTAS[[#This Row],[Nombre del Gestor]]&gt;1,VENTAS[[#This Row],[Total]]*10%,0)</f>
        <v>1.2</v>
      </c>
      <c r="K1075" s="35">
        <f>IFERROR(VLOOKUP(VENTAS[[#This Row],[Código del producto Vendido]],STOCK[],16,FALSE)*VENTAS[[#This Row],[Cantidad]]+VLOOKUP(VENTAS[[#This Row],[Código del producto Vendido]],STOCK[],19,FALSE)*VENTAS[[#This Row],[Cantidad]],VENTAS[[#This Row],[Total]])</f>
        <v>5.84</v>
      </c>
      <c r="L1075" s="35">
        <f>VENTAS[[#This Row],[Total]]-VENTAS[[#This Row],[Comisión 10%]]-VENTAS[[#This Row],[Costo SIN Comision]]</f>
        <v>4.96</v>
      </c>
      <c r="M1075" s="35"/>
    </row>
    <row r="1076" ht="20" customHeight="1" spans="1:13">
      <c r="A1076" s="29">
        <v>45487</v>
      </c>
      <c r="B1076" s="30"/>
      <c r="C1076" s="30"/>
      <c r="D1076" s="30" t="s">
        <v>3478</v>
      </c>
      <c r="E1076" s="30" t="s">
        <v>1896</v>
      </c>
      <c r="F1076" s="34" t="str">
        <f>IFERROR(VLOOKUP(VENTAS[[#This Row],[Código del producto Vendido]],STOCK[],5,FALSE),"-")</f>
        <v>Bolso mochila estampado</v>
      </c>
      <c r="G1076" s="34">
        <v>1</v>
      </c>
      <c r="H1076" s="35">
        <v>25</v>
      </c>
      <c r="I1076" s="35">
        <f>VENTAS[[#This Row],[Cantidad]]*VENTAS[[#This Row],[Precio Venta]]</f>
        <v>25</v>
      </c>
      <c r="J1076" s="35">
        <f>IF(VENTAS[[#This Row],[Nombre del Gestor]]&gt;1,VENTAS[[#This Row],[Total]]*10%,0)</f>
        <v>2.5</v>
      </c>
      <c r="K1076" s="35">
        <f>IFERROR(VLOOKUP(VENTAS[[#This Row],[Código del producto Vendido]],STOCK[],16,FALSE)*VENTAS[[#This Row],[Cantidad]]+VLOOKUP(VENTAS[[#This Row],[Código del producto Vendido]],STOCK[],19,FALSE)*VENTAS[[#This Row],[Cantidad]],VENTAS[[#This Row],[Total]])</f>
        <v>12.62</v>
      </c>
      <c r="L1076" s="35">
        <f>VENTAS[[#This Row],[Total]]-VENTAS[[#This Row],[Comisión 10%]]-VENTAS[[#This Row],[Costo SIN Comision]]</f>
        <v>9.88</v>
      </c>
      <c r="M1076" s="35"/>
    </row>
    <row r="1077" ht="20" customHeight="1" spans="1:13">
      <c r="A1077" s="29">
        <v>45487</v>
      </c>
      <c r="B1077" s="30"/>
      <c r="C1077" s="30"/>
      <c r="D1077" s="30" t="s">
        <v>3503</v>
      </c>
      <c r="E1077" s="30" t="s">
        <v>1654</v>
      </c>
      <c r="F1077" s="34" t="str">
        <f>IFERROR(VLOOKUP(VENTAS[[#This Row],[Código del producto Vendido]],STOCK[],5,FALSE),"-")</f>
        <v>Vestido margarita</v>
      </c>
      <c r="G1077" s="34">
        <v>1</v>
      </c>
      <c r="H1077" s="35">
        <v>28</v>
      </c>
      <c r="I1077" s="35">
        <f>VENTAS[[#This Row],[Cantidad]]*VENTAS[[#This Row],[Precio Venta]]</f>
        <v>28</v>
      </c>
      <c r="J1077" s="35">
        <f>IF(VENTAS[[#This Row],[Nombre del Gestor]]&gt;1,VENTAS[[#This Row],[Total]]*10%,0)</f>
        <v>2.8</v>
      </c>
      <c r="K1077" s="35">
        <f>IFERROR(VLOOKUP(VENTAS[[#This Row],[Código del producto Vendido]],STOCK[],16,FALSE)*VENTAS[[#This Row],[Cantidad]]+VLOOKUP(VENTAS[[#This Row],[Código del producto Vendido]],STOCK[],19,FALSE)*VENTAS[[#This Row],[Cantidad]],VENTAS[[#This Row],[Total]])</f>
        <v>15.05</v>
      </c>
      <c r="L1077" s="35">
        <f>VENTAS[[#This Row],[Total]]-VENTAS[[#This Row],[Comisión 10%]]-VENTAS[[#This Row],[Costo SIN Comision]]</f>
        <v>10.15</v>
      </c>
      <c r="M1077" s="35"/>
    </row>
    <row r="1078" ht="20" customHeight="1" spans="1:13">
      <c r="A1078" s="29">
        <v>45487</v>
      </c>
      <c r="B1078" s="30"/>
      <c r="C1078" s="30"/>
      <c r="D1078" s="30" t="s">
        <v>3503</v>
      </c>
      <c r="E1078" s="30" t="s">
        <v>2209</v>
      </c>
      <c r="F1078" s="34" t="str">
        <f>IFERROR(VLOOKUP(VENTAS[[#This Row],[Código del producto Vendido]],STOCK[],5,FALSE),"-")</f>
        <v>Vestido Resorte estampado bohemio</v>
      </c>
      <c r="G1078" s="34">
        <v>1</v>
      </c>
      <c r="H1078" s="35">
        <v>35</v>
      </c>
      <c r="I1078" s="35">
        <f>VENTAS[[#This Row],[Cantidad]]*VENTAS[[#This Row],[Precio Venta]]</f>
        <v>35</v>
      </c>
      <c r="J1078" s="35">
        <f>IF(VENTAS[[#This Row],[Nombre del Gestor]]&gt;1,VENTAS[[#This Row],[Total]]*10%,0)</f>
        <v>3.5</v>
      </c>
      <c r="K1078" s="35">
        <f>IFERROR(VLOOKUP(VENTAS[[#This Row],[Código del producto Vendido]],STOCK[],16,FALSE)*VENTAS[[#This Row],[Cantidad]]+VLOOKUP(VENTAS[[#This Row],[Código del producto Vendido]],STOCK[],19,FALSE)*VENTAS[[#This Row],[Cantidad]],VENTAS[[#This Row],[Total]])</f>
        <v>15.39</v>
      </c>
      <c r="L1078" s="35">
        <f>VENTAS[[#This Row],[Total]]-VENTAS[[#This Row],[Comisión 10%]]-VENTAS[[#This Row],[Costo SIN Comision]]</f>
        <v>16.11</v>
      </c>
      <c r="M1078" s="35"/>
    </row>
    <row r="1079" ht="20" customHeight="1" spans="1:13">
      <c r="A1079" s="29">
        <v>45484</v>
      </c>
      <c r="B1079" s="30"/>
      <c r="C1079" s="30"/>
      <c r="D1079" s="30" t="s">
        <v>3503</v>
      </c>
      <c r="E1079" s="30" t="s">
        <v>1679</v>
      </c>
      <c r="F1079" s="34" t="str">
        <f>IFERROR(VLOOKUP(VENTAS[[#This Row],[Código del producto Vendido]],STOCK[],5,FALSE),"-")</f>
        <v>Vestido Frenchy</v>
      </c>
      <c r="G1079" s="34">
        <v>1</v>
      </c>
      <c r="H1079" s="35">
        <v>20</v>
      </c>
      <c r="I1079" s="35">
        <f>VENTAS[[#This Row],[Cantidad]]*VENTAS[[#This Row],[Precio Venta]]</f>
        <v>20</v>
      </c>
      <c r="J1079" s="35">
        <f>IF(VENTAS[[#This Row],[Nombre del Gestor]]&gt;1,VENTAS[[#This Row],[Total]]*10%,0)</f>
        <v>2</v>
      </c>
      <c r="K1079" s="35">
        <f>IFERROR(VLOOKUP(VENTAS[[#This Row],[Código del producto Vendido]],STOCK[],16,FALSE)*VENTAS[[#This Row],[Cantidad]]+VLOOKUP(VENTAS[[#This Row],[Código del producto Vendido]],STOCK[],19,FALSE)*VENTAS[[#This Row],[Cantidad]],VENTAS[[#This Row],[Total]])</f>
        <v>11.56</v>
      </c>
      <c r="L1079" s="35">
        <f>VENTAS[[#This Row],[Total]]-VENTAS[[#This Row],[Comisión 10%]]-VENTAS[[#This Row],[Costo SIN Comision]]</f>
        <v>6.44</v>
      </c>
      <c r="M1079" s="35"/>
    </row>
    <row r="1080" ht="20" customHeight="1" spans="1:13">
      <c r="A1080" s="29">
        <v>45484</v>
      </c>
      <c r="B1080" s="30"/>
      <c r="C1080" s="30"/>
      <c r="D1080" s="30" t="s">
        <v>3503</v>
      </c>
      <c r="E1080" s="30" t="s">
        <v>427</v>
      </c>
      <c r="F1080" s="34" t="str">
        <f>IFERROR(VLOOKUP(VENTAS[[#This Row],[Código del producto Vendido]],STOCK[],5,FALSE),"-")</f>
        <v>Mono Bohemio con cinturón </v>
      </c>
      <c r="G1080" s="34">
        <v>1</v>
      </c>
      <c r="H1080" s="35">
        <v>23</v>
      </c>
      <c r="I1080" s="35">
        <f>VENTAS[[#This Row],[Cantidad]]*VENTAS[[#This Row],[Precio Venta]]</f>
        <v>23</v>
      </c>
      <c r="J1080" s="35">
        <f>IF(VENTAS[[#This Row],[Nombre del Gestor]]&gt;1,VENTAS[[#This Row],[Total]]*10%,0)</f>
        <v>2.3</v>
      </c>
      <c r="K1080" s="35">
        <f>IFERROR(VLOOKUP(VENTAS[[#This Row],[Código del producto Vendido]],STOCK[],16,FALSE)*VENTAS[[#This Row],[Cantidad]]+VLOOKUP(VENTAS[[#This Row],[Código del producto Vendido]],STOCK[],19,FALSE)*VENTAS[[#This Row],[Cantidad]],VENTAS[[#This Row],[Total]])</f>
        <v>14.7022222222222</v>
      </c>
      <c r="L1080" s="35">
        <f>VENTAS[[#This Row],[Total]]-VENTAS[[#This Row],[Comisión 10%]]-VENTAS[[#This Row],[Costo SIN Comision]]</f>
        <v>5.9977777777778</v>
      </c>
      <c r="M1080" s="35"/>
    </row>
    <row r="1081" ht="20" customHeight="1" spans="1:13">
      <c r="A1081" s="29">
        <v>45483</v>
      </c>
      <c r="B1081" s="30"/>
      <c r="C1081" s="30"/>
      <c r="D1081" s="30" t="s">
        <v>3503</v>
      </c>
      <c r="E1081" s="30" t="s">
        <v>1816</v>
      </c>
      <c r="F1081" s="34" t="str">
        <f>IFERROR(VLOOKUP(VENTAS[[#This Row],[Código del producto Vendido]],STOCK[],5,FALSE),"-")</f>
        <v>Vestido Midi Elegante</v>
      </c>
      <c r="G1081" s="34">
        <v>1</v>
      </c>
      <c r="H1081" s="35">
        <v>22</v>
      </c>
      <c r="I1081" s="35">
        <f>VENTAS[[#This Row],[Cantidad]]*VENTAS[[#This Row],[Precio Venta]]</f>
        <v>22</v>
      </c>
      <c r="J1081" s="35">
        <f>IF(VENTAS[[#This Row],[Nombre del Gestor]]&gt;1,VENTAS[[#This Row],[Total]]*10%,0)</f>
        <v>2.2</v>
      </c>
      <c r="K1081" s="35">
        <f>IFERROR(VLOOKUP(VENTAS[[#This Row],[Código del producto Vendido]],STOCK[],16,FALSE)*VENTAS[[#This Row],[Cantidad]]+VLOOKUP(VENTAS[[#This Row],[Código del producto Vendido]],STOCK[],19,FALSE)*VENTAS[[#This Row],[Cantidad]],VENTAS[[#This Row],[Total]])</f>
        <v>10.79</v>
      </c>
      <c r="L1081" s="35">
        <f>VENTAS[[#This Row],[Total]]-VENTAS[[#This Row],[Comisión 10%]]-VENTAS[[#This Row],[Costo SIN Comision]]</f>
        <v>9.01</v>
      </c>
      <c r="M1081" s="35"/>
    </row>
    <row r="1082" ht="20" customHeight="1" spans="1:13">
      <c r="A1082" s="29">
        <v>45485</v>
      </c>
      <c r="B1082" s="30"/>
      <c r="C1082" s="30"/>
      <c r="D1082" s="30" t="s">
        <v>3509</v>
      </c>
      <c r="E1082" s="30" t="s">
        <v>1925</v>
      </c>
      <c r="F1082" s="34" t="str">
        <f>IFERROR(VLOOKUP(VENTAS[[#This Row],[Código del producto Vendido]],STOCK[],5,FALSE),"-")</f>
        <v>Sujetador Invisible Suave sin tirantes</v>
      </c>
      <c r="G1082" s="34">
        <v>1</v>
      </c>
      <c r="H1082" s="35">
        <v>12</v>
      </c>
      <c r="I1082" s="35">
        <f>VENTAS[[#This Row],[Cantidad]]*VENTAS[[#This Row],[Precio Venta]]</f>
        <v>12</v>
      </c>
      <c r="J1082" s="35">
        <f>IF(VENTAS[[#This Row],[Nombre del Gestor]]&gt;1,VENTAS[[#This Row],[Total]]*10%,0)</f>
        <v>1.2</v>
      </c>
      <c r="K1082" s="35">
        <f>IFERROR(VLOOKUP(VENTAS[[#This Row],[Código del producto Vendido]],STOCK[],16,FALSE)*VENTAS[[#This Row],[Cantidad]]+VLOOKUP(VENTAS[[#This Row],[Código del producto Vendido]],STOCK[],19,FALSE)*VENTAS[[#This Row],[Cantidad]],VENTAS[[#This Row],[Total]])</f>
        <v>4.97</v>
      </c>
      <c r="L1082" s="35">
        <f>VENTAS[[#This Row],[Total]]-VENTAS[[#This Row],[Comisión 10%]]-VENTAS[[#This Row],[Costo SIN Comision]]</f>
        <v>5.83</v>
      </c>
      <c r="M1082" s="35"/>
    </row>
    <row r="1083" ht="20" customHeight="1" spans="1:13">
      <c r="A1083" s="29">
        <v>45485</v>
      </c>
      <c r="B1083" s="30"/>
      <c r="C1083" s="30"/>
      <c r="D1083" s="30" t="s">
        <v>3509</v>
      </c>
      <c r="E1083" s="30" t="s">
        <v>1929</v>
      </c>
      <c r="F1083" s="34" t="str">
        <f>IFERROR(VLOOKUP(VENTAS[[#This Row],[Código del producto Vendido]],STOCK[],5,FALSE),"-")</f>
        <v>Sujetador Invisible Suave sin tirantes</v>
      </c>
      <c r="G1083" s="34">
        <v>1</v>
      </c>
      <c r="H1083" s="35">
        <v>12</v>
      </c>
      <c r="I1083" s="35">
        <f>VENTAS[[#This Row],[Cantidad]]*VENTAS[[#This Row],[Precio Venta]]</f>
        <v>12</v>
      </c>
      <c r="J1083" s="35">
        <f>IF(VENTAS[[#This Row],[Nombre del Gestor]]&gt;1,VENTAS[[#This Row],[Total]]*10%,0)</f>
        <v>1.2</v>
      </c>
      <c r="K1083" s="35">
        <f>IFERROR(VLOOKUP(VENTAS[[#This Row],[Código del producto Vendido]],STOCK[],16,FALSE)*VENTAS[[#This Row],[Cantidad]]+VLOOKUP(VENTAS[[#This Row],[Código del producto Vendido]],STOCK[],19,FALSE)*VENTAS[[#This Row],[Cantidad]],VENTAS[[#This Row],[Total]])</f>
        <v>4.97</v>
      </c>
      <c r="L1083" s="35">
        <f>VENTAS[[#This Row],[Total]]-VENTAS[[#This Row],[Comisión 10%]]-VENTAS[[#This Row],[Costo SIN Comision]]</f>
        <v>5.83</v>
      </c>
      <c r="M1083" s="35"/>
    </row>
    <row r="1084" ht="20" customHeight="1" spans="1:13">
      <c r="A1084" s="29">
        <v>45482</v>
      </c>
      <c r="B1084" s="30"/>
      <c r="C1084" s="30"/>
      <c r="D1084" s="30" t="s">
        <v>3509</v>
      </c>
      <c r="E1084" s="30" t="s">
        <v>763</v>
      </c>
      <c r="F1084" s="34" t="str">
        <f>IFERROR(VLOOKUP(VENTAS[[#This Row],[Código del producto Vendido]],STOCK[],5,FALSE),"-")</f>
        <v>Sandalias anudadas</v>
      </c>
      <c r="G1084" s="34">
        <v>1</v>
      </c>
      <c r="H1084" s="35">
        <v>27</v>
      </c>
      <c r="I1084" s="35">
        <f>VENTAS[[#This Row],[Cantidad]]*VENTAS[[#This Row],[Precio Venta]]</f>
        <v>27</v>
      </c>
      <c r="J1084" s="35">
        <f>IF(VENTAS[[#This Row],[Nombre del Gestor]]&gt;1,VENTAS[[#This Row],[Total]]*10%,0)</f>
        <v>2.7</v>
      </c>
      <c r="K1084" s="35">
        <f>IFERROR(VLOOKUP(VENTAS[[#This Row],[Código del producto Vendido]],STOCK[],16,FALSE)*VENTAS[[#This Row],[Cantidad]]+VLOOKUP(VENTAS[[#This Row],[Código del producto Vendido]],STOCK[],19,FALSE)*VENTAS[[#This Row],[Cantidad]],VENTAS[[#This Row],[Total]])</f>
        <v>18.7222222222222</v>
      </c>
      <c r="L1084" s="35">
        <f>VENTAS[[#This Row],[Total]]-VENTAS[[#This Row],[Comisión 10%]]-VENTAS[[#This Row],[Costo SIN Comision]]</f>
        <v>5.5777777777778</v>
      </c>
      <c r="M1084" s="35"/>
    </row>
    <row r="1085" ht="20" customHeight="1" spans="1:13">
      <c r="A1085" s="29">
        <v>45486</v>
      </c>
      <c r="B1085" s="30"/>
      <c r="C1085" s="30"/>
      <c r="D1085" s="30" t="s">
        <v>3448</v>
      </c>
      <c r="E1085" s="30" t="s">
        <v>1913</v>
      </c>
      <c r="F1085" s="34" t="str">
        <f>IFERROR(VLOOKUP(VENTAS[[#This Row],[Código del producto Vendido]],STOCK[],5,FALSE),"-")</f>
        <v>Gafas de Sol Retro Negro</v>
      </c>
      <c r="G1085" s="34">
        <v>1</v>
      </c>
      <c r="H1085" s="35">
        <v>8</v>
      </c>
      <c r="I1085" s="35">
        <f>VENTAS[[#This Row],[Cantidad]]*VENTAS[[#This Row],[Precio Venta]]</f>
        <v>8</v>
      </c>
      <c r="J1085" s="35">
        <f>IF(VENTAS[[#This Row],[Nombre del Gestor]]&gt;1,VENTAS[[#This Row],[Total]]*10%,0)</f>
        <v>0.8</v>
      </c>
      <c r="K1085" s="35">
        <f>IFERROR(VLOOKUP(VENTAS[[#This Row],[Código del producto Vendido]],STOCK[],16,FALSE)*VENTAS[[#This Row],[Cantidad]]+VLOOKUP(VENTAS[[#This Row],[Código del producto Vendido]],STOCK[],19,FALSE)*VENTAS[[#This Row],[Cantidad]],VENTAS[[#This Row],[Total]])</f>
        <v>4.86</v>
      </c>
      <c r="L1085" s="35">
        <f>VENTAS[[#This Row],[Total]]-VENTAS[[#This Row],[Comisión 10%]]-VENTAS[[#This Row],[Costo SIN Comision]]</f>
        <v>2.34</v>
      </c>
      <c r="M1085" s="35"/>
    </row>
    <row r="1086" ht="20" customHeight="1" spans="1:13">
      <c r="A1086" s="29">
        <v>45485</v>
      </c>
      <c r="B1086" s="30"/>
      <c r="C1086" s="30"/>
      <c r="D1086" s="30" t="s">
        <v>3507</v>
      </c>
      <c r="E1086" s="30" t="s">
        <v>1209</v>
      </c>
      <c r="F1086" s="34" t="str">
        <f>IFERROR(VLOOKUP(VENTAS[[#This Row],[Código del producto Vendido]],STOCK[],5,FALSE),"-")</f>
        <v>Falda negra con flores y abertura</v>
      </c>
      <c r="G1086" s="34">
        <v>1</v>
      </c>
      <c r="H1086" s="35">
        <v>18</v>
      </c>
      <c r="I1086" s="35">
        <f>VENTAS[[#This Row],[Cantidad]]*VENTAS[[#This Row],[Precio Venta]]</f>
        <v>18</v>
      </c>
      <c r="J1086" s="35">
        <f>IF(VENTAS[[#This Row],[Nombre del Gestor]]&gt;1,VENTAS[[#This Row],[Total]]*10%,0)</f>
        <v>1.8</v>
      </c>
      <c r="K1086" s="35">
        <f>IFERROR(VLOOKUP(VENTAS[[#This Row],[Código del producto Vendido]],STOCK[],16,FALSE)*VENTAS[[#This Row],[Cantidad]]+VLOOKUP(VENTAS[[#This Row],[Código del producto Vendido]],STOCK[],19,FALSE)*VENTAS[[#This Row],[Cantidad]],VENTAS[[#This Row],[Total]])</f>
        <v>10.77</v>
      </c>
      <c r="L1086" s="35">
        <f>VENTAS[[#This Row],[Total]]-VENTAS[[#This Row],[Comisión 10%]]-VENTAS[[#This Row],[Costo SIN Comision]]</f>
        <v>5.43</v>
      </c>
      <c r="M1086" s="35"/>
    </row>
    <row r="1087" ht="20" customHeight="1" spans="1:13">
      <c r="A1087" s="29">
        <v>45485</v>
      </c>
      <c r="B1087" s="30"/>
      <c r="C1087" s="30"/>
      <c r="D1087" s="30" t="s">
        <v>3507</v>
      </c>
      <c r="E1087" s="30" t="s">
        <v>812</v>
      </c>
      <c r="F1087" s="34" t="str">
        <f>IFERROR(VLOOKUP(VENTAS[[#This Row],[Código del producto Vendido]],STOCK[],5,FALSE),"-")</f>
        <v>Top de cuello asimétrico</v>
      </c>
      <c r="G1087" s="34">
        <v>1</v>
      </c>
      <c r="H1087" s="35">
        <v>10</v>
      </c>
      <c r="I1087" s="35">
        <f>VENTAS[[#This Row],[Cantidad]]*VENTAS[[#This Row],[Precio Venta]]</f>
        <v>10</v>
      </c>
      <c r="J1087" s="35">
        <f>IF(VENTAS[[#This Row],[Nombre del Gestor]]&gt;1,VENTAS[[#This Row],[Total]]*10%,0)</f>
        <v>1</v>
      </c>
      <c r="K1087" s="35">
        <f>IFERROR(VLOOKUP(VENTAS[[#This Row],[Código del producto Vendido]],STOCK[],16,FALSE)*VENTAS[[#This Row],[Cantidad]]+VLOOKUP(VENTAS[[#This Row],[Código del producto Vendido]],STOCK[],19,FALSE)*VENTAS[[#This Row],[Cantidad]],VENTAS[[#This Row],[Total]])</f>
        <v>6.22222222222222</v>
      </c>
      <c r="L1087" s="35">
        <f>VENTAS[[#This Row],[Total]]-VENTAS[[#This Row],[Comisión 10%]]-VENTAS[[#This Row],[Costo SIN Comision]]</f>
        <v>2.77777777777778</v>
      </c>
      <c r="M1087" s="35"/>
    </row>
    <row r="1088" ht="20" customHeight="1" spans="1:13">
      <c r="A1088" s="29">
        <v>45483</v>
      </c>
      <c r="B1088" s="30"/>
      <c r="C1088" s="30"/>
      <c r="D1088" s="30" t="s">
        <v>3507</v>
      </c>
      <c r="E1088" s="30" t="s">
        <v>2406</v>
      </c>
      <c r="F1088" s="34" t="str">
        <f>IFERROR(VLOOKUP(VENTAS[[#This Row],[Código del producto Vendido]],STOCK[],5,FALSE),"-")</f>
        <v>Pantalón de vestir de viscosa y lino (beige claro)</v>
      </c>
      <c r="G1088" s="34">
        <v>1</v>
      </c>
      <c r="H1088" s="35">
        <v>35</v>
      </c>
      <c r="I1088" s="35">
        <f>VENTAS[[#This Row],[Cantidad]]*VENTAS[[#This Row],[Precio Venta]]</f>
        <v>35</v>
      </c>
      <c r="J1088" s="35">
        <f>IF(VENTAS[[#This Row],[Nombre del Gestor]]&gt;1,VENTAS[[#This Row],[Total]]*10%,0)</f>
        <v>3.5</v>
      </c>
      <c r="K1088" s="35">
        <f>IFERROR(VLOOKUP(VENTAS[[#This Row],[Código del producto Vendido]],STOCK[],16,FALSE)*VENTAS[[#This Row],[Cantidad]]+VLOOKUP(VENTAS[[#This Row],[Código del producto Vendido]],STOCK[],19,FALSE)*VENTAS[[#This Row],[Cantidad]],VENTAS[[#This Row],[Total]])</f>
        <v>17.2520211515864</v>
      </c>
      <c r="L1088" s="35">
        <f>VENTAS[[#This Row],[Total]]-VENTAS[[#This Row],[Comisión 10%]]-VENTAS[[#This Row],[Costo SIN Comision]]</f>
        <v>14.2479788484136</v>
      </c>
      <c r="M1088" s="35"/>
    </row>
    <row r="1089" ht="20" customHeight="1" spans="1:13">
      <c r="A1089" s="29">
        <v>45482</v>
      </c>
      <c r="B1089" s="30"/>
      <c r="C1089" s="30"/>
      <c r="D1089" s="30" t="s">
        <v>3507</v>
      </c>
      <c r="E1089" s="30" t="s">
        <v>1854</v>
      </c>
      <c r="F1089" s="34" t="str">
        <f>IFERROR(VLOOKUP(VENTAS[[#This Row],[Código del producto Vendido]],STOCK[],5,FALSE),"-")</f>
        <v>Crossbody Bag Blanco Lacado</v>
      </c>
      <c r="G1089" s="34">
        <v>1</v>
      </c>
      <c r="H1089" s="35">
        <v>20</v>
      </c>
      <c r="I1089" s="35">
        <f>VENTAS[[#This Row],[Cantidad]]*VENTAS[[#This Row],[Precio Venta]]</f>
        <v>20</v>
      </c>
      <c r="J1089" s="35">
        <f>IF(VENTAS[[#This Row],[Nombre del Gestor]]&gt;1,VENTAS[[#This Row],[Total]]*10%,0)</f>
        <v>2</v>
      </c>
      <c r="K1089" s="35">
        <f>IFERROR(VLOOKUP(VENTAS[[#This Row],[Código del producto Vendido]],STOCK[],16,FALSE)*VENTAS[[#This Row],[Cantidad]]+VLOOKUP(VENTAS[[#This Row],[Código del producto Vendido]],STOCK[],19,FALSE)*VENTAS[[#This Row],[Cantidad]],VENTAS[[#This Row],[Total]])</f>
        <v>10.79</v>
      </c>
      <c r="L1089" s="35">
        <f>VENTAS[[#This Row],[Total]]-VENTAS[[#This Row],[Comisión 10%]]-VENTAS[[#This Row],[Costo SIN Comision]]</f>
        <v>7.21</v>
      </c>
      <c r="M1089" s="35"/>
    </row>
    <row r="1090" ht="20" customHeight="1" spans="1:13">
      <c r="A1090" s="29">
        <v>45481</v>
      </c>
      <c r="B1090" s="30"/>
      <c r="C1090" s="30"/>
      <c r="D1090" s="30" t="s">
        <v>3507</v>
      </c>
      <c r="E1090" s="30" t="s">
        <v>1633</v>
      </c>
      <c r="F1090" s="34" t="str">
        <f>IFERROR(VLOOKUP(VENTAS[[#This Row],[Código del producto Vendido]],STOCK[],5,FALSE),"-")</f>
        <v>Vestido Privé  </v>
      </c>
      <c r="G1090" s="34">
        <v>1</v>
      </c>
      <c r="H1090" s="35">
        <v>25</v>
      </c>
      <c r="I1090" s="35">
        <f>VENTAS[[#This Row],[Cantidad]]*VENTAS[[#This Row],[Precio Venta]]</f>
        <v>25</v>
      </c>
      <c r="J1090" s="35">
        <f>IF(VENTAS[[#This Row],[Nombre del Gestor]]&gt;1,VENTAS[[#This Row],[Total]]*10%,0)</f>
        <v>2.5</v>
      </c>
      <c r="K1090" s="35">
        <f>IFERROR(VLOOKUP(VENTAS[[#This Row],[Código del producto Vendido]],STOCK[],16,FALSE)*VENTAS[[#This Row],[Cantidad]]+VLOOKUP(VENTAS[[#This Row],[Código del producto Vendido]],STOCK[],19,FALSE)*VENTAS[[#This Row],[Cantidad]],VENTAS[[#This Row],[Total]])</f>
        <v>11.1</v>
      </c>
      <c r="L1090" s="35">
        <f>VENTAS[[#This Row],[Total]]-VENTAS[[#This Row],[Comisión 10%]]-VENTAS[[#This Row],[Costo SIN Comision]]</f>
        <v>11.4</v>
      </c>
      <c r="M1090" s="35"/>
    </row>
    <row r="1091" ht="20" customHeight="1" spans="1:13">
      <c r="A1091" s="29">
        <v>45474</v>
      </c>
      <c r="B1091" s="30"/>
      <c r="C1091" s="30"/>
      <c r="D1091" s="30" t="s">
        <v>3534</v>
      </c>
      <c r="E1091" s="30" t="s">
        <v>2365</v>
      </c>
      <c r="F1091" s="34" t="str">
        <f>IFERROR(VLOOKUP(VENTAS[[#This Row],[Código del producto Vendido]],STOCK[],5,FALSE),"-")</f>
        <v>Sombrero de protección Verano fashionista</v>
      </c>
      <c r="G1091" s="34">
        <v>1</v>
      </c>
      <c r="H1091" s="35">
        <v>15</v>
      </c>
      <c r="I1091" s="35">
        <f>VENTAS[[#This Row],[Cantidad]]*VENTAS[[#This Row],[Precio Venta]]</f>
        <v>15</v>
      </c>
      <c r="J1091" s="35">
        <f>IF(VENTAS[[#This Row],[Nombre del Gestor]]&gt;1,VENTAS[[#This Row],[Total]]*10%,0)</f>
        <v>1.5</v>
      </c>
      <c r="K1091" s="35">
        <f>IFERROR(VLOOKUP(VENTAS[[#This Row],[Código del producto Vendido]],STOCK[],16,FALSE)*VENTAS[[#This Row],[Cantidad]]+VLOOKUP(VENTAS[[#This Row],[Código del producto Vendido]],STOCK[],19,FALSE)*VENTAS[[#This Row],[Cantidad]],VENTAS[[#This Row],[Total]])</f>
        <v>8.551875</v>
      </c>
      <c r="L1091" s="35">
        <f>VENTAS[[#This Row],[Total]]-VENTAS[[#This Row],[Comisión 10%]]-VENTAS[[#This Row],[Costo SIN Comision]]</f>
        <v>4.948125</v>
      </c>
      <c r="M1091" s="35"/>
    </row>
    <row r="1092" ht="20" customHeight="1" spans="1:13">
      <c r="A1092" s="29">
        <v>45483</v>
      </c>
      <c r="B1092" s="30" t="s">
        <v>3456</v>
      </c>
      <c r="C1092" s="30" t="s">
        <v>3535</v>
      </c>
      <c r="D1092" s="30"/>
      <c r="E1092" s="30" t="s">
        <v>2177</v>
      </c>
      <c r="F1092" s="34" t="str">
        <f>IFERROR(VLOOKUP(VENTAS[[#This Row],[Código del producto Vendido]],STOCK[],5,FALSE),"-")</f>
        <v>Bikini sexy de pierna alta en tendencia</v>
      </c>
      <c r="G1092" s="34">
        <v>1</v>
      </c>
      <c r="H1092" s="35">
        <v>18</v>
      </c>
      <c r="I1092" s="35">
        <f>VENTAS[[#This Row],[Cantidad]]*VENTAS[[#This Row],[Precio Venta]]</f>
        <v>18</v>
      </c>
      <c r="J1092" s="35">
        <f>IF(VENTAS[[#This Row],[Nombre del Gestor]]&gt;1,VENTAS[[#This Row],[Total]]*10%,0)</f>
        <v>0</v>
      </c>
      <c r="K1092" s="35">
        <f>IFERROR(VLOOKUP(VENTAS[[#This Row],[Código del producto Vendido]],STOCK[],16,FALSE)*VENTAS[[#This Row],[Cantidad]]+VLOOKUP(VENTAS[[#This Row],[Código del producto Vendido]],STOCK[],19,FALSE)*VENTAS[[#This Row],[Cantidad]],VENTAS[[#This Row],[Total]])</f>
        <v>6.62</v>
      </c>
      <c r="L1092" s="35">
        <f>VENTAS[[#This Row],[Total]]-VENTAS[[#This Row],[Comisión 10%]]-VENTAS[[#This Row],[Costo SIN Comision]]</f>
        <v>11.38</v>
      </c>
      <c r="M1092" s="35"/>
    </row>
    <row r="1093" ht="20" customHeight="1" spans="1:13">
      <c r="A1093" s="29">
        <v>45489</v>
      </c>
      <c r="B1093" s="30"/>
      <c r="C1093" s="30"/>
      <c r="D1093" s="30" t="s">
        <v>3321</v>
      </c>
      <c r="E1093" s="30" t="s">
        <v>2139</v>
      </c>
      <c r="F1093" s="34" t="str">
        <f>IFERROR(VLOOKUP(VENTAS[[#This Row],[Código del producto Vendido]],STOCK[],5,FALSE),"-")</f>
        <v>Falda Bohemia de mezclilla de cintura alta con detalles de botón</v>
      </c>
      <c r="G1093" s="34">
        <v>1</v>
      </c>
      <c r="H1093" s="35">
        <v>30</v>
      </c>
      <c r="I1093" s="35">
        <f>VENTAS[[#This Row],[Cantidad]]*VENTAS[[#This Row],[Precio Venta]]</f>
        <v>30</v>
      </c>
      <c r="J1093" s="35">
        <f>IF(VENTAS[[#This Row],[Nombre del Gestor]]&gt;1,VENTAS[[#This Row],[Total]]*10%,0)</f>
        <v>3</v>
      </c>
      <c r="K1093" s="35">
        <f>IFERROR(VLOOKUP(VENTAS[[#This Row],[Código del producto Vendido]],STOCK[],16,FALSE)*VENTAS[[#This Row],[Cantidad]]+VLOOKUP(VENTAS[[#This Row],[Código del producto Vendido]],STOCK[],19,FALSE)*VENTAS[[#This Row],[Cantidad]],VENTAS[[#This Row],[Total]])</f>
        <v>7.05</v>
      </c>
      <c r="L1093" s="35">
        <f>VENTAS[[#This Row],[Total]]-VENTAS[[#This Row],[Comisión 10%]]-VENTAS[[#This Row],[Costo SIN Comision]]</f>
        <v>19.95</v>
      </c>
      <c r="M1093" s="35"/>
    </row>
    <row r="1094" ht="20" customHeight="1" spans="1:13">
      <c r="A1094" s="29">
        <v>45488</v>
      </c>
      <c r="B1094" s="30"/>
      <c r="C1094" s="30"/>
      <c r="D1094" s="30" t="s">
        <v>3507</v>
      </c>
      <c r="E1094" s="30" t="s">
        <v>1925</v>
      </c>
      <c r="F1094" s="34" t="str">
        <f>IFERROR(VLOOKUP(VENTAS[[#This Row],[Código del producto Vendido]],STOCK[],5,FALSE),"-")</f>
        <v>Sujetador Invisible Suave sin tirantes</v>
      </c>
      <c r="G1094" s="34">
        <v>1</v>
      </c>
      <c r="H1094" s="35">
        <v>12</v>
      </c>
      <c r="I1094" s="35">
        <f>VENTAS[[#This Row],[Cantidad]]*VENTAS[[#This Row],[Precio Venta]]</f>
        <v>12</v>
      </c>
      <c r="J1094" s="35">
        <f>IF(VENTAS[[#This Row],[Nombre del Gestor]]&gt;1,VENTAS[[#This Row],[Total]]*10%,0)</f>
        <v>1.2</v>
      </c>
      <c r="K1094" s="35">
        <f>IFERROR(VLOOKUP(VENTAS[[#This Row],[Código del producto Vendido]],STOCK[],16,FALSE)*VENTAS[[#This Row],[Cantidad]]+VLOOKUP(VENTAS[[#This Row],[Código del producto Vendido]],STOCK[],19,FALSE)*VENTAS[[#This Row],[Cantidad]],VENTAS[[#This Row],[Total]])</f>
        <v>4.97</v>
      </c>
      <c r="L1094" s="35">
        <f>VENTAS[[#This Row],[Total]]-VENTAS[[#This Row],[Comisión 10%]]-VENTAS[[#This Row],[Costo SIN Comision]]</f>
        <v>5.83</v>
      </c>
      <c r="M1094" s="35"/>
    </row>
    <row r="1095" ht="20" customHeight="1" spans="1:13">
      <c r="A1095" s="29">
        <v>45489</v>
      </c>
      <c r="B1095" s="30"/>
      <c r="C1095" s="30"/>
      <c r="D1095" s="30" t="s">
        <v>3509</v>
      </c>
      <c r="E1095" s="30" t="s">
        <v>2399</v>
      </c>
      <c r="F1095" s="34" t="str">
        <f>IFERROR(VLOOKUP(VENTAS[[#This Row],[Código del producto Vendido]],STOCK[],5,FALSE),"-")</f>
        <v>Sandalias de tiras con tacón cuadrado</v>
      </c>
      <c r="G1095" s="34">
        <v>1</v>
      </c>
      <c r="H1095" s="35">
        <v>35</v>
      </c>
      <c r="I1095" s="35">
        <f>VENTAS[[#This Row],[Cantidad]]*VENTAS[[#This Row],[Precio Venta]]</f>
        <v>35</v>
      </c>
      <c r="J1095" s="35">
        <f>IF(VENTAS[[#This Row],[Nombre del Gestor]]&gt;1,VENTAS[[#This Row],[Total]]*10%,0)</f>
        <v>3.5</v>
      </c>
      <c r="K1095" s="35">
        <f>IFERROR(VLOOKUP(VENTAS[[#This Row],[Código del producto Vendido]],STOCK[],16,FALSE)*VENTAS[[#This Row],[Cantidad]]+VLOOKUP(VENTAS[[#This Row],[Código del producto Vendido]],STOCK[],19,FALSE)*VENTAS[[#This Row],[Cantidad]],VENTAS[[#This Row],[Total]])</f>
        <v>17.2520211515864</v>
      </c>
      <c r="L1095" s="35">
        <f>VENTAS[[#This Row],[Total]]-VENTAS[[#This Row],[Comisión 10%]]-VENTAS[[#This Row],[Costo SIN Comision]]</f>
        <v>14.2479788484136</v>
      </c>
      <c r="M1095" s="35"/>
    </row>
    <row r="1096" ht="20" customHeight="1" spans="1:13">
      <c r="A1096" s="29" t="s">
        <v>3462</v>
      </c>
      <c r="B1096" s="30" t="s">
        <v>3456</v>
      </c>
      <c r="C1096" s="30"/>
      <c r="D1096" s="30"/>
      <c r="E1096" s="30" t="s">
        <v>917</v>
      </c>
      <c r="F1096" s="34" t="str">
        <f>IFERROR(VLOOKUP(VENTAS[[#This Row],[Código del producto Vendido]],STOCK[],5,FALSE),"-")</f>
        <v>Vestido de lunares </v>
      </c>
      <c r="G1096" s="34">
        <v>1</v>
      </c>
      <c r="H1096" s="35">
        <v>25</v>
      </c>
      <c r="I1096" s="35">
        <f>VENTAS[[#This Row],[Cantidad]]*VENTAS[[#This Row],[Precio Venta]]</f>
        <v>25</v>
      </c>
      <c r="J1096" s="35">
        <f>IF(VENTAS[[#This Row],[Nombre del Gestor]]&gt;1,VENTAS[[#This Row],[Total]]*10%,0)</f>
        <v>0</v>
      </c>
      <c r="K1096" s="35">
        <f>IFERROR(VLOOKUP(VENTAS[[#This Row],[Código del producto Vendido]],STOCK[],16,FALSE)*VENTAS[[#This Row],[Cantidad]]+VLOOKUP(VENTAS[[#This Row],[Código del producto Vendido]],STOCK[],19,FALSE)*VENTAS[[#This Row],[Cantidad]],VENTAS[[#This Row],[Total]])</f>
        <v>13.9113636363636</v>
      </c>
      <c r="L1096" s="35">
        <f>VENTAS[[#This Row],[Total]]-VENTAS[[#This Row],[Comisión 10%]]-VENTAS[[#This Row],[Costo SIN Comision]]</f>
        <v>11.0886363636364</v>
      </c>
      <c r="M1096" s="35"/>
    </row>
    <row r="1097" ht="20" customHeight="1" spans="1:13">
      <c r="A1097" s="29" t="s">
        <v>3462</v>
      </c>
      <c r="B1097" s="30" t="s">
        <v>3456</v>
      </c>
      <c r="C1097" s="30"/>
      <c r="D1097" s="30"/>
      <c r="E1097" s="30" t="s">
        <v>920</v>
      </c>
      <c r="F1097" s="34" t="str">
        <f>IFERROR(VLOOKUP(VENTAS[[#This Row],[Código del producto Vendido]],STOCK[],5,FALSE),"-")</f>
        <v>Vestido de lunares</v>
      </c>
      <c r="G1097" s="34">
        <v>1</v>
      </c>
      <c r="H1097" s="35">
        <v>25</v>
      </c>
      <c r="I1097" s="35">
        <f>VENTAS[[#This Row],[Cantidad]]*VENTAS[[#This Row],[Precio Venta]]</f>
        <v>25</v>
      </c>
      <c r="J1097" s="35">
        <f>IF(VENTAS[[#This Row],[Nombre del Gestor]]&gt;1,VENTAS[[#This Row],[Total]]*10%,0)</f>
        <v>0</v>
      </c>
      <c r="K1097" s="35">
        <f>IFERROR(VLOOKUP(VENTAS[[#This Row],[Código del producto Vendido]],STOCK[],16,FALSE)*VENTAS[[#This Row],[Cantidad]]+VLOOKUP(VENTAS[[#This Row],[Código del producto Vendido]],STOCK[],19,FALSE)*VENTAS[[#This Row],[Cantidad]],VENTAS[[#This Row],[Total]])</f>
        <v>13.9113636363636</v>
      </c>
      <c r="L1097" s="35">
        <f>VENTAS[[#This Row],[Total]]-VENTAS[[#This Row],[Comisión 10%]]-VENTAS[[#This Row],[Costo SIN Comision]]</f>
        <v>11.0886363636364</v>
      </c>
      <c r="M1097" s="35"/>
    </row>
    <row r="1098" ht="20" customHeight="1" spans="1:13">
      <c r="A1098" s="29">
        <v>45489</v>
      </c>
      <c r="B1098" s="30"/>
      <c r="C1098" s="30"/>
      <c r="D1098" s="30" t="s">
        <v>3478</v>
      </c>
      <c r="E1098" s="30" t="s">
        <v>2297</v>
      </c>
      <c r="F1098" s="34" t="str">
        <f>IFERROR(VLOOKUP(VENTAS[[#This Row],[Código del producto Vendido]],STOCK[],5,FALSE),"-")</f>
        <v>Vestido estampado con abertura y ajuste en cintura</v>
      </c>
      <c r="G1098" s="34">
        <v>1</v>
      </c>
      <c r="H1098" s="35">
        <v>30</v>
      </c>
      <c r="I1098" s="35">
        <f>VENTAS[[#This Row],[Cantidad]]*VENTAS[[#This Row],[Precio Venta]]</f>
        <v>30</v>
      </c>
      <c r="J1098" s="35">
        <f>IF(VENTAS[[#This Row],[Nombre del Gestor]]&gt;1,VENTAS[[#This Row],[Total]]*10%,0)</f>
        <v>3</v>
      </c>
      <c r="K1098" s="35">
        <f>IFERROR(VLOOKUP(VENTAS[[#This Row],[Código del producto Vendido]],STOCK[],16,FALSE)*VENTAS[[#This Row],[Cantidad]]+VLOOKUP(VENTAS[[#This Row],[Código del producto Vendido]],STOCK[],19,FALSE)*VENTAS[[#This Row],[Cantidad]],VENTAS[[#This Row],[Total]])</f>
        <v>17.59</v>
      </c>
      <c r="L1098" s="35">
        <f>VENTAS[[#This Row],[Total]]-VENTAS[[#This Row],[Comisión 10%]]-VENTAS[[#This Row],[Costo SIN Comision]]</f>
        <v>9.41</v>
      </c>
      <c r="M1098" s="35"/>
    </row>
    <row r="1099" ht="20" customHeight="1" spans="1:13">
      <c r="A1099" s="29">
        <v>45475</v>
      </c>
      <c r="B1099" s="30"/>
      <c r="C1099" s="30"/>
      <c r="D1099" s="30" t="s">
        <v>3478</v>
      </c>
      <c r="E1099" s="30" t="s">
        <v>2321</v>
      </c>
      <c r="F1099" s="34" t="str">
        <f>IFERROR(VLOOKUP(VENTAS[[#This Row],[Código del producto Vendido]],STOCK[],5,FALSE),"-")</f>
        <v>Pantalón palazzo estiloso</v>
      </c>
      <c r="G1099" s="34">
        <v>1</v>
      </c>
      <c r="H1099" s="35">
        <v>20</v>
      </c>
      <c r="I1099" s="35">
        <f>VENTAS[[#This Row],[Cantidad]]*VENTAS[[#This Row],[Precio Venta]]</f>
        <v>20</v>
      </c>
      <c r="J1099" s="35">
        <f>IF(VENTAS[[#This Row],[Nombre del Gestor]]&gt;1,VENTAS[[#This Row],[Total]]*10%,0)</f>
        <v>2</v>
      </c>
      <c r="K1099" s="35">
        <f>IFERROR(VLOOKUP(VENTAS[[#This Row],[Código del producto Vendido]],STOCK[],16,FALSE)*VENTAS[[#This Row],[Cantidad]]+VLOOKUP(VENTAS[[#This Row],[Código del producto Vendido]],STOCK[],19,FALSE)*VENTAS[[#This Row],[Cantidad]],VENTAS[[#This Row],[Total]])</f>
        <v>10.914375</v>
      </c>
      <c r="L1099" s="35">
        <f>VENTAS[[#This Row],[Total]]-VENTAS[[#This Row],[Comisión 10%]]-VENTAS[[#This Row],[Costo SIN Comision]]</f>
        <v>7.085625</v>
      </c>
      <c r="M1099" s="35"/>
    </row>
    <row r="1100" ht="20" customHeight="1" spans="1:13">
      <c r="A1100" s="29">
        <v>45475</v>
      </c>
      <c r="B1100" s="30"/>
      <c r="C1100" s="30"/>
      <c r="D1100" s="30" t="s">
        <v>3478</v>
      </c>
      <c r="E1100" s="30" t="s">
        <v>1272</v>
      </c>
      <c r="F1100" s="34" t="str">
        <f>IFERROR(VLOOKUP(VENTAS[[#This Row],[Código del producto Vendido]],STOCK[],5,FALSE),"-")</f>
        <v>Top de cuello V con encaje</v>
      </c>
      <c r="G1100" s="34">
        <v>1</v>
      </c>
      <c r="H1100" s="35">
        <v>12</v>
      </c>
      <c r="I1100" s="35">
        <f>VENTAS[[#This Row],[Cantidad]]*VENTAS[[#This Row],[Precio Venta]]</f>
        <v>12</v>
      </c>
      <c r="J1100" s="35">
        <f>IF(VENTAS[[#This Row],[Nombre del Gestor]]&gt;1,VENTAS[[#This Row],[Total]]*10%,0)</f>
        <v>1.2</v>
      </c>
      <c r="K1100" s="35">
        <f>IFERROR(VLOOKUP(VENTAS[[#This Row],[Código del producto Vendido]],STOCK[],16,FALSE)*VENTAS[[#This Row],[Cantidad]]+VLOOKUP(VENTAS[[#This Row],[Código del producto Vendido]],STOCK[],19,FALSE)*VENTAS[[#This Row],[Cantidad]],VENTAS[[#This Row],[Total]])</f>
        <v>7.97</v>
      </c>
      <c r="L1100" s="35">
        <f>VENTAS[[#This Row],[Total]]-VENTAS[[#This Row],[Comisión 10%]]-VENTAS[[#This Row],[Costo SIN Comision]]</f>
        <v>2.83</v>
      </c>
      <c r="M1100" s="35"/>
    </row>
    <row r="1101" ht="20" customHeight="1" spans="1:13">
      <c r="A1101" s="29"/>
      <c r="B1101" s="30" t="s">
        <v>3456</v>
      </c>
      <c r="C1101" s="30" t="s">
        <v>3535</v>
      </c>
      <c r="D1101" s="30"/>
      <c r="E1101" s="30" t="s">
        <v>1716</v>
      </c>
      <c r="F1101" s="34" t="str">
        <f>IFERROR(VLOOKUP(VENTAS[[#This Row],[Código del producto Vendido]],STOCK[],5,FALSE),"-")</f>
        <v>Vestido ajustado de puntos </v>
      </c>
      <c r="G1101" s="34">
        <v>1</v>
      </c>
      <c r="H1101" s="35">
        <v>28</v>
      </c>
      <c r="I1101" s="35">
        <f>VENTAS[[#This Row],[Cantidad]]*VENTAS[[#This Row],[Precio Venta]]</f>
        <v>28</v>
      </c>
      <c r="J1101" s="35">
        <f>IF(VENTAS[[#This Row],[Nombre del Gestor]]&gt;1,VENTAS[[#This Row],[Total]]*10%,0)</f>
        <v>0</v>
      </c>
      <c r="K1101" s="35">
        <f>IFERROR(VLOOKUP(VENTAS[[#This Row],[Código del producto Vendido]],STOCK[],16,FALSE)*VENTAS[[#This Row],[Cantidad]]+VLOOKUP(VENTAS[[#This Row],[Código del producto Vendido]],STOCK[],19,FALSE)*VENTAS[[#This Row],[Cantidad]],VENTAS[[#This Row],[Total]])</f>
        <v>18</v>
      </c>
      <c r="L1101" s="35">
        <f>VENTAS[[#This Row],[Total]]-VENTAS[[#This Row],[Comisión 10%]]-VENTAS[[#This Row],[Costo SIN Comision]]</f>
        <v>10</v>
      </c>
      <c r="M1101" s="35"/>
    </row>
    <row r="1102" ht="20" customHeight="1" spans="1:13">
      <c r="A1102" s="29"/>
      <c r="B1102" s="30" t="s">
        <v>3456</v>
      </c>
      <c r="C1102" s="30" t="s">
        <v>3535</v>
      </c>
      <c r="D1102" s="30"/>
      <c r="E1102" s="30" t="s">
        <v>1780</v>
      </c>
      <c r="F1102" s="34" t="str">
        <f>IFERROR(VLOOKUP(VENTAS[[#This Row],[Código del producto Vendido]],STOCK[],5,FALSE),"-")</f>
        <v>Cinturón de hebilla redonda</v>
      </c>
      <c r="G1102" s="34">
        <v>1</v>
      </c>
      <c r="H1102" s="35">
        <v>10</v>
      </c>
      <c r="I1102" s="35">
        <f>VENTAS[[#This Row],[Cantidad]]*VENTAS[[#This Row],[Precio Venta]]</f>
        <v>10</v>
      </c>
      <c r="J1102" s="35">
        <f>IF(VENTAS[[#This Row],[Nombre del Gestor]]&gt;1,VENTAS[[#This Row],[Total]]*10%,0)</f>
        <v>0</v>
      </c>
      <c r="K1102" s="35">
        <f>IFERROR(VLOOKUP(VENTAS[[#This Row],[Código del producto Vendido]],STOCK[],16,FALSE)*VENTAS[[#This Row],[Cantidad]]+VLOOKUP(VENTAS[[#This Row],[Código del producto Vendido]],STOCK[],19,FALSE)*VENTAS[[#This Row],[Cantidad]],VENTAS[[#This Row],[Total]])</f>
        <v>3.82352941176471</v>
      </c>
      <c r="L1102" s="35">
        <f>VENTAS[[#This Row],[Total]]-VENTAS[[#This Row],[Comisión 10%]]-VENTAS[[#This Row],[Costo SIN Comision]]</f>
        <v>6.17647058823529</v>
      </c>
      <c r="M1102" s="35"/>
    </row>
    <row r="1103" ht="20" customHeight="1" spans="1:13">
      <c r="A1103" s="29"/>
      <c r="B1103" s="30" t="s">
        <v>3456</v>
      </c>
      <c r="C1103" s="30" t="s">
        <v>3535</v>
      </c>
      <c r="D1103" s="30"/>
      <c r="E1103" s="30" t="s">
        <v>2365</v>
      </c>
      <c r="F1103" s="34" t="str">
        <f>IFERROR(VLOOKUP(VENTAS[[#This Row],[Código del producto Vendido]],STOCK[],5,FALSE),"-")</f>
        <v>Sombrero de protección Verano fashionista</v>
      </c>
      <c r="G1103" s="34">
        <v>1</v>
      </c>
      <c r="H1103" s="35">
        <v>15</v>
      </c>
      <c r="I1103" s="35">
        <f>VENTAS[[#This Row],[Cantidad]]*VENTAS[[#This Row],[Precio Venta]]</f>
        <v>15</v>
      </c>
      <c r="J1103" s="35">
        <f>IF(VENTAS[[#This Row],[Nombre del Gestor]]&gt;1,VENTAS[[#This Row],[Total]]*10%,0)</f>
        <v>0</v>
      </c>
      <c r="K1103" s="35">
        <f>IFERROR(VLOOKUP(VENTAS[[#This Row],[Código del producto Vendido]],STOCK[],16,FALSE)*VENTAS[[#This Row],[Cantidad]]+VLOOKUP(VENTAS[[#This Row],[Código del producto Vendido]],STOCK[],19,FALSE)*VENTAS[[#This Row],[Cantidad]],VENTAS[[#This Row],[Total]])</f>
        <v>8.551875</v>
      </c>
      <c r="L1103" s="35">
        <f>VENTAS[[#This Row],[Total]]-VENTAS[[#This Row],[Comisión 10%]]-VENTAS[[#This Row],[Costo SIN Comision]]</f>
        <v>6.448125</v>
      </c>
      <c r="M1103" s="35"/>
    </row>
    <row r="1104" ht="20" customHeight="1" spans="1:13">
      <c r="A1104" s="29">
        <v>45475</v>
      </c>
      <c r="B1104" s="30"/>
      <c r="C1104" s="30"/>
      <c r="D1104" s="30" t="s">
        <v>3478</v>
      </c>
      <c r="E1104" s="30" t="s">
        <v>2282</v>
      </c>
      <c r="F1104" s="34" t="str">
        <f>IFERROR(VLOOKUP(VENTAS[[#This Row],[Código del producto Vendido]],STOCK[],5,FALSE),"-")</f>
        <v>Bolso de lienzo estampado de corazón</v>
      </c>
      <c r="G1104" s="34">
        <v>1</v>
      </c>
      <c r="H1104" s="35">
        <v>12</v>
      </c>
      <c r="I1104" s="35">
        <f>VENTAS[[#This Row],[Cantidad]]*VENTAS[[#This Row],[Precio Venta]]</f>
        <v>12</v>
      </c>
      <c r="J1104" s="35">
        <f>IF(VENTAS[[#This Row],[Nombre del Gestor]]&gt;1,VENTAS[[#This Row],[Total]]*10%,0)</f>
        <v>1.2</v>
      </c>
      <c r="K1104" s="35">
        <f>IFERROR(VLOOKUP(VENTAS[[#This Row],[Código del producto Vendido]],STOCK[],16,FALSE)*VENTAS[[#This Row],[Cantidad]]+VLOOKUP(VENTAS[[#This Row],[Código del producto Vendido]],STOCK[],19,FALSE)*VENTAS[[#This Row],[Cantidad]],VENTAS[[#This Row],[Total]])</f>
        <v>4.23</v>
      </c>
      <c r="L1104" s="35">
        <f>VENTAS[[#This Row],[Total]]-VENTAS[[#This Row],[Comisión 10%]]-VENTAS[[#This Row],[Costo SIN Comision]]</f>
        <v>6.57</v>
      </c>
      <c r="M1104" s="35"/>
    </row>
    <row r="1105" ht="20" customHeight="1" spans="1:13">
      <c r="A1105" s="29">
        <v>45489</v>
      </c>
      <c r="B1105" s="30"/>
      <c r="C1105" s="30"/>
      <c r="D1105" s="30" t="s">
        <v>3509</v>
      </c>
      <c r="E1105" s="30" t="s">
        <v>2222</v>
      </c>
      <c r="F1105" s="34" t="str">
        <f>IFERROR(VLOOKUP(VENTAS[[#This Row],[Código del producto Vendido]],STOCK[],5,FALSE),"-")</f>
        <v>Vestido sexy cruzado de escote profundo</v>
      </c>
      <c r="G1105" s="34">
        <v>1</v>
      </c>
      <c r="H1105" s="35">
        <v>20</v>
      </c>
      <c r="I1105" s="35">
        <f>VENTAS[[#This Row],[Cantidad]]*VENTAS[[#This Row],[Precio Venta]]</f>
        <v>20</v>
      </c>
      <c r="J1105" s="35">
        <f>IF(VENTAS[[#This Row],[Nombre del Gestor]]&gt;1,VENTAS[[#This Row],[Total]]*10%,0)</f>
        <v>2</v>
      </c>
      <c r="K1105" s="35">
        <f>IFERROR(VLOOKUP(VENTAS[[#This Row],[Código del producto Vendido]],STOCK[],16,FALSE)*VENTAS[[#This Row],[Cantidad]]+VLOOKUP(VENTAS[[#This Row],[Código del producto Vendido]],STOCK[],19,FALSE)*VENTAS[[#This Row],[Cantidad]],VENTAS[[#This Row],[Total]])</f>
        <v>8.59</v>
      </c>
      <c r="L1105" s="35">
        <f>VENTAS[[#This Row],[Total]]-VENTAS[[#This Row],[Comisión 10%]]-VENTAS[[#This Row],[Costo SIN Comision]]</f>
        <v>9.41</v>
      </c>
      <c r="M1105" s="35"/>
    </row>
    <row r="1106" ht="20" customHeight="1" spans="1:13">
      <c r="A1106" s="29">
        <v>45489</v>
      </c>
      <c r="B1106" s="30"/>
      <c r="C1106" s="30"/>
      <c r="D1106" s="30" t="s">
        <v>3509</v>
      </c>
      <c r="E1106" s="30" t="s">
        <v>1709</v>
      </c>
      <c r="F1106" s="34" t="str">
        <f>IFERROR(VLOOKUP(VENTAS[[#This Row],[Código del producto Vendido]],STOCK[],5,FALSE),"-")</f>
        <v>Vestido Asimétrico con cuerdas</v>
      </c>
      <c r="G1106" s="34">
        <v>1</v>
      </c>
      <c r="H1106" s="35">
        <v>20</v>
      </c>
      <c r="I1106" s="35">
        <f>VENTAS[[#This Row],[Cantidad]]*VENTAS[[#This Row],[Precio Venta]]</f>
        <v>20</v>
      </c>
      <c r="J1106" s="35">
        <f>IF(VENTAS[[#This Row],[Nombre del Gestor]]&gt;1,VENTAS[[#This Row],[Total]]*10%,0)</f>
        <v>2</v>
      </c>
      <c r="K1106" s="35">
        <f>IFERROR(VLOOKUP(VENTAS[[#This Row],[Código del producto Vendido]],STOCK[],16,FALSE)*VENTAS[[#This Row],[Cantidad]]+VLOOKUP(VENTAS[[#This Row],[Código del producto Vendido]],STOCK[],19,FALSE)*VENTAS[[#This Row],[Cantidad]],VENTAS[[#This Row],[Total]])</f>
        <v>12</v>
      </c>
      <c r="L1106" s="35">
        <f>VENTAS[[#This Row],[Total]]-VENTAS[[#This Row],[Comisión 10%]]-VENTAS[[#This Row],[Costo SIN Comision]]</f>
        <v>6</v>
      </c>
      <c r="M1106" s="35"/>
    </row>
    <row r="1107" ht="20" customHeight="1" spans="1:13">
      <c r="A1107" s="29">
        <v>45489</v>
      </c>
      <c r="B1107" s="30"/>
      <c r="C1107" s="30" t="s">
        <v>3535</v>
      </c>
      <c r="D1107" s="30"/>
      <c r="E1107" s="30" t="s">
        <v>2422</v>
      </c>
      <c r="F1107" s="34" t="str">
        <f>IFERROR(VLOOKUP(VENTAS[[#This Row],[Código del producto Vendido]],STOCK[],5,FALSE),"-")</f>
        <v>Pantalón ancho con cordón ajustable</v>
      </c>
      <c r="G1107" s="34">
        <v>1</v>
      </c>
      <c r="H1107" s="35">
        <v>23</v>
      </c>
      <c r="I1107" s="35">
        <f>VENTAS[[#This Row],[Cantidad]]*VENTAS[[#This Row],[Precio Venta]]</f>
        <v>23</v>
      </c>
      <c r="J1107" s="35">
        <f>IF(VENTAS[[#This Row],[Nombre del Gestor]]&gt;1,VENTAS[[#This Row],[Total]]*10%,0)</f>
        <v>0</v>
      </c>
      <c r="K1107" s="35">
        <f>IFERROR(VLOOKUP(VENTAS[[#This Row],[Código del producto Vendido]],STOCK[],16,FALSE)*VENTAS[[#This Row],[Cantidad]]+VLOOKUP(VENTAS[[#This Row],[Código del producto Vendido]],STOCK[],19,FALSE)*VENTAS[[#This Row],[Cantidad]],VENTAS[[#This Row],[Total]])</f>
        <v>11.4353349001175</v>
      </c>
      <c r="L1107" s="35">
        <f>VENTAS[[#This Row],[Total]]-VENTAS[[#This Row],[Comisión 10%]]-VENTAS[[#This Row],[Costo SIN Comision]]</f>
        <v>11.5646650998825</v>
      </c>
      <c r="M1107" s="35"/>
    </row>
    <row r="1108" ht="20" customHeight="1" spans="1:13">
      <c r="A1108" s="29" t="s">
        <v>3462</v>
      </c>
      <c r="B1108" s="30"/>
      <c r="C1108" s="30"/>
      <c r="D1108" s="30"/>
      <c r="E1108" s="30" t="s">
        <v>2102</v>
      </c>
      <c r="F1108" s="34" t="str">
        <f>IFERROR(VLOOKUP(VENTAS[[#This Row],[Código del producto Vendido]],STOCK[],5,FALSE),"-")</f>
        <v>Sandalias de velcro</v>
      </c>
      <c r="G1108" s="34">
        <v>1</v>
      </c>
      <c r="H1108" s="35">
        <v>27</v>
      </c>
      <c r="I1108" s="35">
        <f>VENTAS[[#This Row],[Cantidad]]*VENTAS[[#This Row],[Precio Venta]]</f>
        <v>27</v>
      </c>
      <c r="J1108" s="35">
        <f>IF(VENTAS[[#This Row],[Nombre del Gestor]]&gt;1,VENTAS[[#This Row],[Total]]*10%,0)</f>
        <v>0</v>
      </c>
      <c r="K1108" s="35">
        <f>IFERROR(VLOOKUP(VENTAS[[#This Row],[Código del producto Vendido]],STOCK[],16,FALSE)*VENTAS[[#This Row],[Cantidad]]+VLOOKUP(VENTAS[[#This Row],[Código del producto Vendido]],STOCK[],19,FALSE)*VENTAS[[#This Row],[Cantidad]],VENTAS[[#This Row],[Total]])</f>
        <v>17</v>
      </c>
      <c r="L1108" s="35">
        <f>VENTAS[[#This Row],[Total]]-VENTAS[[#This Row],[Comisión 10%]]-VENTAS[[#This Row],[Costo SIN Comision]]</f>
        <v>10</v>
      </c>
      <c r="M1108" s="35"/>
    </row>
    <row r="1109" ht="20" customHeight="1" spans="1:13">
      <c r="A1109" s="29"/>
      <c r="B1109" s="30"/>
      <c r="C1109" s="30"/>
      <c r="D1109" s="30" t="s">
        <v>3509</v>
      </c>
      <c r="E1109" s="30" t="s">
        <v>1929</v>
      </c>
      <c r="F1109" s="34" t="str">
        <f>IFERROR(VLOOKUP(VENTAS[[#This Row],[Código del producto Vendido]],STOCK[],5,FALSE),"-")</f>
        <v>Sujetador Invisible Suave sin tirantes</v>
      </c>
      <c r="G1109" s="34">
        <v>1</v>
      </c>
      <c r="H1109" s="35">
        <v>12</v>
      </c>
      <c r="I1109" s="35">
        <f>VENTAS[[#This Row],[Cantidad]]*VENTAS[[#This Row],[Precio Venta]]</f>
        <v>12</v>
      </c>
      <c r="J1109" s="35">
        <f>IF(VENTAS[[#This Row],[Nombre del Gestor]]&gt;1,VENTAS[[#This Row],[Total]]*10%,0)</f>
        <v>1.2</v>
      </c>
      <c r="K1109" s="35">
        <f>IFERROR(VLOOKUP(VENTAS[[#This Row],[Código del producto Vendido]],STOCK[],16,FALSE)*VENTAS[[#This Row],[Cantidad]]+VLOOKUP(VENTAS[[#This Row],[Código del producto Vendido]],STOCK[],19,FALSE)*VENTAS[[#This Row],[Cantidad]],VENTAS[[#This Row],[Total]])</f>
        <v>4.97</v>
      </c>
      <c r="L1109" s="35">
        <f>VENTAS[[#This Row],[Total]]-VENTAS[[#This Row],[Comisión 10%]]-VENTAS[[#This Row],[Costo SIN Comision]]</f>
        <v>5.83</v>
      </c>
      <c r="M1109" s="35"/>
    </row>
    <row r="1110" ht="20" customHeight="1" spans="1:13">
      <c r="A1110" s="29">
        <v>45480</v>
      </c>
      <c r="B1110" s="30"/>
      <c r="C1110" s="30"/>
      <c r="D1110" s="30" t="s">
        <v>3523</v>
      </c>
      <c r="E1110" s="30" t="s">
        <v>1836</v>
      </c>
      <c r="F1110" s="34" t="str">
        <f>IFERROR(VLOOKUP(VENTAS[[#This Row],[Código del producto Vendido]],STOCK[],5,FALSE),"-")</f>
        <v>Maxi Vestido Bodycon </v>
      </c>
      <c r="G1110" s="34">
        <v>1</v>
      </c>
      <c r="H1110" s="35">
        <v>20</v>
      </c>
      <c r="I1110" s="35">
        <f>VENTAS[[#This Row],[Cantidad]]*VENTAS[[#This Row],[Precio Venta]]</f>
        <v>20</v>
      </c>
      <c r="J1110" s="35">
        <f>IF(VENTAS[[#This Row],[Nombre del Gestor]]&gt;1,VENTAS[[#This Row],[Total]]*10%,0)</f>
        <v>2</v>
      </c>
      <c r="K1110" s="35">
        <f>IFERROR(VLOOKUP(VENTAS[[#This Row],[Código del producto Vendido]],STOCK[],16,FALSE)*VENTAS[[#This Row],[Cantidad]]+VLOOKUP(VENTAS[[#This Row],[Código del producto Vendido]],STOCK[],19,FALSE)*VENTAS[[#This Row],[Cantidad]],VENTAS[[#This Row],[Total]])</f>
        <v>11.79</v>
      </c>
      <c r="L1110" s="35">
        <f>VENTAS[[#This Row],[Total]]-VENTAS[[#This Row],[Comisión 10%]]-VENTAS[[#This Row],[Costo SIN Comision]]</f>
        <v>6.21</v>
      </c>
      <c r="M1110" s="35"/>
    </row>
    <row r="1111" ht="20" customHeight="1" spans="1:13">
      <c r="A1111" s="29">
        <v>45490</v>
      </c>
      <c r="B1111" s="30"/>
      <c r="C1111" s="30"/>
      <c r="D1111" s="30" t="s">
        <v>3509</v>
      </c>
      <c r="E1111" s="30" t="s">
        <v>2385</v>
      </c>
      <c r="F1111" s="34" t="str">
        <f>IFERROR(VLOOKUP(VENTAS[[#This Row],[Código del producto Vendido]],STOCK[],5,FALSE),"-")</f>
        <v>Sandalias cruzadas de plataforma F21</v>
      </c>
      <c r="G1111" s="34">
        <v>1</v>
      </c>
      <c r="H1111" s="35">
        <v>30</v>
      </c>
      <c r="I1111" s="35">
        <f>VENTAS[[#This Row],[Cantidad]]*VENTAS[[#This Row],[Precio Venta]]</f>
        <v>30</v>
      </c>
      <c r="J1111" s="35">
        <f>IF(VENTAS[[#This Row],[Nombre del Gestor]]&gt;1,VENTAS[[#This Row],[Total]]*10%,0)</f>
        <v>3</v>
      </c>
      <c r="K1111" s="35">
        <f>IFERROR(VLOOKUP(VENTAS[[#This Row],[Código del producto Vendido]],STOCK[],16,FALSE)*VENTAS[[#This Row],[Cantidad]]+VLOOKUP(VENTAS[[#This Row],[Código del producto Vendido]],STOCK[],19,FALSE)*VENTAS[[#This Row],[Cantidad]],VENTAS[[#This Row],[Total]])</f>
        <v>12.5</v>
      </c>
      <c r="L1111" s="35">
        <f>VENTAS[[#This Row],[Total]]-VENTAS[[#This Row],[Comisión 10%]]-VENTAS[[#This Row],[Costo SIN Comision]]</f>
        <v>14.5</v>
      </c>
      <c r="M1111" s="35"/>
    </row>
    <row r="1112" ht="20" customHeight="1" spans="1:13">
      <c r="A1112" s="29">
        <v>45483</v>
      </c>
      <c r="B1112" s="30"/>
      <c r="C1112" s="30" t="s">
        <v>3536</v>
      </c>
      <c r="D1112" s="30" t="s">
        <v>3537</v>
      </c>
      <c r="E1112" s="30" t="s">
        <v>1235</v>
      </c>
      <c r="F1112" s="34" t="str">
        <f>IFERROR(VLOOKUP(VENTAS[[#This Row],[Código del producto Vendido]],STOCK[],5,FALSE),"-")</f>
        <v>Cinturón de hebilla dorada</v>
      </c>
      <c r="G1112" s="34">
        <v>1</v>
      </c>
      <c r="H1112" s="35">
        <v>10</v>
      </c>
      <c r="I1112" s="35">
        <f>VENTAS[[#This Row],[Cantidad]]*VENTAS[[#This Row],[Precio Venta]]</f>
        <v>10</v>
      </c>
      <c r="J1112" s="35">
        <f>IF(VENTAS[[#This Row],[Nombre del Gestor]]&gt;1,VENTAS[[#This Row],[Total]]*10%,0)</f>
        <v>1</v>
      </c>
      <c r="K1112" s="35">
        <f>IFERROR(VLOOKUP(VENTAS[[#This Row],[Código del producto Vendido]],STOCK[],16,FALSE)*VENTAS[[#This Row],[Cantidad]]+VLOOKUP(VENTAS[[#This Row],[Código del producto Vendido]],STOCK[],19,FALSE)*VENTAS[[#This Row],[Cantidad]],VENTAS[[#This Row],[Total]])</f>
        <v>5.17</v>
      </c>
      <c r="L1112" s="35">
        <f>VENTAS[[#This Row],[Total]]-VENTAS[[#This Row],[Comisión 10%]]-VENTAS[[#This Row],[Costo SIN Comision]]</f>
        <v>3.83</v>
      </c>
      <c r="M1112" s="35"/>
    </row>
    <row r="1113" ht="20" customHeight="1" spans="1:13">
      <c r="A1113" s="29">
        <v>45483</v>
      </c>
      <c r="B1113" s="30"/>
      <c r="C1113" s="30" t="s">
        <v>3536</v>
      </c>
      <c r="D1113" s="30" t="s">
        <v>3537</v>
      </c>
      <c r="E1113" s="30" t="s">
        <v>1241</v>
      </c>
      <c r="F1113" s="34" t="str">
        <f>IFERROR(VLOOKUP(VENTAS[[#This Row],[Código del producto Vendido]],STOCK[],5,FALSE),"-")</f>
        <v>Cinturón de hebilla dorada</v>
      </c>
      <c r="G1113" s="34">
        <v>1</v>
      </c>
      <c r="H1113" s="35">
        <v>10</v>
      </c>
      <c r="I1113" s="35">
        <f>VENTAS[[#This Row],[Cantidad]]*VENTAS[[#This Row],[Precio Venta]]</f>
        <v>10</v>
      </c>
      <c r="J1113" s="35">
        <f>IF(VENTAS[[#This Row],[Nombre del Gestor]]&gt;1,VENTAS[[#This Row],[Total]]*10%,0)</f>
        <v>1</v>
      </c>
      <c r="K1113" s="35">
        <f>IFERROR(VLOOKUP(VENTAS[[#This Row],[Código del producto Vendido]],STOCK[],16,FALSE)*VENTAS[[#This Row],[Cantidad]]+VLOOKUP(VENTAS[[#This Row],[Código del producto Vendido]],STOCK[],19,FALSE)*VENTAS[[#This Row],[Cantidad]],VENTAS[[#This Row],[Total]])</f>
        <v>4.09</v>
      </c>
      <c r="L1113" s="35">
        <f>VENTAS[[#This Row],[Total]]-VENTAS[[#This Row],[Comisión 10%]]-VENTAS[[#This Row],[Costo SIN Comision]]</f>
        <v>4.91</v>
      </c>
      <c r="M1113" s="35"/>
    </row>
    <row r="1114" ht="20" customHeight="1" spans="1:13">
      <c r="A1114" s="29">
        <v>45483</v>
      </c>
      <c r="B1114" s="30"/>
      <c r="C1114" s="30" t="s">
        <v>3536</v>
      </c>
      <c r="D1114" s="30" t="s">
        <v>3537</v>
      </c>
      <c r="E1114" s="30" t="s">
        <v>1397</v>
      </c>
      <c r="F1114" s="34" t="str">
        <f>IFERROR(VLOOKUP(VENTAS[[#This Row],[Código del producto Vendido]],STOCK[],5,FALSE),"-")</f>
        <v>Camiseta acanalada de bajo asimétrico blanco</v>
      </c>
      <c r="G1114" s="34">
        <v>1</v>
      </c>
      <c r="H1114" s="35">
        <v>12</v>
      </c>
      <c r="I1114" s="35">
        <f>VENTAS[[#This Row],[Cantidad]]*VENTAS[[#This Row],[Precio Venta]]</f>
        <v>12</v>
      </c>
      <c r="J1114" s="35">
        <f>IF(VENTAS[[#This Row],[Nombre del Gestor]]&gt;1,VENTAS[[#This Row],[Total]]*10%,0)</f>
        <v>1.2</v>
      </c>
      <c r="K1114" s="35">
        <f>IFERROR(VLOOKUP(VENTAS[[#This Row],[Código del producto Vendido]],STOCK[],16,FALSE)*VENTAS[[#This Row],[Cantidad]]+VLOOKUP(VENTAS[[#This Row],[Código del producto Vendido]],STOCK[],19,FALSE)*VENTAS[[#This Row],[Cantidad]],VENTAS[[#This Row],[Total]])</f>
        <v>9</v>
      </c>
      <c r="L1114" s="35">
        <f>VENTAS[[#This Row],[Total]]-VENTAS[[#This Row],[Comisión 10%]]-VENTAS[[#This Row],[Costo SIN Comision]]</f>
        <v>1.8</v>
      </c>
      <c r="M1114" s="35"/>
    </row>
    <row r="1115" ht="20" customHeight="1" spans="1:13">
      <c r="A1115" s="29">
        <v>45483</v>
      </c>
      <c r="B1115" s="30"/>
      <c r="C1115" s="30" t="s">
        <v>3536</v>
      </c>
      <c r="D1115" s="30" t="s">
        <v>3537</v>
      </c>
      <c r="E1115" s="30" t="s">
        <v>1398</v>
      </c>
      <c r="F1115" s="34" t="str">
        <f>IFERROR(VLOOKUP(VENTAS[[#This Row],[Código del producto Vendido]],STOCK[],5,FALSE),"-")</f>
        <v>Camiseta acanalada de bajo asimétrico naranja</v>
      </c>
      <c r="G1115" s="34">
        <v>1</v>
      </c>
      <c r="H1115" s="35">
        <v>12</v>
      </c>
      <c r="I1115" s="35">
        <f>VENTAS[[#This Row],[Cantidad]]*VENTAS[[#This Row],[Precio Venta]]</f>
        <v>12</v>
      </c>
      <c r="J1115" s="35">
        <f>IF(VENTAS[[#This Row],[Nombre del Gestor]]&gt;1,VENTAS[[#This Row],[Total]]*10%,0)</f>
        <v>1.2</v>
      </c>
      <c r="K1115" s="35">
        <f>IFERROR(VLOOKUP(VENTAS[[#This Row],[Código del producto Vendido]],STOCK[],16,FALSE)*VENTAS[[#This Row],[Cantidad]]+VLOOKUP(VENTAS[[#This Row],[Código del producto Vendido]],STOCK[],19,FALSE)*VENTAS[[#This Row],[Cantidad]],VENTAS[[#This Row],[Total]])</f>
        <v>9</v>
      </c>
      <c r="L1115" s="35">
        <f>VENTAS[[#This Row],[Total]]-VENTAS[[#This Row],[Comisión 10%]]-VENTAS[[#This Row],[Costo SIN Comision]]</f>
        <v>1.8</v>
      </c>
      <c r="M1115" s="35"/>
    </row>
    <row r="1116" ht="20" customHeight="1" spans="1:13">
      <c r="A1116" s="29">
        <v>45491</v>
      </c>
      <c r="B1116" s="30"/>
      <c r="C1116" s="30" t="s">
        <v>3535</v>
      </c>
      <c r="D1116" s="30"/>
      <c r="E1116" s="30" t="s">
        <v>349</v>
      </c>
      <c r="F1116" s="34" t="str">
        <f>IFERROR(VLOOKUP(VENTAS[[#This Row],[Código del producto Vendido]],STOCK[],5,FALSE),"-")</f>
        <v>Pañuelo con estampado de paisley</v>
      </c>
      <c r="G1116" s="34">
        <v>1</v>
      </c>
      <c r="H1116" s="35">
        <v>3</v>
      </c>
      <c r="I1116" s="35">
        <f>VENTAS[[#This Row],[Cantidad]]*VENTAS[[#This Row],[Precio Venta]]</f>
        <v>3</v>
      </c>
      <c r="J1116" s="35">
        <f>IF(VENTAS[[#This Row],[Nombre del Gestor]]&gt;1,VENTAS[[#This Row],[Total]]*10%,0)</f>
        <v>0</v>
      </c>
      <c r="K1116" s="35">
        <f>IFERROR(VLOOKUP(VENTAS[[#This Row],[Código del producto Vendido]],STOCK[],16,FALSE)*VENTAS[[#This Row],[Cantidad]]+VLOOKUP(VENTAS[[#This Row],[Código del producto Vendido]],STOCK[],19,FALSE)*VENTAS[[#This Row],[Cantidad]],VENTAS[[#This Row],[Total]])</f>
        <v>1.20277777777778</v>
      </c>
      <c r="L1116" s="35">
        <f>VENTAS[[#This Row],[Total]]-VENTAS[[#This Row],[Comisión 10%]]-VENTAS[[#This Row],[Costo SIN Comision]]</f>
        <v>1.79722222222222</v>
      </c>
      <c r="M1116" s="35"/>
    </row>
    <row r="1117" ht="20" customHeight="1" spans="1:13">
      <c r="A1117" s="29">
        <v>45492</v>
      </c>
      <c r="B1117" s="30"/>
      <c r="C1117" s="30"/>
      <c r="D1117" s="30" t="s">
        <v>3465</v>
      </c>
      <c r="E1117" s="30" t="s">
        <v>1720</v>
      </c>
      <c r="F1117" s="34" t="str">
        <f>IFERROR(VLOOKUP(VENTAS[[#This Row],[Código del producto Vendido]],STOCK[],5,FALSE),"-")</f>
        <v>Vestido ajustado en rosas</v>
      </c>
      <c r="G1117" s="34">
        <v>1</v>
      </c>
      <c r="H1117" s="35">
        <v>16</v>
      </c>
      <c r="I1117" s="35">
        <f>VENTAS[[#This Row],[Cantidad]]*VENTAS[[#This Row],[Precio Venta]]</f>
        <v>16</v>
      </c>
      <c r="J1117" s="35">
        <f>IF(VENTAS[[#This Row],[Nombre del Gestor]]&gt;1,VENTAS[[#This Row],[Total]]*10%,0)</f>
        <v>1.6</v>
      </c>
      <c r="K1117" s="35">
        <f>IFERROR(VLOOKUP(VENTAS[[#This Row],[Código del producto Vendido]],STOCK[],16,FALSE)*VENTAS[[#This Row],[Cantidad]]+VLOOKUP(VENTAS[[#This Row],[Código del producto Vendido]],STOCK[],19,FALSE)*VENTAS[[#This Row],[Cantidad]],VENTAS[[#This Row],[Total]])</f>
        <v>13</v>
      </c>
      <c r="L1117" s="35">
        <f>VENTAS[[#This Row],[Total]]-VENTAS[[#This Row],[Comisión 10%]]-VENTAS[[#This Row],[Costo SIN Comision]]</f>
        <v>1.4</v>
      </c>
      <c r="M1117" s="35"/>
    </row>
    <row r="1118" ht="20" customHeight="1" spans="1:13">
      <c r="A1118" s="29">
        <v>45492</v>
      </c>
      <c r="B1118" s="30"/>
      <c r="C1118" s="30"/>
      <c r="D1118" s="30" t="s">
        <v>3465</v>
      </c>
      <c r="E1118" s="30" t="s">
        <v>1911</v>
      </c>
      <c r="F1118" s="34" t="str">
        <f>IFERROR(VLOOKUP(VENTAS[[#This Row],[Código del producto Vendido]],STOCK[],5,FALSE),"-")</f>
        <v>Gafas de Sol Retro Carey</v>
      </c>
      <c r="G1118" s="34">
        <v>1</v>
      </c>
      <c r="H1118" s="35">
        <v>8</v>
      </c>
      <c r="I1118" s="35">
        <f>VENTAS[[#This Row],[Cantidad]]*VENTAS[[#This Row],[Precio Venta]]</f>
        <v>8</v>
      </c>
      <c r="J1118" s="35">
        <f>IF(VENTAS[[#This Row],[Nombre del Gestor]]&gt;1,VENTAS[[#This Row],[Total]]*10%,0)</f>
        <v>0.8</v>
      </c>
      <c r="K1118" s="35">
        <f>IFERROR(VLOOKUP(VENTAS[[#This Row],[Código del producto Vendido]],STOCK[],16,FALSE)*VENTAS[[#This Row],[Cantidad]]+VLOOKUP(VENTAS[[#This Row],[Código del producto Vendido]],STOCK[],19,FALSE)*VENTAS[[#This Row],[Cantidad]],VENTAS[[#This Row],[Total]])</f>
        <v>4.45</v>
      </c>
      <c r="L1118" s="35">
        <f>VENTAS[[#This Row],[Total]]-VENTAS[[#This Row],[Comisión 10%]]-VENTAS[[#This Row],[Costo SIN Comision]]</f>
        <v>2.75</v>
      </c>
      <c r="M1118" s="35"/>
    </row>
    <row r="1119" ht="20" customHeight="1" spans="1:13">
      <c r="A1119" s="29">
        <v>45492</v>
      </c>
      <c r="B1119" s="30"/>
      <c r="C1119" s="30"/>
      <c r="D1119" s="30" t="s">
        <v>3465</v>
      </c>
      <c r="E1119" s="30" t="s">
        <v>1235</v>
      </c>
      <c r="F1119" s="34" t="str">
        <f>IFERROR(VLOOKUP(VENTAS[[#This Row],[Código del producto Vendido]],STOCK[],5,FALSE),"-")</f>
        <v>Cinturón de hebilla dorada</v>
      </c>
      <c r="G1119" s="34">
        <v>1</v>
      </c>
      <c r="H1119" s="35">
        <v>10</v>
      </c>
      <c r="I1119" s="35">
        <f>VENTAS[[#This Row],[Cantidad]]*VENTAS[[#This Row],[Precio Venta]]</f>
        <v>10</v>
      </c>
      <c r="J1119" s="35">
        <f>IF(VENTAS[[#This Row],[Nombre del Gestor]]&gt;1,VENTAS[[#This Row],[Total]]*10%,0)</f>
        <v>1</v>
      </c>
      <c r="K1119" s="35">
        <f>IFERROR(VLOOKUP(VENTAS[[#This Row],[Código del producto Vendido]],STOCK[],16,FALSE)*VENTAS[[#This Row],[Cantidad]]+VLOOKUP(VENTAS[[#This Row],[Código del producto Vendido]],STOCK[],19,FALSE)*VENTAS[[#This Row],[Cantidad]],VENTAS[[#This Row],[Total]])</f>
        <v>5.17</v>
      </c>
      <c r="L1119" s="35">
        <f>VENTAS[[#This Row],[Total]]-VENTAS[[#This Row],[Comisión 10%]]-VENTAS[[#This Row],[Costo SIN Comision]]</f>
        <v>3.83</v>
      </c>
      <c r="M1119" s="35"/>
    </row>
    <row r="1120" ht="20" customHeight="1" spans="1:13">
      <c r="A1120" s="29">
        <v>45493</v>
      </c>
      <c r="B1120" s="30"/>
      <c r="C1120" s="30"/>
      <c r="D1120" s="30" t="s">
        <v>3509</v>
      </c>
      <c r="E1120" s="30" t="s">
        <v>1267</v>
      </c>
      <c r="F1120" s="34" t="str">
        <f>IFERROR(VLOOKUP(VENTAS[[#This Row],[Código del producto Vendido]],STOCK[],5,FALSE),"-")</f>
        <v>Top corto asimétrico </v>
      </c>
      <c r="G1120" s="34">
        <v>1</v>
      </c>
      <c r="H1120" s="35">
        <v>10</v>
      </c>
      <c r="I1120" s="35">
        <f>VENTAS[[#This Row],[Cantidad]]*VENTAS[[#This Row],[Precio Venta]]</f>
        <v>10</v>
      </c>
      <c r="J1120" s="35">
        <f>IF(VENTAS[[#This Row],[Nombre del Gestor]]&gt;1,VENTAS[[#This Row],[Total]]*10%,0)</f>
        <v>1</v>
      </c>
      <c r="K1120" s="35">
        <f>IFERROR(VLOOKUP(VENTAS[[#This Row],[Código del producto Vendido]],STOCK[],16,FALSE)*VENTAS[[#This Row],[Cantidad]]+VLOOKUP(VENTAS[[#This Row],[Código del producto Vendido]],STOCK[],19,FALSE)*VENTAS[[#This Row],[Cantidad]],VENTAS[[#This Row],[Total]])</f>
        <v>5.77</v>
      </c>
      <c r="L1120" s="35">
        <f>VENTAS[[#This Row],[Total]]-VENTAS[[#This Row],[Comisión 10%]]-VENTAS[[#This Row],[Costo SIN Comision]]</f>
        <v>3.23</v>
      </c>
      <c r="M1120" s="35"/>
    </row>
    <row r="1121" ht="20" customHeight="1" spans="1:13">
      <c r="A1121" s="29">
        <v>45496</v>
      </c>
      <c r="B1121" s="30"/>
      <c r="C1121" s="30"/>
      <c r="D1121" s="30" t="s">
        <v>3478</v>
      </c>
      <c r="E1121" s="30" t="s">
        <v>1896</v>
      </c>
      <c r="F1121" s="34" t="str">
        <f>IFERROR(VLOOKUP(VENTAS[[#This Row],[Código del producto Vendido]],STOCK[],5,FALSE),"-")</f>
        <v>Bolso mochila estampado</v>
      </c>
      <c r="G1121" s="34">
        <v>1</v>
      </c>
      <c r="H1121" s="35">
        <v>25</v>
      </c>
      <c r="I1121" s="35">
        <f>VENTAS[[#This Row],[Cantidad]]*VENTAS[[#This Row],[Precio Venta]]</f>
        <v>25</v>
      </c>
      <c r="J1121" s="35">
        <f>IF(VENTAS[[#This Row],[Nombre del Gestor]]&gt;1,VENTAS[[#This Row],[Total]]*10%,0)</f>
        <v>2.5</v>
      </c>
      <c r="K1121" s="35">
        <f>IFERROR(VLOOKUP(VENTAS[[#This Row],[Código del producto Vendido]],STOCK[],16,FALSE)*VENTAS[[#This Row],[Cantidad]]+VLOOKUP(VENTAS[[#This Row],[Código del producto Vendido]],STOCK[],19,FALSE)*VENTAS[[#This Row],[Cantidad]],VENTAS[[#This Row],[Total]])</f>
        <v>12.62</v>
      </c>
      <c r="L1121" s="35">
        <f>VENTAS[[#This Row],[Total]]-VENTAS[[#This Row],[Comisión 10%]]-VENTAS[[#This Row],[Costo SIN Comision]]</f>
        <v>9.88</v>
      </c>
      <c r="M1121" s="35"/>
    </row>
    <row r="1122" ht="20" customHeight="1" spans="1:13">
      <c r="A1122" s="29">
        <v>45496</v>
      </c>
      <c r="B1122" s="30"/>
      <c r="C1122" s="30"/>
      <c r="D1122" s="30" t="s">
        <v>3478</v>
      </c>
      <c r="E1122" s="30" t="s">
        <v>496</v>
      </c>
      <c r="F1122" s="34" t="str">
        <f>IFERROR(VLOOKUP(VENTAS[[#This Row],[Código del producto Vendido]],STOCK[],5,FALSE),"-")</f>
        <v>Bikini estampado de cebra</v>
      </c>
      <c r="G1122" s="34">
        <v>1</v>
      </c>
      <c r="H1122" s="35">
        <v>12</v>
      </c>
      <c r="I1122" s="35">
        <f>VENTAS[[#This Row],[Cantidad]]*VENTAS[[#This Row],[Precio Venta]]</f>
        <v>12</v>
      </c>
      <c r="J1122" s="35">
        <f>IF(VENTAS[[#This Row],[Nombre del Gestor]]&gt;1,VENTAS[[#This Row],[Total]]*10%,0)</f>
        <v>1.2</v>
      </c>
      <c r="K1122" s="35">
        <f>IFERROR(VLOOKUP(VENTAS[[#This Row],[Código del producto Vendido]],STOCK[],16,FALSE)*VENTAS[[#This Row],[Cantidad]]+VLOOKUP(VENTAS[[#This Row],[Código del producto Vendido]],STOCK[],19,FALSE)*VENTAS[[#This Row],[Cantidad]],VENTAS[[#This Row],[Total]])</f>
        <v>8.78722222222222</v>
      </c>
      <c r="L1122" s="35">
        <f>VENTAS[[#This Row],[Total]]-VENTAS[[#This Row],[Comisión 10%]]-VENTAS[[#This Row],[Costo SIN Comision]]</f>
        <v>2.01277777777778</v>
      </c>
      <c r="M1122" s="35"/>
    </row>
    <row r="1123" ht="20" customHeight="1" spans="1:13">
      <c r="A1123" s="29">
        <v>45496</v>
      </c>
      <c r="B1123" s="30"/>
      <c r="C1123" s="30"/>
      <c r="D1123" s="30" t="s">
        <v>3478</v>
      </c>
      <c r="E1123" s="30" t="s">
        <v>2401</v>
      </c>
      <c r="F1123" s="34" t="str">
        <f>IFERROR(VLOOKUP(VENTAS[[#This Row],[Código del producto Vendido]],STOCK[],5,FALSE),"-")</f>
        <v>Sandalias de tiras con tacón cuadrado</v>
      </c>
      <c r="G1123" s="34">
        <v>1</v>
      </c>
      <c r="H1123" s="35">
        <v>35</v>
      </c>
      <c r="I1123" s="35">
        <f>VENTAS[[#This Row],[Cantidad]]*VENTAS[[#This Row],[Precio Venta]]</f>
        <v>35</v>
      </c>
      <c r="J1123" s="35">
        <f>IF(VENTAS[[#This Row],[Nombre del Gestor]]&gt;1,VENTAS[[#This Row],[Total]]*10%,0)</f>
        <v>3.5</v>
      </c>
      <c r="K1123" s="35">
        <f>IFERROR(VLOOKUP(VENTAS[[#This Row],[Código del producto Vendido]],STOCK[],16,FALSE)*VENTAS[[#This Row],[Cantidad]]+VLOOKUP(VENTAS[[#This Row],[Código del producto Vendido]],STOCK[],19,FALSE)*VENTAS[[#This Row],[Cantidad]],VENTAS[[#This Row],[Total]])</f>
        <v>17.2520211515864</v>
      </c>
      <c r="L1123" s="35">
        <f>VENTAS[[#This Row],[Total]]-VENTAS[[#This Row],[Comisión 10%]]-VENTAS[[#This Row],[Costo SIN Comision]]</f>
        <v>14.2479788484136</v>
      </c>
      <c r="M1123" s="35"/>
    </row>
    <row r="1124" ht="20" customHeight="1" spans="1:13">
      <c r="A1124" s="29">
        <v>45499</v>
      </c>
      <c r="B1124" s="30"/>
      <c r="C1124" s="30"/>
      <c r="D1124" s="30" t="s">
        <v>3459</v>
      </c>
      <c r="E1124" s="30" t="s">
        <v>2455</v>
      </c>
      <c r="F1124" s="34" t="str">
        <f>IFERROR(VLOOKUP(VENTAS[[#This Row],[Código del producto Vendido]],STOCK[],5,FALSE),"-")</f>
        <v>Sandalias prácticas Chunky Negras</v>
      </c>
      <c r="G1124" s="34">
        <v>1</v>
      </c>
      <c r="H1124" s="35">
        <v>35</v>
      </c>
      <c r="I1124" s="35">
        <f>VENTAS[[#This Row],[Cantidad]]*VENTAS[[#This Row],[Precio Venta]]</f>
        <v>35</v>
      </c>
      <c r="J1124" s="35">
        <f>IF(VENTAS[[#This Row],[Nombre del Gestor]]&gt;1,VENTAS[[#This Row],[Total]]*10%,0)</f>
        <v>3.5</v>
      </c>
      <c r="K1124" s="35">
        <f>IFERROR(VLOOKUP(VENTAS[[#This Row],[Código del producto Vendido]],STOCK[],16,FALSE)*VENTAS[[#This Row],[Cantidad]]+VLOOKUP(VENTAS[[#This Row],[Código del producto Vendido]],STOCK[],19,FALSE)*VENTAS[[#This Row],[Cantidad]],VENTAS[[#This Row],[Total]])</f>
        <v>21.97</v>
      </c>
      <c r="L1124" s="35">
        <f>VENTAS[[#This Row],[Total]]-VENTAS[[#This Row],[Comisión 10%]]-VENTAS[[#This Row],[Costo SIN Comision]]</f>
        <v>9.53</v>
      </c>
      <c r="M1124" s="35"/>
    </row>
    <row r="1125" ht="20" customHeight="1" spans="1:13">
      <c r="A1125" s="29">
        <v>45483</v>
      </c>
      <c r="B1125" s="30"/>
      <c r="C1125" s="30"/>
      <c r="D1125" s="30" t="s">
        <v>3459</v>
      </c>
      <c r="E1125" s="30" t="s">
        <v>2382</v>
      </c>
      <c r="F1125" s="34" t="str">
        <f>IFERROR(VLOOKUP(VENTAS[[#This Row],[Código del producto Vendido]],STOCK[],5,FALSE),"-")</f>
        <v>Espejuelos de sol vintage clásicas aviador</v>
      </c>
      <c r="G1125" s="34">
        <v>1</v>
      </c>
      <c r="H1125" s="35">
        <v>10</v>
      </c>
      <c r="I1125" s="35">
        <f>VENTAS[[#This Row],[Cantidad]]*VENTAS[[#This Row],[Precio Venta]]</f>
        <v>10</v>
      </c>
      <c r="J1125" s="35">
        <f>IF(VENTAS[[#This Row],[Nombre del Gestor]]&gt;1,VENTAS[[#This Row],[Total]]*10%,0)</f>
        <v>1</v>
      </c>
      <c r="K1125" s="35">
        <f>IFERROR(VLOOKUP(VENTAS[[#This Row],[Código del producto Vendido]],STOCK[],16,FALSE)*VENTAS[[#This Row],[Cantidad]]+VLOOKUP(VENTAS[[#This Row],[Código del producto Vendido]],STOCK[],19,FALSE)*VENTAS[[#This Row],[Cantidad]],VENTAS[[#This Row],[Total]])</f>
        <v>4.7275</v>
      </c>
      <c r="L1125" s="35">
        <f>VENTAS[[#This Row],[Total]]-VENTAS[[#This Row],[Comisión 10%]]-VENTAS[[#This Row],[Costo SIN Comision]]</f>
        <v>4.2725</v>
      </c>
      <c r="M1125" s="35"/>
    </row>
    <row r="1126" ht="20" customHeight="1" spans="1:13">
      <c r="A1126" s="29">
        <v>45499</v>
      </c>
      <c r="B1126" s="30"/>
      <c r="C1126" s="30"/>
      <c r="D1126" s="30" t="s">
        <v>3478</v>
      </c>
      <c r="E1126" s="30" t="s">
        <v>1769</v>
      </c>
      <c r="F1126" s="34" t="str">
        <f>IFERROR(VLOOKUP(VENTAS[[#This Row],[Código del producto Vendido]],STOCK[],5,FALSE),"-")</f>
        <v>Kimono Dazy Elegante</v>
      </c>
      <c r="G1126" s="34">
        <v>1</v>
      </c>
      <c r="H1126" s="35">
        <v>22</v>
      </c>
      <c r="I1126" s="35">
        <f>VENTAS[[#This Row],[Cantidad]]*VENTAS[[#This Row],[Precio Venta]]</f>
        <v>22</v>
      </c>
      <c r="J1126" s="35">
        <f>IF(VENTAS[[#This Row],[Nombre del Gestor]]&gt;1,VENTAS[[#This Row],[Total]]*10%,0)</f>
        <v>2.2</v>
      </c>
      <c r="K1126" s="35">
        <f>IFERROR(VLOOKUP(VENTAS[[#This Row],[Código del producto Vendido]],STOCK[],16,FALSE)*VENTAS[[#This Row],[Cantidad]]+VLOOKUP(VENTAS[[#This Row],[Código del producto Vendido]],STOCK[],19,FALSE)*VENTAS[[#This Row],[Cantidad]],VENTAS[[#This Row],[Total]])</f>
        <v>13.3529411764706</v>
      </c>
      <c r="L1126" s="35">
        <f>VENTAS[[#This Row],[Total]]-VENTAS[[#This Row],[Comisión 10%]]-VENTAS[[#This Row],[Costo SIN Comision]]</f>
        <v>6.44705882352941</v>
      </c>
      <c r="M1126" s="35"/>
    </row>
    <row r="1127" ht="20" customHeight="1" spans="1:13">
      <c r="A1127" s="29">
        <v>45499</v>
      </c>
      <c r="B1127" s="30"/>
      <c r="C1127" s="30" t="s">
        <v>3535</v>
      </c>
      <c r="D1127" s="30"/>
      <c r="E1127" s="30" t="s">
        <v>1743</v>
      </c>
      <c r="F1127" s="34" t="str">
        <f>IFERROR(VLOOKUP(VENTAS[[#This Row],[Código del producto Vendido]],STOCK[],5,FALSE),"-")</f>
        <v>Kimono Dazy Elegante</v>
      </c>
      <c r="G1127" s="34">
        <v>1</v>
      </c>
      <c r="H1127" s="35">
        <v>22</v>
      </c>
      <c r="I1127" s="35">
        <f>VENTAS[[#This Row],[Cantidad]]*VENTAS[[#This Row],[Precio Venta]]</f>
        <v>22</v>
      </c>
      <c r="J1127" s="35">
        <f>IF(VENTAS[[#This Row],[Nombre del Gestor]]&gt;1,VENTAS[[#This Row],[Total]]*10%,0)</f>
        <v>0</v>
      </c>
      <c r="K1127" s="35">
        <f>IFERROR(VLOOKUP(VENTAS[[#This Row],[Código del producto Vendido]],STOCK[],16,FALSE)*VENTAS[[#This Row],[Cantidad]]+VLOOKUP(VENTAS[[#This Row],[Código del producto Vendido]],STOCK[],19,FALSE)*VENTAS[[#This Row],[Cantidad]],VENTAS[[#This Row],[Total]])</f>
        <v>13.3529411764706</v>
      </c>
      <c r="L1127" s="35">
        <f>VENTAS[[#This Row],[Total]]-VENTAS[[#This Row],[Comisión 10%]]-VENTAS[[#This Row],[Costo SIN Comision]]</f>
        <v>8.64705882352941</v>
      </c>
      <c r="M1127" s="35"/>
    </row>
    <row r="1128" ht="20" customHeight="1" spans="1:13">
      <c r="A1128" s="29">
        <v>45497</v>
      </c>
      <c r="B1128" s="30"/>
      <c r="C1128" s="30"/>
      <c r="D1128" s="30" t="s">
        <v>3478</v>
      </c>
      <c r="E1128" s="30" t="s">
        <v>2127</v>
      </c>
      <c r="F1128" s="34" t="str">
        <f>IFERROR(VLOOKUP(VENTAS[[#This Row],[Código del producto Vendido]],STOCK[],5,FALSE),"-")</f>
        <v>Set de traje de baño 3 piezas Azul metalizado</v>
      </c>
      <c r="G1128" s="34">
        <v>1</v>
      </c>
      <c r="H1128" s="35">
        <v>22</v>
      </c>
      <c r="I1128" s="35">
        <f>VENTAS[[#This Row],[Cantidad]]*VENTAS[[#This Row],[Precio Venta]]</f>
        <v>22</v>
      </c>
      <c r="J1128" s="35">
        <f>IF(VENTAS[[#This Row],[Nombre del Gestor]]&gt;1,VENTAS[[#This Row],[Total]]*10%,0)</f>
        <v>2.2</v>
      </c>
      <c r="K1128" s="35">
        <f>IFERROR(VLOOKUP(VENTAS[[#This Row],[Código del producto Vendido]],STOCK[],16,FALSE)*VENTAS[[#This Row],[Cantidad]]+VLOOKUP(VENTAS[[#This Row],[Código del producto Vendido]],STOCK[],19,FALSE)*VENTAS[[#This Row],[Cantidad]],VENTAS[[#This Row],[Total]])</f>
        <v>10.84</v>
      </c>
      <c r="L1128" s="35">
        <f>VENTAS[[#This Row],[Total]]-VENTAS[[#This Row],[Comisión 10%]]-VENTAS[[#This Row],[Costo SIN Comision]]</f>
        <v>8.96</v>
      </c>
      <c r="M1128" s="35"/>
    </row>
    <row r="1129" ht="20" customHeight="1" spans="1:13">
      <c r="A1129" s="29">
        <v>45497</v>
      </c>
      <c r="B1129" s="30"/>
      <c r="C1129" s="30"/>
      <c r="D1129" s="30" t="s">
        <v>3478</v>
      </c>
      <c r="E1129" s="30" t="s">
        <v>2248</v>
      </c>
      <c r="F1129" s="34" t="str">
        <f>IFERROR(VLOOKUP(VENTAS[[#This Row],[Código del producto Vendido]],STOCK[],5,FALSE),"-")</f>
        <v>Bikini de cintura alta estampado clásico</v>
      </c>
      <c r="G1129" s="34">
        <v>1</v>
      </c>
      <c r="H1129" s="35">
        <v>20</v>
      </c>
      <c r="I1129" s="35">
        <f>VENTAS[[#This Row],[Cantidad]]*VENTAS[[#This Row],[Precio Venta]]</f>
        <v>20</v>
      </c>
      <c r="J1129" s="35">
        <f>IF(VENTAS[[#This Row],[Nombre del Gestor]]&gt;1,VENTAS[[#This Row],[Total]]*10%,0)</f>
        <v>2</v>
      </c>
      <c r="K1129" s="35">
        <f>IFERROR(VLOOKUP(VENTAS[[#This Row],[Código del producto Vendido]],STOCK[],16,FALSE)*VENTAS[[#This Row],[Cantidad]]+VLOOKUP(VENTAS[[#This Row],[Código del producto Vendido]],STOCK[],19,FALSE)*VENTAS[[#This Row],[Cantidad]],VENTAS[[#This Row],[Total]])</f>
        <v>8.66</v>
      </c>
      <c r="L1129" s="35">
        <f>VENTAS[[#This Row],[Total]]-VENTAS[[#This Row],[Comisión 10%]]-VENTAS[[#This Row],[Costo SIN Comision]]</f>
        <v>9.34</v>
      </c>
      <c r="M1129" s="35"/>
    </row>
    <row r="1130" ht="20" customHeight="1" spans="1:13">
      <c r="A1130" s="29">
        <v>45496</v>
      </c>
      <c r="B1130" s="30"/>
      <c r="C1130" s="30"/>
      <c r="D1130" s="30" t="s">
        <v>3478</v>
      </c>
      <c r="E1130" s="30" t="s">
        <v>2368</v>
      </c>
      <c r="F1130" s="34" t="str">
        <f>IFERROR(VLOOKUP(VENTAS[[#This Row],[Código del producto Vendido]],STOCK[],5,FALSE),"-")</f>
        <v>Blusa atada al frente de estilo casual</v>
      </c>
      <c r="G1130" s="34">
        <v>1</v>
      </c>
      <c r="H1130" s="35">
        <v>17</v>
      </c>
      <c r="I1130" s="35">
        <f>VENTAS[[#This Row],[Cantidad]]*VENTAS[[#This Row],[Precio Venta]]</f>
        <v>17</v>
      </c>
      <c r="J1130" s="35">
        <f>IF(VENTAS[[#This Row],[Nombre del Gestor]]&gt;1,VENTAS[[#This Row],[Total]]*10%,0)</f>
        <v>1.7</v>
      </c>
      <c r="K1130" s="35">
        <f>IFERROR(VLOOKUP(VENTAS[[#This Row],[Código del producto Vendido]],STOCK[],16,FALSE)*VENTAS[[#This Row],[Cantidad]]+VLOOKUP(VENTAS[[#This Row],[Código del producto Vendido]],STOCK[],19,FALSE)*VENTAS[[#This Row],[Cantidad]],VENTAS[[#This Row],[Total]])</f>
        <v>10.821875</v>
      </c>
      <c r="L1130" s="35">
        <f>VENTAS[[#This Row],[Total]]-VENTAS[[#This Row],[Comisión 10%]]-VENTAS[[#This Row],[Costo SIN Comision]]</f>
        <v>4.478125</v>
      </c>
      <c r="M1130" s="35"/>
    </row>
    <row r="1131" ht="20" customHeight="1" spans="1:13">
      <c r="A1131" s="29">
        <v>45496</v>
      </c>
      <c r="B1131" s="30"/>
      <c r="C1131" s="30"/>
      <c r="D1131" s="30" t="s">
        <v>3478</v>
      </c>
      <c r="E1131" s="30" t="s">
        <v>2121</v>
      </c>
      <c r="F1131" s="34" t="str">
        <f>IFERROR(VLOOKUP(VENTAS[[#This Row],[Código del producto Vendido]],STOCK[],5,FALSE),"-")</f>
        <v>Set de traje de baño elegante 2 piezas con adorno en forma de V</v>
      </c>
      <c r="G1131" s="34">
        <v>1</v>
      </c>
      <c r="H1131" s="35">
        <v>25</v>
      </c>
      <c r="I1131" s="35">
        <f>VENTAS[[#This Row],[Cantidad]]*VENTAS[[#This Row],[Precio Venta]]</f>
        <v>25</v>
      </c>
      <c r="J1131" s="35">
        <f>IF(VENTAS[[#This Row],[Nombre del Gestor]]&gt;1,VENTAS[[#This Row],[Total]]*10%,0)</f>
        <v>2.5</v>
      </c>
      <c r="K1131" s="35">
        <f>IFERROR(VLOOKUP(VENTAS[[#This Row],[Código del producto Vendido]],STOCK[],16,FALSE)*VENTAS[[#This Row],[Cantidad]]+VLOOKUP(VENTAS[[#This Row],[Código del producto Vendido]],STOCK[],19,FALSE)*VENTAS[[#This Row],[Cantidad]],VENTAS[[#This Row],[Total]])</f>
        <v>11.21</v>
      </c>
      <c r="L1131" s="35">
        <f>VENTAS[[#This Row],[Total]]-VENTAS[[#This Row],[Comisión 10%]]-VENTAS[[#This Row],[Costo SIN Comision]]</f>
        <v>11.29</v>
      </c>
      <c r="M1131" s="35"/>
    </row>
    <row r="1132" ht="20" customHeight="1" spans="1:13">
      <c r="A1132" s="29">
        <v>45499</v>
      </c>
      <c r="B1132" s="30"/>
      <c r="C1132" s="30" t="s">
        <v>3535</v>
      </c>
      <c r="D1132" s="30"/>
      <c r="E1132" s="30" t="s">
        <v>2362</v>
      </c>
      <c r="F1132" s="34" t="str">
        <f>IFERROR(VLOOKUP(VENTAS[[#This Row],[Código del producto Vendido]],STOCK[],5,FALSE),"-")</f>
        <v>2 piezas bikini push up accesorio</v>
      </c>
      <c r="G1132" s="34">
        <v>1</v>
      </c>
      <c r="H1132" s="35">
        <v>4</v>
      </c>
      <c r="I1132" s="35">
        <f>VENTAS[[#This Row],[Cantidad]]*VENTAS[[#This Row],[Precio Venta]]</f>
        <v>4</v>
      </c>
      <c r="J1132" s="35">
        <f>IF(VENTAS[[#This Row],[Nombre del Gestor]]&gt;1,VENTAS[[#This Row],[Total]]*10%,0)</f>
        <v>0</v>
      </c>
      <c r="K1132" s="35">
        <f>IFERROR(VLOOKUP(VENTAS[[#This Row],[Código del producto Vendido]],STOCK[],16,FALSE)*VENTAS[[#This Row],[Cantidad]]+VLOOKUP(VENTAS[[#This Row],[Código del producto Vendido]],STOCK[],19,FALSE)*VENTAS[[#This Row],[Cantidad]],VENTAS[[#This Row],[Total]])</f>
        <v>3.335625</v>
      </c>
      <c r="L1132" s="35">
        <f>VENTAS[[#This Row],[Total]]-VENTAS[[#This Row],[Comisión 10%]]-VENTAS[[#This Row],[Costo SIN Comision]]</f>
        <v>0.664375</v>
      </c>
      <c r="M1132" s="35"/>
    </row>
    <row r="1133" ht="20" customHeight="1" spans="1:13">
      <c r="A1133" s="29">
        <v>45499</v>
      </c>
      <c r="B1133" s="30"/>
      <c r="C1133" s="30" t="s">
        <v>3535</v>
      </c>
      <c r="D1133" s="30"/>
      <c r="E1133" s="30" t="s">
        <v>2150</v>
      </c>
      <c r="F1133" s="34" t="str">
        <f>IFERROR(VLOOKUP(VENTAS[[#This Row],[Código del producto Vendido]],STOCK[],5,FALSE),"-")</f>
        <v>Set de 3 piezas de bikini con estampado floral</v>
      </c>
      <c r="G1133" s="34">
        <v>1</v>
      </c>
      <c r="H1133" s="35">
        <v>25</v>
      </c>
      <c r="I1133" s="35">
        <f>VENTAS[[#This Row],[Cantidad]]*VENTAS[[#This Row],[Precio Venta]]</f>
        <v>25</v>
      </c>
      <c r="J1133" s="35">
        <f>IF(VENTAS[[#This Row],[Nombre del Gestor]]&gt;1,VENTAS[[#This Row],[Total]]*10%,0)</f>
        <v>0</v>
      </c>
      <c r="K1133" s="35">
        <f>IFERROR(VLOOKUP(VENTAS[[#This Row],[Código del producto Vendido]],STOCK[],16,FALSE)*VENTAS[[#This Row],[Cantidad]]+VLOOKUP(VENTAS[[#This Row],[Código del producto Vendido]],STOCK[],19,FALSE)*VENTAS[[#This Row],[Cantidad]],VENTAS[[#This Row],[Total]])</f>
        <v>9.67</v>
      </c>
      <c r="L1133" s="35">
        <f>VENTAS[[#This Row],[Total]]-VENTAS[[#This Row],[Comisión 10%]]-VENTAS[[#This Row],[Costo SIN Comision]]</f>
        <v>15.33</v>
      </c>
      <c r="M1133" s="35"/>
    </row>
    <row r="1134" ht="20" customHeight="1" spans="1:13">
      <c r="A1134" s="29">
        <v>45498</v>
      </c>
      <c r="B1134" s="30"/>
      <c r="C1134" s="30" t="s">
        <v>3535</v>
      </c>
      <c r="D1134" s="30"/>
      <c r="E1134" s="30" t="s">
        <v>2397</v>
      </c>
      <c r="F1134" s="34" t="str">
        <f>IFERROR(VLOOKUP(VENTAS[[#This Row],[Código del producto Vendido]],STOCK[],5,FALSE),"-")</f>
        <v>Sandalias de tiras con tacón cuadrado</v>
      </c>
      <c r="G1134" s="34">
        <v>1</v>
      </c>
      <c r="H1134" s="35">
        <v>35</v>
      </c>
      <c r="I1134" s="35">
        <f>VENTAS[[#This Row],[Cantidad]]*VENTAS[[#This Row],[Precio Venta]]</f>
        <v>35</v>
      </c>
      <c r="J1134" s="35">
        <f>IF(VENTAS[[#This Row],[Nombre del Gestor]]&gt;1,VENTAS[[#This Row],[Total]]*10%,0)</f>
        <v>0</v>
      </c>
      <c r="K1134" s="35">
        <f>IFERROR(VLOOKUP(VENTAS[[#This Row],[Código del producto Vendido]],STOCK[],16,FALSE)*VENTAS[[#This Row],[Cantidad]]+VLOOKUP(VENTAS[[#This Row],[Código del producto Vendido]],STOCK[],19,FALSE)*VENTAS[[#This Row],[Cantidad]],VENTAS[[#This Row],[Total]])</f>
        <v>17.2520211515864</v>
      </c>
      <c r="L1134" s="35">
        <f>VENTAS[[#This Row],[Total]]-VENTAS[[#This Row],[Comisión 10%]]-VENTAS[[#This Row],[Costo SIN Comision]]</f>
        <v>17.7479788484136</v>
      </c>
      <c r="M1134" s="35"/>
    </row>
    <row r="1135" ht="20" customHeight="1" spans="1:13">
      <c r="A1135" s="29">
        <v>45498</v>
      </c>
      <c r="B1135" s="30"/>
      <c r="C1135" s="30" t="s">
        <v>3535</v>
      </c>
      <c r="D1135" s="30"/>
      <c r="E1135" s="30" t="s">
        <v>1168</v>
      </c>
      <c r="F1135" s="34" t="str">
        <f>IFERROR(VLOOKUP(VENTAS[[#This Row],[Código del producto Vendido]],STOCK[],5,FALSE),"-")</f>
        <v>Pullover Dazy cuello redondo Blanco</v>
      </c>
      <c r="G1135" s="34">
        <v>1</v>
      </c>
      <c r="H1135" s="35">
        <v>13</v>
      </c>
      <c r="I1135" s="35">
        <f>VENTAS[[#This Row],[Cantidad]]*VENTAS[[#This Row],[Precio Venta]]</f>
        <v>13</v>
      </c>
      <c r="J1135" s="35">
        <f>IF(VENTAS[[#This Row],[Nombre del Gestor]]&gt;1,VENTAS[[#This Row],[Total]]*10%,0)</f>
        <v>0</v>
      </c>
      <c r="K1135" s="35">
        <f>IFERROR(VLOOKUP(VENTAS[[#This Row],[Código del producto Vendido]],STOCK[],16,FALSE)*VENTAS[[#This Row],[Cantidad]]+VLOOKUP(VENTAS[[#This Row],[Código del producto Vendido]],STOCK[],19,FALSE)*VENTAS[[#This Row],[Cantidad]],VENTAS[[#This Row],[Total]])</f>
        <v>8.61</v>
      </c>
      <c r="L1135" s="35">
        <f>VENTAS[[#This Row],[Total]]-VENTAS[[#This Row],[Comisión 10%]]-VENTAS[[#This Row],[Costo SIN Comision]]</f>
        <v>4.39</v>
      </c>
      <c r="M1135" s="35"/>
    </row>
    <row r="1136" ht="20" customHeight="1" spans="1:13">
      <c r="A1136" s="29">
        <v>45498</v>
      </c>
      <c r="B1136" s="30"/>
      <c r="C1136" s="30" t="s">
        <v>3535</v>
      </c>
      <c r="D1136" s="30"/>
      <c r="E1136" s="30" t="s">
        <v>2412</v>
      </c>
      <c r="F1136" s="34" t="str">
        <f>IFERROR(VLOOKUP(VENTAS[[#This Row],[Código del producto Vendido]],STOCK[],5,FALSE),"-")</f>
        <v>Pantalón de vestir de viscosa y lino (beige claro)</v>
      </c>
      <c r="G1136" s="34">
        <v>1</v>
      </c>
      <c r="H1136" s="35">
        <v>35</v>
      </c>
      <c r="I1136" s="35">
        <f>VENTAS[[#This Row],[Cantidad]]*VENTAS[[#This Row],[Precio Venta]]</f>
        <v>35</v>
      </c>
      <c r="J1136" s="35">
        <f>IF(VENTAS[[#This Row],[Nombre del Gestor]]&gt;1,VENTAS[[#This Row],[Total]]*10%,0)</f>
        <v>0</v>
      </c>
      <c r="K1136" s="35">
        <f>IFERROR(VLOOKUP(VENTAS[[#This Row],[Código del producto Vendido]],STOCK[],16,FALSE)*VENTAS[[#This Row],[Cantidad]]+VLOOKUP(VENTAS[[#This Row],[Código del producto Vendido]],STOCK[],19,FALSE)*VENTAS[[#This Row],[Cantidad]],VENTAS[[#This Row],[Total]])</f>
        <v>17.2520211515864</v>
      </c>
      <c r="L1136" s="35">
        <f>VENTAS[[#This Row],[Total]]-VENTAS[[#This Row],[Comisión 10%]]-VENTAS[[#This Row],[Costo SIN Comision]]</f>
        <v>17.7479788484136</v>
      </c>
      <c r="M1136" s="35"/>
    </row>
    <row r="1137" ht="20" customHeight="1" spans="1:13">
      <c r="A1137" s="29">
        <v>45496</v>
      </c>
      <c r="B1137" s="30"/>
      <c r="C1137" s="30"/>
      <c r="D1137" s="30" t="s">
        <v>3503</v>
      </c>
      <c r="E1137" s="30" t="s">
        <v>781</v>
      </c>
      <c r="F1137" s="34" t="str">
        <f>IFERROR(VLOOKUP(VENTAS[[#This Row],[Código del producto Vendido]],STOCK[],5,FALSE),"-")</f>
        <v>Top Amarillo en tela de algodón</v>
      </c>
      <c r="G1137" s="34">
        <v>1</v>
      </c>
      <c r="H1137" s="35">
        <v>10</v>
      </c>
      <c r="I1137" s="35">
        <f>VENTAS[[#This Row],[Cantidad]]*VENTAS[[#This Row],[Precio Venta]]</f>
        <v>10</v>
      </c>
      <c r="J1137" s="35">
        <f>IF(VENTAS[[#This Row],[Nombre del Gestor]]&gt;1,VENTAS[[#This Row],[Total]]*10%,0)</f>
        <v>1</v>
      </c>
      <c r="K1137" s="35">
        <f>IFERROR(VLOOKUP(VENTAS[[#This Row],[Código del producto Vendido]],STOCK[],16,FALSE)*VENTAS[[#This Row],[Cantidad]]+VLOOKUP(VENTAS[[#This Row],[Código del producto Vendido]],STOCK[],19,FALSE)*VENTAS[[#This Row],[Cantidad]],VENTAS[[#This Row],[Total]])</f>
        <v>6.05555555555556</v>
      </c>
      <c r="L1137" s="35">
        <f>VENTAS[[#This Row],[Total]]-VENTAS[[#This Row],[Comisión 10%]]-VENTAS[[#This Row],[Costo SIN Comision]]</f>
        <v>2.94444444444444</v>
      </c>
      <c r="M1137" s="35"/>
    </row>
    <row r="1138" ht="20" customHeight="1" spans="1:13">
      <c r="A1138" s="29">
        <v>45496</v>
      </c>
      <c r="B1138" s="30"/>
      <c r="C1138" s="30"/>
      <c r="D1138" s="30" t="s">
        <v>3503</v>
      </c>
      <c r="E1138" s="30" t="s">
        <v>596</v>
      </c>
      <c r="F1138" s="34" t="str">
        <f>IFERROR(VLOOKUP(VENTAS[[#This Row],[Código del producto Vendido]],STOCK[],5,FALSE),"-")</f>
        <v>Top cruzado naranja</v>
      </c>
      <c r="G1138" s="34">
        <v>1</v>
      </c>
      <c r="H1138" s="35">
        <v>8</v>
      </c>
      <c r="I1138" s="35">
        <f>VENTAS[[#This Row],[Cantidad]]*VENTAS[[#This Row],[Precio Venta]]</f>
        <v>8</v>
      </c>
      <c r="J1138" s="35">
        <f>IF(VENTAS[[#This Row],[Nombre del Gestor]]&gt;1,VENTAS[[#This Row],[Total]]*10%,0)</f>
        <v>0.8</v>
      </c>
      <c r="K1138" s="35">
        <f>IFERROR(VLOOKUP(VENTAS[[#This Row],[Código del producto Vendido]],STOCK[],16,FALSE)*VENTAS[[#This Row],[Cantidad]]+VLOOKUP(VENTAS[[#This Row],[Código del producto Vendido]],STOCK[],19,FALSE)*VENTAS[[#This Row],[Cantidad]],VENTAS[[#This Row],[Total]])</f>
        <v>5.06833333333333</v>
      </c>
      <c r="L1138" s="35">
        <f>VENTAS[[#This Row],[Total]]-VENTAS[[#This Row],[Comisión 10%]]-VENTAS[[#This Row],[Costo SIN Comision]]</f>
        <v>2.13166666666667</v>
      </c>
      <c r="M1138" s="35"/>
    </row>
    <row r="1139" ht="20" customHeight="1" spans="1:13">
      <c r="A1139" s="29">
        <v>45496</v>
      </c>
      <c r="B1139" s="30"/>
      <c r="C1139" s="30"/>
      <c r="D1139" s="30" t="s">
        <v>3503</v>
      </c>
      <c r="E1139" s="30" t="s">
        <v>673</v>
      </c>
      <c r="F1139" s="34" t="str">
        <f>IFERROR(VLOOKUP(VENTAS[[#This Row],[Código del producto Vendido]],STOCK[],5,FALSE),"-")</f>
        <v>Top Cruzado azul</v>
      </c>
      <c r="G1139" s="34">
        <v>1</v>
      </c>
      <c r="H1139" s="35">
        <v>8</v>
      </c>
      <c r="I1139" s="35">
        <f>VENTAS[[#This Row],[Cantidad]]*VENTAS[[#This Row],[Precio Venta]]</f>
        <v>8</v>
      </c>
      <c r="J1139" s="35">
        <f>IF(VENTAS[[#This Row],[Nombre del Gestor]]&gt;1,VENTAS[[#This Row],[Total]]*10%,0)</f>
        <v>0.8</v>
      </c>
      <c r="K1139" s="35">
        <f>IFERROR(VLOOKUP(VENTAS[[#This Row],[Código del producto Vendido]],STOCK[],16,FALSE)*VENTAS[[#This Row],[Cantidad]]+VLOOKUP(VENTAS[[#This Row],[Código del producto Vendido]],STOCK[],19,FALSE)*VENTAS[[#This Row],[Cantidad]],VENTAS[[#This Row],[Total]])</f>
        <v>5.26833333333333</v>
      </c>
      <c r="L1139" s="35">
        <f>VENTAS[[#This Row],[Total]]-VENTAS[[#This Row],[Comisión 10%]]-VENTAS[[#This Row],[Costo SIN Comision]]</f>
        <v>1.93166666666667</v>
      </c>
      <c r="M1139" s="35"/>
    </row>
    <row r="1140" ht="20" customHeight="1" spans="1:13">
      <c r="A1140" s="29">
        <v>45495</v>
      </c>
      <c r="B1140" s="30"/>
      <c r="C1140" s="30"/>
      <c r="D1140" s="30" t="s">
        <v>3503</v>
      </c>
      <c r="E1140" s="30" t="s">
        <v>1007</v>
      </c>
      <c r="F1140" s="34" t="str">
        <f>IFERROR(VLOOKUP(VENTAS[[#This Row],[Código del producto Vendido]],STOCK[],5,FALSE),"-")</f>
        <v>Maxi Vestido con Bolsillo</v>
      </c>
      <c r="G1140" s="34">
        <v>1</v>
      </c>
      <c r="H1140" s="35">
        <v>35</v>
      </c>
      <c r="I1140" s="35">
        <f>VENTAS[[#This Row],[Cantidad]]*VENTAS[[#This Row],[Precio Venta]]</f>
        <v>35</v>
      </c>
      <c r="J1140" s="35">
        <f>IF(VENTAS[[#This Row],[Nombre del Gestor]]&gt;1,VENTAS[[#This Row],[Total]]*10%,0)</f>
        <v>3.5</v>
      </c>
      <c r="K1140" s="35">
        <f>IFERROR(VLOOKUP(VENTAS[[#This Row],[Código del producto Vendido]],STOCK[],16,FALSE)*VENTAS[[#This Row],[Cantidad]]+VLOOKUP(VENTAS[[#This Row],[Código del producto Vendido]],STOCK[],19,FALSE)*VENTAS[[#This Row],[Cantidad]],VENTAS[[#This Row],[Total]])</f>
        <v>24.7295454545455</v>
      </c>
      <c r="L1140" s="35">
        <f>VENTAS[[#This Row],[Total]]-VENTAS[[#This Row],[Comisión 10%]]-VENTAS[[#This Row],[Costo SIN Comision]]</f>
        <v>6.7704545454545</v>
      </c>
      <c r="M1140" s="35"/>
    </row>
    <row r="1141" ht="20" customHeight="1" spans="1:13">
      <c r="A1141" s="29">
        <v>45495</v>
      </c>
      <c r="B1141" s="30"/>
      <c r="C1141" s="30"/>
      <c r="D1141" s="30" t="s">
        <v>3503</v>
      </c>
      <c r="E1141" s="30" t="s">
        <v>329</v>
      </c>
      <c r="F1141" s="34" t="str">
        <f>IFERROR(VLOOKUP(VENTAS[[#This Row],[Código del producto Vendido]],STOCK[],5,FALSE),"-")</f>
        <v>Vestido ajustado con abertura</v>
      </c>
      <c r="G1141" s="34">
        <v>1</v>
      </c>
      <c r="H1141" s="35">
        <v>18</v>
      </c>
      <c r="I1141" s="35">
        <f>VENTAS[[#This Row],[Cantidad]]*VENTAS[[#This Row],[Precio Venta]]</f>
        <v>18</v>
      </c>
      <c r="J1141" s="35">
        <f>IF(VENTAS[[#This Row],[Nombre del Gestor]]&gt;1,VENTAS[[#This Row],[Total]]*10%,0)</f>
        <v>1.8</v>
      </c>
      <c r="K1141" s="35">
        <f>IFERROR(VLOOKUP(VENTAS[[#This Row],[Código del producto Vendido]],STOCK[],16,FALSE)*VENTAS[[#This Row],[Cantidad]]+VLOOKUP(VENTAS[[#This Row],[Código del producto Vendido]],STOCK[],19,FALSE)*VENTAS[[#This Row],[Cantidad]],VENTAS[[#This Row],[Total]])</f>
        <v>12.14</v>
      </c>
      <c r="L1141" s="35">
        <f>VENTAS[[#This Row],[Total]]-VENTAS[[#This Row],[Comisión 10%]]-VENTAS[[#This Row],[Costo SIN Comision]]</f>
        <v>4.06</v>
      </c>
      <c r="M1141" s="35"/>
    </row>
    <row r="1142" ht="20" customHeight="1" spans="1:13">
      <c r="A1142" s="29">
        <v>45495</v>
      </c>
      <c r="B1142" s="30"/>
      <c r="C1142" s="30"/>
      <c r="D1142" s="30" t="s">
        <v>3503</v>
      </c>
      <c r="E1142" s="30" t="s">
        <v>663</v>
      </c>
      <c r="F1142" s="34" t="str">
        <f>IFERROR(VLOOKUP(VENTAS[[#This Row],[Código del producto Vendido]],STOCK[],5,FALSE),"-")</f>
        <v>Top Cruzado negro</v>
      </c>
      <c r="G1142" s="34">
        <v>2</v>
      </c>
      <c r="H1142" s="35">
        <v>8</v>
      </c>
      <c r="I1142" s="35">
        <f>VENTAS[[#This Row],[Cantidad]]*VENTAS[[#This Row],[Precio Venta]]</f>
        <v>16</v>
      </c>
      <c r="J1142" s="35">
        <f>IF(VENTAS[[#This Row],[Nombre del Gestor]]&gt;1,VENTAS[[#This Row],[Total]]*10%,0)</f>
        <v>1.6</v>
      </c>
      <c r="K1142" s="35">
        <f>IFERROR(VLOOKUP(VENTAS[[#This Row],[Código del producto Vendido]],STOCK[],16,FALSE)*VENTAS[[#This Row],[Cantidad]]+VLOOKUP(VENTAS[[#This Row],[Código del producto Vendido]],STOCK[],19,FALSE)*VENTAS[[#This Row],[Cantidad]],VENTAS[[#This Row],[Total]])</f>
        <v>9.80333333333334</v>
      </c>
      <c r="L1142" s="35">
        <f>VENTAS[[#This Row],[Total]]-VENTAS[[#This Row],[Comisión 10%]]-VENTAS[[#This Row],[Costo SIN Comision]]</f>
        <v>4.59666666666666</v>
      </c>
      <c r="M1142" s="35"/>
    </row>
    <row r="1143" ht="20" customHeight="1" spans="1:13">
      <c r="A1143" s="29">
        <v>45495</v>
      </c>
      <c r="B1143" s="30"/>
      <c r="C1143" s="30"/>
      <c r="D1143" s="30" t="s">
        <v>3503</v>
      </c>
      <c r="E1143" s="30" t="s">
        <v>583</v>
      </c>
      <c r="F1143" s="34" t="str">
        <f>IFERROR(VLOOKUP(VENTAS[[#This Row],[Código del producto Vendido]],STOCK[],5,FALSE),"-")</f>
        <v>Top cruzado blanco</v>
      </c>
      <c r="G1143" s="34">
        <v>2</v>
      </c>
      <c r="H1143" s="35">
        <v>8</v>
      </c>
      <c r="I1143" s="35">
        <f>VENTAS[[#This Row],[Cantidad]]*VENTAS[[#This Row],[Precio Venta]]</f>
        <v>16</v>
      </c>
      <c r="J1143" s="35">
        <f>IF(VENTAS[[#This Row],[Nombre del Gestor]]&gt;1,VENTAS[[#This Row],[Total]]*10%,0)</f>
        <v>1.6</v>
      </c>
      <c r="K1143" s="35">
        <f>IFERROR(VLOOKUP(VENTAS[[#This Row],[Código del producto Vendido]],STOCK[],16,FALSE)*VENTAS[[#This Row],[Cantidad]]+VLOOKUP(VENTAS[[#This Row],[Código del producto Vendido]],STOCK[],19,FALSE)*VENTAS[[#This Row],[Cantidad]],VENTAS[[#This Row],[Total]])</f>
        <v>10.3866666666667</v>
      </c>
      <c r="L1143" s="35">
        <f>VENTAS[[#This Row],[Total]]-VENTAS[[#This Row],[Comisión 10%]]-VENTAS[[#This Row],[Costo SIN Comision]]</f>
        <v>4.01333333333334</v>
      </c>
      <c r="M1143" s="35"/>
    </row>
    <row r="1144" ht="20" customHeight="1" spans="1:13">
      <c r="A1144" s="29">
        <v>45495</v>
      </c>
      <c r="B1144" s="30"/>
      <c r="C1144" s="30"/>
      <c r="D1144" s="30" t="s">
        <v>3503</v>
      </c>
      <c r="E1144" s="30" t="s">
        <v>211</v>
      </c>
      <c r="F1144" s="34" t="str">
        <f>IFERROR(VLOOKUP(VENTAS[[#This Row],[Código del producto Vendido]],STOCK[],5,FALSE),"-")</f>
        <v>Maxi vestido con bajo floral</v>
      </c>
      <c r="G1144" s="34">
        <v>1</v>
      </c>
      <c r="H1144" s="35">
        <v>25</v>
      </c>
      <c r="I1144" s="35">
        <f>VENTAS[[#This Row],[Cantidad]]*VENTAS[[#This Row],[Precio Venta]]</f>
        <v>25</v>
      </c>
      <c r="J1144" s="35">
        <f>IF(VENTAS[[#This Row],[Nombre del Gestor]]&gt;1,VENTAS[[#This Row],[Total]]*10%,0)</f>
        <v>2.5</v>
      </c>
      <c r="K1144" s="35">
        <f>IFERROR(VLOOKUP(VENTAS[[#This Row],[Código del producto Vendido]],STOCK[],16,FALSE)*VENTAS[[#This Row],[Cantidad]]+VLOOKUP(VENTAS[[#This Row],[Código del producto Vendido]],STOCK[],19,FALSE)*VENTAS[[#This Row],[Cantidad]],VENTAS[[#This Row],[Total]])</f>
        <v>14.34</v>
      </c>
      <c r="L1144" s="35">
        <f>VENTAS[[#This Row],[Total]]-VENTAS[[#This Row],[Comisión 10%]]-VENTAS[[#This Row],[Costo SIN Comision]]</f>
        <v>8.16</v>
      </c>
      <c r="M1144" s="35"/>
    </row>
    <row r="1145" ht="20" customHeight="1" spans="1:13">
      <c r="A1145" s="29">
        <v>45500</v>
      </c>
      <c r="B1145" s="30"/>
      <c r="C1145" s="30" t="s">
        <v>3535</v>
      </c>
      <c r="D1145" s="30"/>
      <c r="E1145" s="30" t="s">
        <v>2477</v>
      </c>
      <c r="F1145" s="34" t="str">
        <f>IFERROR(VLOOKUP(VENTAS[[#This Row],[Código del producto Vendido]],STOCK[],5,FALSE),"-")</f>
        <v>Sandalias finas strappy rojas de tacón</v>
      </c>
      <c r="G1145" s="34">
        <v>1</v>
      </c>
      <c r="H1145" s="35">
        <v>40</v>
      </c>
      <c r="I1145" s="35">
        <f>VENTAS[[#This Row],[Cantidad]]*VENTAS[[#This Row],[Precio Venta]]</f>
        <v>40</v>
      </c>
      <c r="J1145" s="35">
        <f>IF(VENTAS[[#This Row],[Nombre del Gestor]]&gt;1,VENTAS[[#This Row],[Total]]*10%,0)</f>
        <v>0</v>
      </c>
      <c r="K1145" s="35">
        <f>IFERROR(VLOOKUP(VENTAS[[#This Row],[Código del producto Vendido]],STOCK[],16,FALSE)*VENTAS[[#This Row],[Cantidad]]+VLOOKUP(VENTAS[[#This Row],[Código del producto Vendido]],STOCK[],19,FALSE)*VENTAS[[#This Row],[Cantidad]],VENTAS[[#This Row],[Total]])</f>
        <v>20.81925</v>
      </c>
      <c r="L1145" s="35">
        <f>VENTAS[[#This Row],[Total]]-VENTAS[[#This Row],[Comisión 10%]]-VENTAS[[#This Row],[Costo SIN Comision]]</f>
        <v>19.18075</v>
      </c>
      <c r="M1145" s="35"/>
    </row>
    <row r="1146" ht="20" customHeight="1" spans="1:13">
      <c r="A1146" s="29">
        <v>45506</v>
      </c>
      <c r="B1146" s="30"/>
      <c r="C1146" s="30"/>
      <c r="D1146" s="30" t="s">
        <v>3459</v>
      </c>
      <c r="E1146" s="30" t="s">
        <v>2479</v>
      </c>
      <c r="F1146" s="34" t="str">
        <f>IFERROR(VLOOKUP(VENTAS[[#This Row],[Código del producto Vendido]],STOCK[],5,FALSE),"-")</f>
        <v>Sandalias finas strappy rojas de tacón</v>
      </c>
      <c r="G1146" s="34">
        <v>1</v>
      </c>
      <c r="H1146" s="35">
        <v>40</v>
      </c>
      <c r="I1146" s="35">
        <f>VENTAS[[#This Row],[Cantidad]]*VENTAS[[#This Row],[Precio Venta]]</f>
        <v>40</v>
      </c>
      <c r="J1146" s="35">
        <f>IF(VENTAS[[#This Row],[Nombre del Gestor]]&gt;1,VENTAS[[#This Row],[Total]]*10%,0)</f>
        <v>4</v>
      </c>
      <c r="K1146" s="35">
        <f>IFERROR(VLOOKUP(VENTAS[[#This Row],[Código del producto Vendido]],STOCK[],16,FALSE)*VENTAS[[#This Row],[Cantidad]]+VLOOKUP(VENTAS[[#This Row],[Código del producto Vendido]],STOCK[],19,FALSE)*VENTAS[[#This Row],[Cantidad]],VENTAS[[#This Row],[Total]])</f>
        <v>20.81925</v>
      </c>
      <c r="L1146" s="35">
        <f>VENTAS[[#This Row],[Total]]-VENTAS[[#This Row],[Comisión 10%]]-VENTAS[[#This Row],[Costo SIN Comision]]</f>
        <v>15.18075</v>
      </c>
      <c r="M1146" s="35"/>
    </row>
    <row r="1147" ht="20" customHeight="1" spans="1:13">
      <c r="A1147" s="29">
        <v>45507</v>
      </c>
      <c r="B1147" s="30"/>
      <c r="C1147" s="30"/>
      <c r="D1147" s="30" t="s">
        <v>3509</v>
      </c>
      <c r="E1147" s="30" t="s">
        <v>2463</v>
      </c>
      <c r="F1147" s="34" t="str">
        <f>IFERROR(VLOOKUP(VENTAS[[#This Row],[Código del producto Vendido]],STOCK[],5,FALSE),"-")</f>
        <v>Sandalias de plataforma en bloque de color</v>
      </c>
      <c r="G1147" s="34">
        <v>1</v>
      </c>
      <c r="H1147" s="35">
        <v>35</v>
      </c>
      <c r="I1147" s="35">
        <f>VENTAS[[#This Row],[Cantidad]]*VENTAS[[#This Row],[Precio Venta]]</f>
        <v>35</v>
      </c>
      <c r="J1147" s="35">
        <f>IF(VENTAS[[#This Row],[Nombre del Gestor]]&gt;1,VENTAS[[#This Row],[Total]]*10%,0)</f>
        <v>3.5</v>
      </c>
      <c r="K1147" s="35">
        <f>IFERROR(VLOOKUP(VENTAS[[#This Row],[Código del producto Vendido]],STOCK[],16,FALSE)*VENTAS[[#This Row],[Cantidad]]+VLOOKUP(VENTAS[[#This Row],[Código del producto Vendido]],STOCK[],19,FALSE)*VENTAS[[#This Row],[Cantidad]],VENTAS[[#This Row],[Total]])</f>
        <v>21.97</v>
      </c>
      <c r="L1147" s="35">
        <f>VENTAS[[#This Row],[Total]]-VENTAS[[#This Row],[Comisión 10%]]-VENTAS[[#This Row],[Costo SIN Comision]]</f>
        <v>9.53</v>
      </c>
      <c r="M1147" s="35"/>
    </row>
    <row r="1148" ht="20" customHeight="1" spans="1:13">
      <c r="A1148" s="29">
        <v>45506</v>
      </c>
      <c r="B1148" s="30"/>
      <c r="C1148" s="30"/>
      <c r="D1148" s="30" t="s">
        <v>3509</v>
      </c>
      <c r="E1148" s="30" t="s">
        <v>2474</v>
      </c>
      <c r="F1148" s="34" t="str">
        <f>IFERROR(VLOOKUP(VENTAS[[#This Row],[Código del producto Vendido]],STOCK[],5,FALSE),"-")</f>
        <v>Sandalias espadriles nude</v>
      </c>
      <c r="G1148" s="34">
        <v>1</v>
      </c>
      <c r="H1148" s="35">
        <v>45</v>
      </c>
      <c r="I1148" s="35">
        <f>VENTAS[[#This Row],[Cantidad]]*VENTAS[[#This Row],[Precio Venta]]</f>
        <v>45</v>
      </c>
      <c r="J1148" s="35">
        <f>IF(VENTAS[[#This Row],[Nombre del Gestor]]&gt;1,VENTAS[[#This Row],[Total]]*10%,0)</f>
        <v>4.5</v>
      </c>
      <c r="K1148" s="35">
        <f>IFERROR(VLOOKUP(VENTAS[[#This Row],[Código del producto Vendido]],STOCK[],16,FALSE)*VENTAS[[#This Row],[Cantidad]]+VLOOKUP(VENTAS[[#This Row],[Código del producto Vendido]],STOCK[],19,FALSE)*VENTAS[[#This Row],[Cantidad]],VENTAS[[#This Row],[Total]])</f>
        <v>31.9517</v>
      </c>
      <c r="L1148" s="35">
        <f>VENTAS[[#This Row],[Total]]-VENTAS[[#This Row],[Comisión 10%]]-VENTAS[[#This Row],[Costo SIN Comision]]</f>
        <v>8.5483</v>
      </c>
      <c r="M1148" s="35"/>
    </row>
    <row r="1149" ht="20" customHeight="1" spans="1:13">
      <c r="A1149" s="29">
        <v>45505</v>
      </c>
      <c r="B1149" s="30"/>
      <c r="C1149" s="30"/>
      <c r="D1149" s="30" t="s">
        <v>3509</v>
      </c>
      <c r="E1149" s="30" t="s">
        <v>1577</v>
      </c>
      <c r="F1149" s="34" t="str">
        <f>IFERROR(VLOOKUP(VENTAS[[#This Row],[Código del producto Vendido]],STOCK[],5,FALSE),"-")</f>
        <v>Sandalias de nudos</v>
      </c>
      <c r="G1149" s="34">
        <v>1</v>
      </c>
      <c r="H1149" s="35">
        <v>18</v>
      </c>
      <c r="I1149" s="35">
        <f>VENTAS[[#This Row],[Cantidad]]*VENTAS[[#This Row],[Precio Venta]]</f>
        <v>18</v>
      </c>
      <c r="J1149" s="35">
        <f>IF(VENTAS[[#This Row],[Nombre del Gestor]]&gt;1,VENTAS[[#This Row],[Total]]*10%,0)</f>
        <v>1.8</v>
      </c>
      <c r="K1149" s="35">
        <f>IFERROR(VLOOKUP(VENTAS[[#This Row],[Código del producto Vendido]],STOCK[],16,FALSE)*VENTAS[[#This Row],[Cantidad]]+VLOOKUP(VENTAS[[#This Row],[Código del producto Vendido]],STOCK[],19,FALSE)*VENTAS[[#This Row],[Cantidad]],VENTAS[[#This Row],[Total]])</f>
        <v>11</v>
      </c>
      <c r="L1149" s="35">
        <f>VENTAS[[#This Row],[Total]]-VENTAS[[#This Row],[Comisión 10%]]-VENTAS[[#This Row],[Costo SIN Comision]]</f>
        <v>5.2</v>
      </c>
      <c r="M1149" s="35"/>
    </row>
    <row r="1150" ht="20" customHeight="1" spans="1:13">
      <c r="A1150" s="29">
        <v>45507</v>
      </c>
      <c r="B1150" s="30"/>
      <c r="C1150" s="30" t="s">
        <v>3446</v>
      </c>
      <c r="D1150" s="30"/>
      <c r="E1150" s="30" t="s">
        <v>1573</v>
      </c>
      <c r="F1150" s="34" t="str">
        <f>IFERROR(VLOOKUP(VENTAS[[#This Row],[Código del producto Vendido]],STOCK[],5,FALSE),"-")</f>
        <v>Sandalias de nudos</v>
      </c>
      <c r="G1150" s="34">
        <v>1</v>
      </c>
      <c r="H1150" s="35">
        <v>18</v>
      </c>
      <c r="I1150" s="35">
        <f>VENTAS[[#This Row],[Cantidad]]*VENTAS[[#This Row],[Precio Venta]]</f>
        <v>18</v>
      </c>
      <c r="J1150" s="35">
        <f>IF(VENTAS[[#This Row],[Nombre del Gestor]]&gt;1,VENTAS[[#This Row],[Total]]*10%,0)</f>
        <v>0</v>
      </c>
      <c r="K1150" s="35">
        <f>IFERROR(VLOOKUP(VENTAS[[#This Row],[Código del producto Vendido]],STOCK[],16,FALSE)*VENTAS[[#This Row],[Cantidad]]+VLOOKUP(VENTAS[[#This Row],[Código del producto Vendido]],STOCK[],19,FALSE)*VENTAS[[#This Row],[Cantidad]],VENTAS[[#This Row],[Total]])</f>
        <v>11</v>
      </c>
      <c r="L1150" s="35">
        <f>VENTAS[[#This Row],[Total]]-VENTAS[[#This Row],[Comisión 10%]]-VENTAS[[#This Row],[Costo SIN Comision]]</f>
        <v>7</v>
      </c>
      <c r="M1150" s="35"/>
    </row>
    <row r="1151" ht="20" customHeight="1" spans="1:13">
      <c r="A1151" s="29">
        <v>45507</v>
      </c>
      <c r="B1151" s="30"/>
      <c r="C1151" s="30" t="s">
        <v>3538</v>
      </c>
      <c r="D1151" s="30" t="s">
        <v>3537</v>
      </c>
      <c r="E1151" s="30" t="s">
        <v>1578</v>
      </c>
      <c r="F1151" s="34" t="str">
        <f>IFERROR(VLOOKUP(VENTAS[[#This Row],[Código del producto Vendido]],STOCK[],5,FALSE),"-")</f>
        <v>Sandalias Pop </v>
      </c>
      <c r="G1151" s="34">
        <v>1</v>
      </c>
      <c r="H1151" s="35">
        <v>50</v>
      </c>
      <c r="I1151" s="35">
        <f>VENTAS[[#This Row],[Cantidad]]*VENTAS[[#This Row],[Precio Venta]]</f>
        <v>50</v>
      </c>
      <c r="J1151" s="35">
        <f>IF(VENTAS[[#This Row],[Nombre del Gestor]]&gt;1,VENTAS[[#This Row],[Total]]*10%,0)</f>
        <v>5</v>
      </c>
      <c r="K1151" s="35">
        <f>IFERROR(VLOOKUP(VENTAS[[#This Row],[Código del producto Vendido]],STOCK[],16,FALSE)*VENTAS[[#This Row],[Cantidad]]+VLOOKUP(VENTAS[[#This Row],[Código del producto Vendido]],STOCK[],19,FALSE)*VENTAS[[#This Row],[Cantidad]],VENTAS[[#This Row],[Total]])</f>
        <v>28</v>
      </c>
      <c r="L1151" s="35">
        <f>VENTAS[[#This Row],[Total]]-VENTAS[[#This Row],[Comisión 10%]]-VENTAS[[#This Row],[Costo SIN Comision]]</f>
        <v>17</v>
      </c>
      <c r="M1151" s="35"/>
    </row>
    <row r="1152" ht="20" customHeight="1" spans="1:13">
      <c r="A1152" s="29">
        <v>45505</v>
      </c>
      <c r="B1152" s="30"/>
      <c r="C1152" s="30" t="s">
        <v>3539</v>
      </c>
      <c r="D1152" s="30" t="s">
        <v>3448</v>
      </c>
      <c r="E1152" s="30" t="s">
        <v>1578</v>
      </c>
      <c r="F1152" s="34" t="str">
        <f>IFERROR(VLOOKUP(VENTAS[[#This Row],[Código del producto Vendido]],STOCK[],5,FALSE),"-")</f>
        <v>Sandalias Pop </v>
      </c>
      <c r="G1152" s="34">
        <v>1</v>
      </c>
      <c r="H1152" s="35">
        <v>50</v>
      </c>
      <c r="I1152" s="35">
        <f>VENTAS[[#This Row],[Cantidad]]*VENTAS[[#This Row],[Precio Venta]]</f>
        <v>50</v>
      </c>
      <c r="J1152" s="35">
        <f>IF(VENTAS[[#This Row],[Nombre del Gestor]]&gt;1,VENTAS[[#This Row],[Total]]*10%,0)</f>
        <v>5</v>
      </c>
      <c r="K1152" s="35">
        <f>IFERROR(VLOOKUP(VENTAS[[#This Row],[Código del producto Vendido]],STOCK[],16,FALSE)*VENTAS[[#This Row],[Cantidad]]+VLOOKUP(VENTAS[[#This Row],[Código del producto Vendido]],STOCK[],19,FALSE)*VENTAS[[#This Row],[Cantidad]],VENTAS[[#This Row],[Total]])</f>
        <v>28</v>
      </c>
      <c r="L1152" s="35">
        <f>VENTAS[[#This Row],[Total]]-VENTAS[[#This Row],[Comisión 10%]]-VENTAS[[#This Row],[Costo SIN Comision]]</f>
        <v>17</v>
      </c>
      <c r="M1152" s="35"/>
    </row>
    <row r="1153" ht="20" customHeight="1" spans="1:13">
      <c r="A1153" s="29">
        <v>45505</v>
      </c>
      <c r="B1153" s="30"/>
      <c r="C1153" s="30" t="s">
        <v>3446</v>
      </c>
      <c r="D1153" s="30"/>
      <c r="E1153" s="30" t="s">
        <v>1580</v>
      </c>
      <c r="F1153" s="34" t="str">
        <f>IFERROR(VLOOKUP(VENTAS[[#This Row],[Código del producto Vendido]],STOCK[],5,FALSE),"-")</f>
        <v>Sandalias Pop</v>
      </c>
      <c r="G1153" s="34">
        <v>1</v>
      </c>
      <c r="H1153" s="35">
        <v>0</v>
      </c>
      <c r="I1153" s="35">
        <f>VENTAS[[#This Row],[Cantidad]]*VENTAS[[#This Row],[Precio Venta]]</f>
        <v>0</v>
      </c>
      <c r="J1153" s="35">
        <f>IF(VENTAS[[#This Row],[Nombre del Gestor]]&gt;1,VENTAS[[#This Row],[Total]]*10%,0)</f>
        <v>0</v>
      </c>
      <c r="K1153" s="35">
        <f>IFERROR(VLOOKUP(VENTAS[[#This Row],[Código del producto Vendido]],STOCK[],16,FALSE)*VENTAS[[#This Row],[Cantidad]]+VLOOKUP(VENTAS[[#This Row],[Código del producto Vendido]],STOCK[],19,FALSE)*VENTAS[[#This Row],[Cantidad]],VENTAS[[#This Row],[Total]])</f>
        <v>28</v>
      </c>
      <c r="L1153" s="35">
        <f>VENTAS[[#This Row],[Total]]-VENTAS[[#This Row],[Comisión 10%]]-VENTAS[[#This Row],[Costo SIN Comision]]</f>
        <v>-28</v>
      </c>
      <c r="M1153" s="35"/>
    </row>
    <row r="1154" ht="20" customHeight="1" spans="1:13">
      <c r="A1154" s="29">
        <v>45506</v>
      </c>
      <c r="B1154" s="30"/>
      <c r="C1154" s="30" t="s">
        <v>3540</v>
      </c>
      <c r="D1154" s="30" t="s">
        <v>3448</v>
      </c>
      <c r="E1154" s="30" t="s">
        <v>2464</v>
      </c>
      <c r="F1154" s="34" t="str">
        <f>IFERROR(VLOOKUP(VENTAS[[#This Row],[Código del producto Vendido]],STOCK[],5,FALSE),"-")</f>
        <v>Sandalias de plataforma en bloque de color</v>
      </c>
      <c r="G1154" s="34">
        <v>1</v>
      </c>
      <c r="H1154" s="35">
        <v>35</v>
      </c>
      <c r="I1154" s="35">
        <f>VENTAS[[#This Row],[Cantidad]]*VENTAS[[#This Row],[Precio Venta]]</f>
        <v>35</v>
      </c>
      <c r="J1154" s="35">
        <f>IF(VENTAS[[#This Row],[Nombre del Gestor]]&gt;1,VENTAS[[#This Row],[Total]]*10%,0)</f>
        <v>3.5</v>
      </c>
      <c r="K1154" s="35">
        <f>IFERROR(VLOOKUP(VENTAS[[#This Row],[Código del producto Vendido]],STOCK[],16,FALSE)*VENTAS[[#This Row],[Cantidad]]+VLOOKUP(VENTAS[[#This Row],[Código del producto Vendido]],STOCK[],19,FALSE)*VENTAS[[#This Row],[Cantidad]],VENTAS[[#This Row],[Total]])</f>
        <v>21.97</v>
      </c>
      <c r="L1154" s="35">
        <f>VENTAS[[#This Row],[Total]]-VENTAS[[#This Row],[Comisión 10%]]-VENTAS[[#This Row],[Costo SIN Comision]]</f>
        <v>9.53</v>
      </c>
      <c r="M1154" s="35"/>
    </row>
    <row r="1155" ht="20" customHeight="1" spans="1:13">
      <c r="A1155" s="29">
        <v>45505</v>
      </c>
      <c r="B1155" s="30"/>
      <c r="C1155" s="30" t="s">
        <v>3541</v>
      </c>
      <c r="D1155" s="30" t="s">
        <v>3448</v>
      </c>
      <c r="E1155" s="30" t="s">
        <v>810</v>
      </c>
      <c r="F1155" s="34" t="str">
        <f>IFERROR(VLOOKUP(VENTAS[[#This Row],[Código del producto Vendido]],STOCK[],5,FALSE),"-")</f>
        <v>Vestido slip de espalda corrida</v>
      </c>
      <c r="G1155" s="34">
        <v>1</v>
      </c>
      <c r="H1155" s="35">
        <v>8</v>
      </c>
      <c r="I1155" s="35">
        <f>VENTAS[[#This Row],[Cantidad]]*VENTAS[[#This Row],[Precio Venta]]</f>
        <v>8</v>
      </c>
      <c r="J1155" s="35">
        <f>IF(VENTAS[[#This Row],[Nombre del Gestor]]&gt;1,VENTAS[[#This Row],[Total]]*10%,0)</f>
        <v>0.8</v>
      </c>
      <c r="K1155" s="35">
        <f>IFERROR(VLOOKUP(VENTAS[[#This Row],[Código del producto Vendido]],STOCK[],16,FALSE)*VENTAS[[#This Row],[Cantidad]]+VLOOKUP(VENTAS[[#This Row],[Código del producto Vendido]],STOCK[],19,FALSE)*VENTAS[[#This Row],[Cantidad]],VENTAS[[#This Row],[Total]])</f>
        <v>6.77777777777778</v>
      </c>
      <c r="L1155" s="35">
        <f>VENTAS[[#This Row],[Total]]-VENTAS[[#This Row],[Comisión 10%]]-VENTAS[[#This Row],[Costo SIN Comision]]</f>
        <v>0.42222222222222</v>
      </c>
      <c r="M1155" s="35"/>
    </row>
    <row r="1156" ht="20" customHeight="1" spans="1:13">
      <c r="A1156" s="29">
        <v>45505</v>
      </c>
      <c r="B1156" s="30"/>
      <c r="C1156" s="30" t="s">
        <v>3541</v>
      </c>
      <c r="D1156" s="30" t="s">
        <v>3448</v>
      </c>
      <c r="E1156" s="30" t="s">
        <v>647</v>
      </c>
      <c r="F1156" s="34" t="str">
        <f>IFERROR(VLOOKUP(VENTAS[[#This Row],[Código del producto Vendido]],STOCK[],5,FALSE),"-")</f>
        <v>Vestido con estampado jungla</v>
      </c>
      <c r="G1156" s="34">
        <v>1</v>
      </c>
      <c r="H1156" s="35">
        <v>13</v>
      </c>
      <c r="I1156" s="35">
        <f>VENTAS[[#This Row],[Cantidad]]*VENTAS[[#This Row],[Precio Venta]]</f>
        <v>13</v>
      </c>
      <c r="J1156" s="35">
        <f>IF(VENTAS[[#This Row],[Nombre del Gestor]]&gt;1,VENTAS[[#This Row],[Total]]*10%,0)</f>
        <v>1.3</v>
      </c>
      <c r="K1156" s="35">
        <f>IFERROR(VLOOKUP(VENTAS[[#This Row],[Código del producto Vendido]],STOCK[],16,FALSE)*VENTAS[[#This Row],[Cantidad]]+VLOOKUP(VENTAS[[#This Row],[Código del producto Vendido]],STOCK[],19,FALSE)*VENTAS[[#This Row],[Cantidad]],VENTAS[[#This Row],[Total]])</f>
        <v>10.7222222222222</v>
      </c>
      <c r="L1156" s="35">
        <f>VENTAS[[#This Row],[Total]]-VENTAS[[#This Row],[Comisión 10%]]-VENTAS[[#This Row],[Costo SIN Comision]]</f>
        <v>0.97777777777778</v>
      </c>
      <c r="M1156" s="35"/>
    </row>
    <row r="1157" ht="20" customHeight="1" spans="1:13">
      <c r="A1157" s="29">
        <v>45514</v>
      </c>
      <c r="B1157" s="30"/>
      <c r="C1157" s="30" t="s">
        <v>3542</v>
      </c>
      <c r="D1157" s="30" t="s">
        <v>3448</v>
      </c>
      <c r="E1157" s="30" t="s">
        <v>1860</v>
      </c>
      <c r="F1157" s="34" t="str">
        <f>IFERROR(VLOOKUP(VENTAS[[#This Row],[Código del producto Vendido]],STOCK[],5,FALSE),"-")</f>
        <v>Bolso Baguette Negro</v>
      </c>
      <c r="G1157" s="34">
        <v>1</v>
      </c>
      <c r="H1157" s="35">
        <v>25</v>
      </c>
      <c r="I1157" s="35">
        <f>VENTAS[[#This Row],[Cantidad]]*VENTAS[[#This Row],[Precio Venta]]</f>
        <v>25</v>
      </c>
      <c r="J1157" s="35">
        <f>IF(VENTAS[[#This Row],[Nombre del Gestor]]&gt;1,VENTAS[[#This Row],[Total]]*10%,0)</f>
        <v>2.5</v>
      </c>
      <c r="K1157" s="35">
        <f>IFERROR(VLOOKUP(VENTAS[[#This Row],[Código del producto Vendido]],STOCK[],16,FALSE)*VENTAS[[#This Row],[Cantidad]]+VLOOKUP(VENTAS[[#This Row],[Código del producto Vendido]],STOCK[],19,FALSE)*VENTAS[[#This Row],[Cantidad]],VENTAS[[#This Row],[Total]])</f>
        <v>15.79</v>
      </c>
      <c r="L1157" s="35">
        <f>VENTAS[[#This Row],[Total]]-VENTAS[[#This Row],[Comisión 10%]]-VENTAS[[#This Row],[Costo SIN Comision]]</f>
        <v>6.71</v>
      </c>
      <c r="M1157" s="35"/>
    </row>
    <row r="1158" ht="20" customHeight="1" spans="1:13">
      <c r="A1158" s="29">
        <v>45508</v>
      </c>
      <c r="B1158" s="30"/>
      <c r="C1158" s="30" t="s">
        <v>3535</v>
      </c>
      <c r="D1158" s="30"/>
      <c r="E1158" s="30" t="s">
        <v>2455</v>
      </c>
      <c r="F1158" s="34" t="str">
        <f>IFERROR(VLOOKUP(VENTAS[[#This Row],[Código del producto Vendido]],STOCK[],5,FALSE),"-")</f>
        <v>Sandalias prácticas Chunky Negras</v>
      </c>
      <c r="G1158" s="34">
        <v>1</v>
      </c>
      <c r="H1158" s="35">
        <v>35</v>
      </c>
      <c r="I1158" s="35">
        <f>VENTAS[[#This Row],[Cantidad]]*VENTAS[[#This Row],[Precio Venta]]</f>
        <v>35</v>
      </c>
      <c r="J1158" s="35">
        <f>IF(VENTAS[[#This Row],[Nombre del Gestor]]&gt;1,VENTAS[[#This Row],[Total]]*10%,0)</f>
        <v>0</v>
      </c>
      <c r="K1158" s="35">
        <f>IFERROR(VLOOKUP(VENTAS[[#This Row],[Código del producto Vendido]],STOCK[],16,FALSE)*VENTAS[[#This Row],[Cantidad]]+VLOOKUP(VENTAS[[#This Row],[Código del producto Vendido]],STOCK[],19,FALSE)*VENTAS[[#This Row],[Cantidad]],VENTAS[[#This Row],[Total]])</f>
        <v>21.97</v>
      </c>
      <c r="L1158" s="35">
        <f>VENTAS[[#This Row],[Total]]-VENTAS[[#This Row],[Comisión 10%]]-VENTAS[[#This Row],[Costo SIN Comision]]</f>
        <v>13.03</v>
      </c>
      <c r="M1158" s="35"/>
    </row>
    <row r="1159" ht="20" customHeight="1" spans="1:13">
      <c r="A1159" s="29">
        <v>45500</v>
      </c>
      <c r="B1159" s="30"/>
      <c r="C1159" s="30"/>
      <c r="D1159" s="30" t="s">
        <v>3503</v>
      </c>
      <c r="E1159" s="30" t="s">
        <v>2160</v>
      </c>
      <c r="F1159" s="34" t="str">
        <f>IFERROR(VLOOKUP(VENTAS[[#This Row],[Código del producto Vendido]],STOCK[],5,FALSE),"-")</f>
        <v>Bañador en color sólido sexy-elegante </v>
      </c>
      <c r="G1159" s="34">
        <v>1</v>
      </c>
      <c r="H1159" s="35">
        <v>20</v>
      </c>
      <c r="I1159" s="35">
        <f>VENTAS[[#This Row],[Cantidad]]*VENTAS[[#This Row],[Precio Venta]]</f>
        <v>20</v>
      </c>
      <c r="J1159" s="35">
        <f>IF(VENTAS[[#This Row],[Nombre del Gestor]]&gt;1,VENTAS[[#This Row],[Total]]*10%,0)</f>
        <v>2</v>
      </c>
      <c r="K1159" s="35">
        <f>IFERROR(VLOOKUP(VENTAS[[#This Row],[Código del producto Vendido]],STOCK[],16,FALSE)*VENTAS[[#This Row],[Cantidad]]+VLOOKUP(VENTAS[[#This Row],[Código del producto Vendido]],STOCK[],19,FALSE)*VENTAS[[#This Row],[Cantidad]],VENTAS[[#This Row],[Total]])</f>
        <v>8.24</v>
      </c>
      <c r="L1159" s="35">
        <f>VENTAS[[#This Row],[Total]]-VENTAS[[#This Row],[Comisión 10%]]-VENTAS[[#This Row],[Costo SIN Comision]]</f>
        <v>9.76</v>
      </c>
      <c r="M1159" s="35"/>
    </row>
    <row r="1160" ht="20" customHeight="1" spans="1:13">
      <c r="A1160" s="29">
        <v>45502</v>
      </c>
      <c r="B1160" s="30"/>
      <c r="C1160" s="30"/>
      <c r="D1160" s="30" t="s">
        <v>3503</v>
      </c>
      <c r="E1160" s="30" t="s">
        <v>2240</v>
      </c>
      <c r="F1160" s="34" t="str">
        <f>IFERROR(VLOOKUP(VENTAS[[#This Row],[Código del producto Vendido]],STOCK[],5,FALSE),"-")</f>
        <v>Set de traje de baño elegante 2 piezas con adorno en forma de V</v>
      </c>
      <c r="G1160" s="34">
        <v>1</v>
      </c>
      <c r="H1160" s="35">
        <v>25</v>
      </c>
      <c r="I1160" s="35">
        <f>VENTAS[[#This Row],[Cantidad]]*VENTAS[[#This Row],[Precio Venta]]</f>
        <v>25</v>
      </c>
      <c r="J1160" s="35">
        <f>IF(VENTAS[[#This Row],[Nombre del Gestor]]&gt;1,VENTAS[[#This Row],[Total]]*10%,0)</f>
        <v>2.5</v>
      </c>
      <c r="K1160" s="35">
        <f>IFERROR(VLOOKUP(VENTAS[[#This Row],[Código del producto Vendido]],STOCK[],16,FALSE)*VENTAS[[#This Row],[Cantidad]]+VLOOKUP(VENTAS[[#This Row],[Código del producto Vendido]],STOCK[],19,FALSE)*VENTAS[[#This Row],[Cantidad]],VENTAS[[#This Row],[Total]])</f>
        <v>10.79</v>
      </c>
      <c r="L1160" s="35">
        <f>VENTAS[[#This Row],[Total]]-VENTAS[[#This Row],[Comisión 10%]]-VENTAS[[#This Row],[Costo SIN Comision]]</f>
        <v>11.71</v>
      </c>
      <c r="M1160" s="35"/>
    </row>
    <row r="1161" ht="20" customHeight="1" spans="1:13">
      <c r="A1161" s="29">
        <v>45503</v>
      </c>
      <c r="B1161" s="30"/>
      <c r="C1161" s="30"/>
      <c r="D1161" s="30" t="s">
        <v>3503</v>
      </c>
      <c r="E1161" s="30" t="s">
        <v>2240</v>
      </c>
      <c r="F1161" s="34" t="str">
        <f>IFERROR(VLOOKUP(VENTAS[[#This Row],[Código del producto Vendido]],STOCK[],5,FALSE),"-")</f>
        <v>Set de traje de baño elegante 2 piezas con adorno en forma de V</v>
      </c>
      <c r="G1161" s="34">
        <v>1</v>
      </c>
      <c r="H1161" s="35">
        <v>25</v>
      </c>
      <c r="I1161" s="35">
        <f>VENTAS[[#This Row],[Cantidad]]*VENTAS[[#This Row],[Precio Venta]]</f>
        <v>25</v>
      </c>
      <c r="J1161" s="35">
        <f>IF(VENTAS[[#This Row],[Nombre del Gestor]]&gt;1,VENTAS[[#This Row],[Total]]*10%,0)</f>
        <v>2.5</v>
      </c>
      <c r="K1161" s="35">
        <f>IFERROR(VLOOKUP(VENTAS[[#This Row],[Código del producto Vendido]],STOCK[],16,FALSE)*VENTAS[[#This Row],[Cantidad]]+VLOOKUP(VENTAS[[#This Row],[Código del producto Vendido]],STOCK[],19,FALSE)*VENTAS[[#This Row],[Cantidad]],VENTAS[[#This Row],[Total]])</f>
        <v>10.79</v>
      </c>
      <c r="L1161" s="35">
        <f>VENTAS[[#This Row],[Total]]-VENTAS[[#This Row],[Comisión 10%]]-VENTAS[[#This Row],[Costo SIN Comision]]</f>
        <v>11.71</v>
      </c>
      <c r="M1161" s="35"/>
    </row>
    <row r="1162" ht="20" customHeight="1" spans="1:13">
      <c r="A1162" s="29">
        <v>45507</v>
      </c>
      <c r="B1162" s="30"/>
      <c r="C1162" s="30"/>
      <c r="D1162" s="30" t="s">
        <v>3503</v>
      </c>
      <c r="E1162" s="30" t="s">
        <v>1907</v>
      </c>
      <c r="F1162" s="34" t="str">
        <f>IFERROR(VLOOKUP(VENTAS[[#This Row],[Código del producto Vendido]],STOCK[],5,FALSE),"-")</f>
        <v>Gafas de Sol Retro Blanco</v>
      </c>
      <c r="G1162" s="34">
        <v>1</v>
      </c>
      <c r="H1162" s="35">
        <v>8</v>
      </c>
      <c r="I1162" s="35">
        <f>VENTAS[[#This Row],[Cantidad]]*VENTAS[[#This Row],[Precio Venta]]</f>
        <v>8</v>
      </c>
      <c r="J1162" s="35">
        <f>IF(VENTAS[[#This Row],[Nombre del Gestor]]&gt;1,VENTAS[[#This Row],[Total]]*10%,0)</f>
        <v>0.8</v>
      </c>
      <c r="K1162" s="35">
        <f>IFERROR(VLOOKUP(VENTAS[[#This Row],[Código del producto Vendido]],STOCK[],16,FALSE)*VENTAS[[#This Row],[Cantidad]]+VLOOKUP(VENTAS[[#This Row],[Código del producto Vendido]],STOCK[],19,FALSE)*VENTAS[[#This Row],[Cantidad]],VENTAS[[#This Row],[Total]])</f>
        <v>4.45</v>
      </c>
      <c r="L1162" s="35">
        <f>VENTAS[[#This Row],[Total]]-VENTAS[[#This Row],[Comisión 10%]]-VENTAS[[#This Row],[Costo SIN Comision]]</f>
        <v>2.75</v>
      </c>
      <c r="M1162" s="35"/>
    </row>
    <row r="1163" ht="20" customHeight="1" spans="1:13">
      <c r="A1163" s="29">
        <v>45507</v>
      </c>
      <c r="B1163" s="30"/>
      <c r="C1163" s="30"/>
      <c r="D1163" s="30" t="s">
        <v>3503</v>
      </c>
      <c r="E1163" s="30" t="s">
        <v>808</v>
      </c>
      <c r="F1163" s="34" t="str">
        <f>IFERROR(VLOOKUP(VENTAS[[#This Row],[Código del producto Vendido]],STOCK[],5,FALSE),"-")</f>
        <v>Bañador estampado en contraste</v>
      </c>
      <c r="G1163" s="34">
        <v>1</v>
      </c>
      <c r="H1163" s="35">
        <v>12</v>
      </c>
      <c r="I1163" s="35">
        <f>VENTAS[[#This Row],[Cantidad]]*VENTAS[[#This Row],[Precio Venta]]</f>
        <v>12</v>
      </c>
      <c r="J1163" s="35">
        <f>IF(VENTAS[[#This Row],[Nombre del Gestor]]&gt;1,VENTAS[[#This Row],[Total]]*10%,0)</f>
        <v>1.2</v>
      </c>
      <c r="K1163" s="35">
        <f>IFERROR(VLOOKUP(VENTAS[[#This Row],[Código del producto Vendido]],STOCK[],16,FALSE)*VENTAS[[#This Row],[Cantidad]]+VLOOKUP(VENTAS[[#This Row],[Código del producto Vendido]],STOCK[],19,FALSE)*VENTAS[[#This Row],[Cantidad]],VENTAS[[#This Row],[Total]])</f>
        <v>7.83333333333333</v>
      </c>
      <c r="L1163" s="35">
        <f>VENTAS[[#This Row],[Total]]-VENTAS[[#This Row],[Comisión 10%]]-VENTAS[[#This Row],[Costo SIN Comision]]</f>
        <v>2.96666666666667</v>
      </c>
      <c r="M1163" s="35"/>
    </row>
    <row r="1164" ht="20" customHeight="1" spans="1:13">
      <c r="A1164" s="29">
        <v>45507</v>
      </c>
      <c r="B1164" s="30"/>
      <c r="C1164" s="30"/>
      <c r="D1164" s="30" t="s">
        <v>3503</v>
      </c>
      <c r="E1164" s="30" t="s">
        <v>2200</v>
      </c>
      <c r="F1164" s="34" t="str">
        <f>IFERROR(VLOOKUP(VENTAS[[#This Row],[Código del producto Vendido]],STOCK[],5,FALSE),"-")</f>
        <v>Vestido Boho de cuello healter</v>
      </c>
      <c r="G1164" s="34">
        <v>1</v>
      </c>
      <c r="H1164" s="35">
        <v>25</v>
      </c>
      <c r="I1164" s="35">
        <f>VENTAS[[#This Row],[Cantidad]]*VENTAS[[#This Row],[Precio Venta]]</f>
        <v>25</v>
      </c>
      <c r="J1164" s="35">
        <f>IF(VENTAS[[#This Row],[Nombre del Gestor]]&gt;1,VENTAS[[#This Row],[Total]]*10%,0)</f>
        <v>2.5</v>
      </c>
      <c r="K1164" s="35">
        <f>IFERROR(VLOOKUP(VENTAS[[#This Row],[Código del producto Vendido]],STOCK[],16,FALSE)*VENTAS[[#This Row],[Cantidad]]+VLOOKUP(VENTAS[[#This Row],[Código del producto Vendido]],STOCK[],19,FALSE)*VENTAS[[#This Row],[Cantidad]],VENTAS[[#This Row],[Total]])</f>
        <v>14.99</v>
      </c>
      <c r="L1164" s="35">
        <f>VENTAS[[#This Row],[Total]]-VENTAS[[#This Row],[Comisión 10%]]-VENTAS[[#This Row],[Costo SIN Comision]]</f>
        <v>7.51</v>
      </c>
      <c r="M1164" s="35"/>
    </row>
    <row r="1165" ht="20" customHeight="1" spans="1:13">
      <c r="A1165" s="29">
        <v>45502</v>
      </c>
      <c r="B1165" s="30"/>
      <c r="C1165" s="30"/>
      <c r="D1165" s="30" t="s">
        <v>3503</v>
      </c>
      <c r="E1165" s="30" t="s">
        <v>410</v>
      </c>
      <c r="F1165" s="34" t="str">
        <f>IFERROR(VLOOKUP(VENTAS[[#This Row],[Código del producto Vendido]],STOCK[],5,FALSE),"-")</f>
        <v>Bikini Floral</v>
      </c>
      <c r="G1165" s="34">
        <v>1</v>
      </c>
      <c r="H1165" s="35">
        <v>25</v>
      </c>
      <c r="I1165" s="35">
        <f>VENTAS[[#This Row],[Cantidad]]*VENTAS[[#This Row],[Precio Venta]]</f>
        <v>25</v>
      </c>
      <c r="J1165" s="35">
        <f>IF(VENTAS[[#This Row],[Nombre del Gestor]]&gt;1,VENTAS[[#This Row],[Total]]*10%,0)</f>
        <v>2.5</v>
      </c>
      <c r="K1165" s="35">
        <f>IFERROR(VLOOKUP(VENTAS[[#This Row],[Código del producto Vendido]],STOCK[],16,FALSE)*VENTAS[[#This Row],[Cantidad]]+VLOOKUP(VENTAS[[#This Row],[Código del producto Vendido]],STOCK[],19,FALSE)*VENTAS[[#This Row],[Cantidad]],VENTAS[[#This Row],[Total]])</f>
        <v>13.9444444444444</v>
      </c>
      <c r="L1165" s="35">
        <f>VENTAS[[#This Row],[Total]]-VENTAS[[#This Row],[Comisión 10%]]-VENTAS[[#This Row],[Costo SIN Comision]]</f>
        <v>8.5555555555556</v>
      </c>
      <c r="M1165" s="35"/>
    </row>
    <row r="1166" ht="20" customHeight="1" spans="1:13">
      <c r="A1166" s="29">
        <v>45504</v>
      </c>
      <c r="B1166" s="30"/>
      <c r="C1166" s="30"/>
      <c r="D1166" s="30" t="s">
        <v>3478</v>
      </c>
      <c r="E1166" s="30" t="s">
        <v>2394</v>
      </c>
      <c r="F1166" s="34" t="str">
        <f>IFERROR(VLOOKUP(VENTAS[[#This Row],[Código del producto Vendido]],STOCK[],5,FALSE),"-")</f>
        <v>Sandalias de tiras con tacón cuadrado</v>
      </c>
      <c r="G1166" s="34">
        <v>1</v>
      </c>
      <c r="H1166" s="35">
        <v>35</v>
      </c>
      <c r="I1166" s="35">
        <f>VENTAS[[#This Row],[Cantidad]]*VENTAS[[#This Row],[Precio Venta]]</f>
        <v>35</v>
      </c>
      <c r="J1166" s="35">
        <f>IF(VENTAS[[#This Row],[Nombre del Gestor]]&gt;1,VENTAS[[#This Row],[Total]]*10%,0)</f>
        <v>3.5</v>
      </c>
      <c r="K1166" s="35">
        <f>IFERROR(VLOOKUP(VENTAS[[#This Row],[Código del producto Vendido]],STOCK[],16,FALSE)*VENTAS[[#This Row],[Cantidad]]+VLOOKUP(VENTAS[[#This Row],[Código del producto Vendido]],STOCK[],19,FALSE)*VENTAS[[#This Row],[Cantidad]],VENTAS[[#This Row],[Total]])</f>
        <v>17.2520211515864</v>
      </c>
      <c r="L1166" s="35">
        <f>VENTAS[[#This Row],[Total]]-VENTAS[[#This Row],[Comisión 10%]]-VENTAS[[#This Row],[Costo SIN Comision]]</f>
        <v>14.2479788484136</v>
      </c>
      <c r="M1166" s="35"/>
    </row>
    <row r="1167" ht="20" customHeight="1" spans="1:13">
      <c r="A1167" s="29">
        <v>45504</v>
      </c>
      <c r="B1167" s="30"/>
      <c r="C1167" s="30"/>
      <c r="D1167" s="30" t="s">
        <v>3509</v>
      </c>
      <c r="E1167" s="30" t="s">
        <v>2472</v>
      </c>
      <c r="F1167" s="34" t="str">
        <f>IFERROR(VLOOKUP(VENTAS[[#This Row],[Código del producto Vendido]],STOCK[],5,FALSE),"-")</f>
        <v>Sandalias espadriles nude</v>
      </c>
      <c r="G1167" s="34">
        <v>1</v>
      </c>
      <c r="H1167" s="35">
        <v>45</v>
      </c>
      <c r="I1167" s="35">
        <f>VENTAS[[#This Row],[Cantidad]]*VENTAS[[#This Row],[Precio Venta]]</f>
        <v>45</v>
      </c>
      <c r="J1167" s="35">
        <f>IF(VENTAS[[#This Row],[Nombre del Gestor]]&gt;1,VENTAS[[#This Row],[Total]]*10%,0)</f>
        <v>4.5</v>
      </c>
      <c r="K1167" s="35">
        <f>IFERROR(VLOOKUP(VENTAS[[#This Row],[Código del producto Vendido]],STOCK[],16,FALSE)*VENTAS[[#This Row],[Cantidad]]+VLOOKUP(VENTAS[[#This Row],[Código del producto Vendido]],STOCK[],19,FALSE)*VENTAS[[#This Row],[Cantidad]],VENTAS[[#This Row],[Total]])</f>
        <v>31.9517</v>
      </c>
      <c r="L1167" s="35">
        <f>VENTAS[[#This Row],[Total]]-VENTAS[[#This Row],[Comisión 10%]]-VENTAS[[#This Row],[Costo SIN Comision]]</f>
        <v>8.5483</v>
      </c>
      <c r="M1167" s="35"/>
    </row>
    <row r="1168" ht="20" customHeight="1" spans="1:13">
      <c r="A1168" s="29">
        <v>45507</v>
      </c>
      <c r="B1168" s="30"/>
      <c r="C1168" s="30"/>
      <c r="D1168" s="30" t="s">
        <v>3521</v>
      </c>
      <c r="E1168" s="30" t="s">
        <v>2454</v>
      </c>
      <c r="F1168" s="34" t="str">
        <f>IFERROR(VLOOKUP(VENTAS[[#This Row],[Código del producto Vendido]],STOCK[],5,FALSE),"-")</f>
        <v>Sandalias prácticas Chunky Negras</v>
      </c>
      <c r="G1168" s="34">
        <v>1</v>
      </c>
      <c r="H1168" s="35">
        <v>35</v>
      </c>
      <c r="I1168" s="35">
        <f>VENTAS[[#This Row],[Cantidad]]*VENTAS[[#This Row],[Precio Venta]]</f>
        <v>35</v>
      </c>
      <c r="J1168" s="35">
        <f>IF(VENTAS[[#This Row],[Nombre del Gestor]]&gt;1,VENTAS[[#This Row],[Total]]*10%,0)</f>
        <v>3.5</v>
      </c>
      <c r="K1168" s="35">
        <f>IFERROR(VLOOKUP(VENTAS[[#This Row],[Código del producto Vendido]],STOCK[],16,FALSE)*VENTAS[[#This Row],[Cantidad]]+VLOOKUP(VENTAS[[#This Row],[Código del producto Vendido]],STOCK[],19,FALSE)*VENTAS[[#This Row],[Cantidad]],VENTAS[[#This Row],[Total]])</f>
        <v>21.97</v>
      </c>
      <c r="L1168" s="35">
        <f>VENTAS[[#This Row],[Total]]-VENTAS[[#This Row],[Comisión 10%]]-VENTAS[[#This Row],[Costo SIN Comision]]</f>
        <v>9.53</v>
      </c>
      <c r="M1168" s="35"/>
    </row>
    <row r="1169" ht="20" customHeight="1" spans="1:13">
      <c r="A1169" s="29">
        <v>45500</v>
      </c>
      <c r="B1169" s="30"/>
      <c r="C1169" s="30"/>
      <c r="D1169" s="30" t="s">
        <v>3459</v>
      </c>
      <c r="E1169" s="30" t="s">
        <v>596</v>
      </c>
      <c r="F1169" s="34" t="str">
        <f>IFERROR(VLOOKUP(VENTAS[[#This Row],[Código del producto Vendido]],STOCK[],5,FALSE),"-")</f>
        <v>Top cruzado naranja</v>
      </c>
      <c r="G1169" s="34">
        <v>1</v>
      </c>
      <c r="H1169" s="35">
        <v>8</v>
      </c>
      <c r="I1169" s="35">
        <f>VENTAS[[#This Row],[Cantidad]]*VENTAS[[#This Row],[Precio Venta]]</f>
        <v>8</v>
      </c>
      <c r="J1169" s="35">
        <f>IF(VENTAS[[#This Row],[Nombre del Gestor]]&gt;1,VENTAS[[#This Row],[Total]]*10%,0)</f>
        <v>0.8</v>
      </c>
      <c r="K1169" s="35">
        <f>IFERROR(VLOOKUP(VENTAS[[#This Row],[Código del producto Vendido]],STOCK[],16,FALSE)*VENTAS[[#This Row],[Cantidad]]+VLOOKUP(VENTAS[[#This Row],[Código del producto Vendido]],STOCK[],19,FALSE)*VENTAS[[#This Row],[Cantidad]],VENTAS[[#This Row],[Total]])</f>
        <v>5.06833333333333</v>
      </c>
      <c r="L1169" s="35">
        <f>VENTAS[[#This Row],[Total]]-VENTAS[[#This Row],[Comisión 10%]]-VENTAS[[#This Row],[Costo SIN Comision]]</f>
        <v>2.13166666666667</v>
      </c>
      <c r="M1169" s="35"/>
    </row>
    <row r="1170" ht="20" customHeight="1" spans="1:13">
      <c r="A1170" s="29">
        <v>45500</v>
      </c>
      <c r="B1170" s="30"/>
      <c r="C1170" s="30"/>
      <c r="D1170" s="30" t="s">
        <v>3459</v>
      </c>
      <c r="E1170" s="30" t="s">
        <v>663</v>
      </c>
      <c r="F1170" s="34" t="str">
        <f>IFERROR(VLOOKUP(VENTAS[[#This Row],[Código del producto Vendido]],STOCK[],5,FALSE),"-")</f>
        <v>Top Cruzado negro</v>
      </c>
      <c r="G1170" s="34">
        <v>1</v>
      </c>
      <c r="H1170" s="35">
        <v>8</v>
      </c>
      <c r="I1170" s="35">
        <f>VENTAS[[#This Row],[Cantidad]]*VENTAS[[#This Row],[Precio Venta]]</f>
        <v>8</v>
      </c>
      <c r="J1170" s="35">
        <f>IF(VENTAS[[#This Row],[Nombre del Gestor]]&gt;1,VENTAS[[#This Row],[Total]]*10%,0)</f>
        <v>0.8</v>
      </c>
      <c r="K1170" s="35">
        <f>IFERROR(VLOOKUP(VENTAS[[#This Row],[Código del producto Vendido]],STOCK[],16,FALSE)*VENTAS[[#This Row],[Cantidad]]+VLOOKUP(VENTAS[[#This Row],[Código del producto Vendido]],STOCK[],19,FALSE)*VENTAS[[#This Row],[Cantidad]],VENTAS[[#This Row],[Total]])</f>
        <v>4.90166666666667</v>
      </c>
      <c r="L1170" s="35">
        <f>VENTAS[[#This Row],[Total]]-VENTAS[[#This Row],[Comisión 10%]]-VENTAS[[#This Row],[Costo SIN Comision]]</f>
        <v>2.29833333333333</v>
      </c>
      <c r="M1170" s="35"/>
    </row>
    <row r="1171" ht="20" customHeight="1" spans="1:13">
      <c r="A1171" s="29">
        <v>45511</v>
      </c>
      <c r="B1171" s="30"/>
      <c r="C1171" s="30" t="s">
        <v>3543</v>
      </c>
      <c r="D1171" s="30"/>
      <c r="E1171" s="30" t="s">
        <v>2463</v>
      </c>
      <c r="F1171" s="34" t="str">
        <f>IFERROR(VLOOKUP(VENTAS[[#This Row],[Código del producto Vendido]],STOCK[],5,FALSE),"-")</f>
        <v>Sandalias de plataforma en bloque de color</v>
      </c>
      <c r="G1171" s="34">
        <v>1</v>
      </c>
      <c r="H1171" s="35">
        <v>0</v>
      </c>
      <c r="I1171" s="35">
        <f>VENTAS[[#This Row],[Cantidad]]*VENTAS[[#This Row],[Precio Venta]]</f>
        <v>0</v>
      </c>
      <c r="J1171" s="35">
        <f>IF(VENTAS[[#This Row],[Nombre del Gestor]]&gt;1,VENTAS[[#This Row],[Total]]*10%,0)</f>
        <v>0</v>
      </c>
      <c r="K1171" s="35">
        <f>IFERROR(VLOOKUP(VENTAS[[#This Row],[Código del producto Vendido]],STOCK[],16,FALSE)*VENTAS[[#This Row],[Cantidad]]+VLOOKUP(VENTAS[[#This Row],[Código del producto Vendido]],STOCK[],19,FALSE)*VENTAS[[#This Row],[Cantidad]],VENTAS[[#This Row],[Total]])</f>
        <v>21.97</v>
      </c>
      <c r="L1171" s="35">
        <f>VENTAS[[#This Row],[Total]]-VENTAS[[#This Row],[Comisión 10%]]-VENTAS[[#This Row],[Costo SIN Comision]]</f>
        <v>-21.97</v>
      </c>
      <c r="M1171" s="35"/>
    </row>
    <row r="1172" ht="20" customHeight="1" spans="1:13">
      <c r="A1172" s="29">
        <v>45446</v>
      </c>
      <c r="B1172" s="30"/>
      <c r="C1172" s="30"/>
      <c r="D1172" s="30"/>
      <c r="E1172" s="30" t="s">
        <v>1823</v>
      </c>
      <c r="F1172" s="34" t="str">
        <f>IFERROR(VLOOKUP(VENTAS[[#This Row],[Código del producto Vendido]],STOCK[],5,FALSE),"-")</f>
        <v>Vestido Midi Elegante</v>
      </c>
      <c r="G1172" s="34">
        <v>1</v>
      </c>
      <c r="H1172" s="35">
        <v>22</v>
      </c>
      <c r="I1172" s="35">
        <f>VENTAS[[#This Row],[Cantidad]]*VENTAS[[#This Row],[Precio Venta]]</f>
        <v>22</v>
      </c>
      <c r="J1172" s="35">
        <f>IF(VENTAS[[#This Row],[Nombre del Gestor]]&gt;1,VENTAS[[#This Row],[Total]]*10%,0)</f>
        <v>0</v>
      </c>
      <c r="K1172" s="35">
        <f>IFERROR(VLOOKUP(VENTAS[[#This Row],[Código del producto Vendido]],STOCK[],16,FALSE)*VENTAS[[#This Row],[Cantidad]]+VLOOKUP(VENTAS[[#This Row],[Código del producto Vendido]],STOCK[],19,FALSE)*VENTAS[[#This Row],[Cantidad]],VENTAS[[#This Row],[Total]])</f>
        <v>10.79</v>
      </c>
      <c r="L1172" s="35">
        <f>VENTAS[[#This Row],[Total]]-VENTAS[[#This Row],[Comisión 10%]]-VENTAS[[#This Row],[Costo SIN Comision]]</f>
        <v>11.21</v>
      </c>
      <c r="M1172" s="35"/>
    </row>
    <row r="1173" ht="20" customHeight="1" spans="1:13">
      <c r="A1173" s="29">
        <v>45491</v>
      </c>
      <c r="B1173" s="30"/>
      <c r="C1173" s="30"/>
      <c r="D1173" s="30" t="s">
        <v>3478</v>
      </c>
      <c r="E1173" s="30" t="s">
        <v>1841</v>
      </c>
      <c r="F1173" s="34" t="str">
        <f>IFERROR(VLOOKUP(VENTAS[[#This Row],[Código del producto Vendido]],STOCK[],5,FALSE),"-")</f>
        <v>Maxi Vestido Bodycon </v>
      </c>
      <c r="G1173" s="34">
        <v>1</v>
      </c>
      <c r="H1173" s="35">
        <v>13</v>
      </c>
      <c r="I1173" s="35">
        <f>VENTAS[[#This Row],[Cantidad]]*VENTAS[[#This Row],[Precio Venta]]</f>
        <v>13</v>
      </c>
      <c r="J1173" s="35">
        <f>IF(VENTAS[[#This Row],[Nombre del Gestor]]&gt;1,VENTAS[[#This Row],[Total]]*10%,0)</f>
        <v>1.3</v>
      </c>
      <c r="K1173" s="35">
        <f>IFERROR(VLOOKUP(VENTAS[[#This Row],[Código del producto Vendido]],STOCK[],16,FALSE)*VENTAS[[#This Row],[Cantidad]]+VLOOKUP(VENTAS[[#This Row],[Código del producto Vendido]],STOCK[],19,FALSE)*VENTAS[[#This Row],[Cantidad]],VENTAS[[#This Row],[Total]])</f>
        <v>11.79</v>
      </c>
      <c r="L1173" s="35">
        <f>VENTAS[[#This Row],[Total]]-VENTAS[[#This Row],[Comisión 10%]]-VENTAS[[#This Row],[Costo SIN Comision]]</f>
        <v>-0.0900000000000016</v>
      </c>
      <c r="M1173" s="35"/>
    </row>
    <row r="1174" ht="20" customHeight="1" spans="1:13">
      <c r="A1174" s="29">
        <v>45491</v>
      </c>
      <c r="B1174" s="30"/>
      <c r="C1174" s="30"/>
      <c r="D1174" s="30" t="s">
        <v>3503</v>
      </c>
      <c r="E1174" s="30" t="s">
        <v>2130</v>
      </c>
      <c r="F1174" s="34" t="str">
        <f>IFERROR(VLOOKUP(VENTAS[[#This Row],[Código del producto Vendido]],STOCK[],5,FALSE),"-")</f>
        <v>Set Chic de conjunto de 2 piezas </v>
      </c>
      <c r="G1174" s="34">
        <v>1</v>
      </c>
      <c r="H1174" s="35">
        <v>25</v>
      </c>
      <c r="I1174" s="35">
        <f>VENTAS[[#This Row],[Cantidad]]*VENTAS[[#This Row],[Precio Venta]]</f>
        <v>25</v>
      </c>
      <c r="J1174" s="35">
        <f>IF(VENTAS[[#This Row],[Nombre del Gestor]]&gt;1,VENTAS[[#This Row],[Total]]*10%,0)</f>
        <v>2.5</v>
      </c>
      <c r="K1174" s="35">
        <f>IFERROR(VLOOKUP(VENTAS[[#This Row],[Código del producto Vendido]],STOCK[],16,FALSE)*VENTAS[[#This Row],[Cantidad]]+VLOOKUP(VENTAS[[#This Row],[Código del producto Vendido]],STOCK[],19,FALSE)*VENTAS[[#This Row],[Cantidad]],VENTAS[[#This Row],[Total]])</f>
        <v>11.79</v>
      </c>
      <c r="L1174" s="35">
        <f>VENTAS[[#This Row],[Total]]-VENTAS[[#This Row],[Comisión 10%]]-VENTAS[[#This Row],[Costo SIN Comision]]</f>
        <v>10.71</v>
      </c>
      <c r="M1174" s="35"/>
    </row>
    <row r="1175" ht="20" customHeight="1" spans="1:13">
      <c r="A1175" s="29">
        <v>45491</v>
      </c>
      <c r="B1175" s="30"/>
      <c r="C1175" s="30"/>
      <c r="D1175" s="30" t="s">
        <v>3503</v>
      </c>
      <c r="E1175" s="30" t="s">
        <v>2427</v>
      </c>
      <c r="F1175" s="34" t="str">
        <f>IFERROR(VLOOKUP(VENTAS[[#This Row],[Código del producto Vendido]],STOCK[],5,FALSE),"-")</f>
        <v>Pantalón ancho con cordón ajustable</v>
      </c>
      <c r="G1175" s="34">
        <v>1</v>
      </c>
      <c r="H1175" s="35">
        <v>23</v>
      </c>
      <c r="I1175" s="35">
        <f>VENTAS[[#This Row],[Cantidad]]*VENTAS[[#This Row],[Precio Venta]]</f>
        <v>23</v>
      </c>
      <c r="J1175" s="35">
        <f>IF(VENTAS[[#This Row],[Nombre del Gestor]]&gt;1,VENTAS[[#This Row],[Total]]*10%,0)</f>
        <v>2.3</v>
      </c>
      <c r="K1175" s="35">
        <f>IFERROR(VLOOKUP(VENTAS[[#This Row],[Código del producto Vendido]],STOCK[],16,FALSE)*VENTAS[[#This Row],[Cantidad]]+VLOOKUP(VENTAS[[#This Row],[Código del producto Vendido]],STOCK[],19,FALSE)*VENTAS[[#This Row],[Cantidad]],VENTAS[[#This Row],[Total]])</f>
        <v>11.4353349001175</v>
      </c>
      <c r="L1175" s="35">
        <f>VENTAS[[#This Row],[Total]]-VENTAS[[#This Row],[Comisión 10%]]-VENTAS[[#This Row],[Costo SIN Comision]]</f>
        <v>9.26466509988249</v>
      </c>
      <c r="M1175" s="35"/>
    </row>
    <row r="1176" ht="20" customHeight="1" spans="1:13">
      <c r="A1176" s="29">
        <v>45491</v>
      </c>
      <c r="B1176" s="30"/>
      <c r="C1176" s="30"/>
      <c r="D1176" s="30" t="s">
        <v>3503</v>
      </c>
      <c r="E1176" s="30" t="s">
        <v>586</v>
      </c>
      <c r="F1176" s="34" t="str">
        <f>IFERROR(VLOOKUP(VENTAS[[#This Row],[Código del producto Vendido]],STOCK[],5,FALSE),"-")</f>
        <v>Top cruzado blanco</v>
      </c>
      <c r="G1176" s="34">
        <v>2</v>
      </c>
      <c r="H1176" s="35">
        <v>8</v>
      </c>
      <c r="I1176" s="35">
        <f>VENTAS[[#This Row],[Cantidad]]*VENTAS[[#This Row],[Precio Venta]]</f>
        <v>16</v>
      </c>
      <c r="J1176" s="35">
        <f>IF(VENTAS[[#This Row],[Nombre del Gestor]]&gt;1,VENTAS[[#This Row],[Total]]*10%,0)</f>
        <v>1.6</v>
      </c>
      <c r="K1176" s="35">
        <f>IFERROR(VLOOKUP(VENTAS[[#This Row],[Código del producto Vendido]],STOCK[],16,FALSE)*VENTAS[[#This Row],[Cantidad]]+VLOOKUP(VENTAS[[#This Row],[Código del producto Vendido]],STOCK[],19,FALSE)*VENTAS[[#This Row],[Cantidad]],VENTAS[[#This Row],[Total]])</f>
        <v>10.3866666666667</v>
      </c>
      <c r="L1176" s="35">
        <f>VENTAS[[#This Row],[Total]]-VENTAS[[#This Row],[Comisión 10%]]-VENTAS[[#This Row],[Costo SIN Comision]]</f>
        <v>4.01333333333334</v>
      </c>
      <c r="M1176" s="35"/>
    </row>
    <row r="1177" ht="20" customHeight="1" spans="1:13">
      <c r="A1177" s="29">
        <v>45491</v>
      </c>
      <c r="B1177" s="30"/>
      <c r="C1177" s="30"/>
      <c r="D1177" s="30" t="s">
        <v>3503</v>
      </c>
      <c r="E1177" s="30" t="s">
        <v>678</v>
      </c>
      <c r="F1177" s="34" t="str">
        <f>IFERROR(VLOOKUP(VENTAS[[#This Row],[Código del producto Vendido]],STOCK[],5,FALSE),"-")</f>
        <v>Blusa corta de manga farol</v>
      </c>
      <c r="G1177" s="34">
        <v>1</v>
      </c>
      <c r="H1177" s="35">
        <v>9</v>
      </c>
      <c r="I1177" s="35">
        <f>VENTAS[[#This Row],[Cantidad]]*VENTAS[[#This Row],[Precio Venta]]</f>
        <v>9</v>
      </c>
      <c r="J1177" s="35">
        <f>IF(VENTAS[[#This Row],[Nombre del Gestor]]&gt;1,VENTAS[[#This Row],[Total]]*10%,0)</f>
        <v>0.9</v>
      </c>
      <c r="K1177" s="35">
        <f>IFERROR(VLOOKUP(VENTAS[[#This Row],[Código del producto Vendido]],STOCK[],16,FALSE)*VENTAS[[#This Row],[Cantidad]]+VLOOKUP(VENTAS[[#This Row],[Código del producto Vendido]],STOCK[],19,FALSE)*VENTAS[[#This Row],[Cantidad]],VENTAS[[#This Row],[Total]])</f>
        <v>7.52666666666667</v>
      </c>
      <c r="L1177" s="35">
        <f>VENTAS[[#This Row],[Total]]-VENTAS[[#This Row],[Comisión 10%]]-VENTAS[[#This Row],[Costo SIN Comision]]</f>
        <v>0.57333333333333</v>
      </c>
      <c r="M1177" s="35"/>
    </row>
    <row r="1178" ht="20" customHeight="1" spans="1:13">
      <c r="A1178" s="29">
        <v>45493</v>
      </c>
      <c r="B1178" s="30"/>
      <c r="C1178" s="30"/>
      <c r="D1178" s="30" t="s">
        <v>3503</v>
      </c>
      <c r="E1178" s="30" t="s">
        <v>1288</v>
      </c>
      <c r="F1178" s="34" t="str">
        <f>IFERROR(VLOOKUP(VENTAS[[#This Row],[Código del producto Vendido]],STOCK[],5,FALSE),"-")</f>
        <v>Top corto asimétrico </v>
      </c>
      <c r="G1178" s="34">
        <v>1</v>
      </c>
      <c r="H1178" s="35">
        <v>10</v>
      </c>
      <c r="I1178" s="35">
        <f>VENTAS[[#This Row],[Cantidad]]*VENTAS[[#This Row],[Precio Venta]]</f>
        <v>10</v>
      </c>
      <c r="J1178" s="35">
        <f>IF(VENTAS[[#This Row],[Nombre del Gestor]]&gt;1,VENTAS[[#This Row],[Total]]*10%,0)</f>
        <v>1</v>
      </c>
      <c r="K1178" s="35">
        <f>IFERROR(VLOOKUP(VENTAS[[#This Row],[Código del producto Vendido]],STOCK[],16,FALSE)*VENTAS[[#This Row],[Cantidad]]+VLOOKUP(VENTAS[[#This Row],[Código del producto Vendido]],STOCK[],19,FALSE)*VENTAS[[#This Row],[Cantidad]],VENTAS[[#This Row],[Total]])</f>
        <v>6.73</v>
      </c>
      <c r="L1178" s="35">
        <f>VENTAS[[#This Row],[Total]]-VENTAS[[#This Row],[Comisión 10%]]-VENTAS[[#This Row],[Costo SIN Comision]]</f>
        <v>2.27</v>
      </c>
      <c r="M1178" s="35"/>
    </row>
    <row r="1179" ht="20" customHeight="1" spans="1:13">
      <c r="A1179" s="29">
        <v>45494</v>
      </c>
      <c r="B1179" s="30"/>
      <c r="C1179" s="30"/>
      <c r="D1179" s="30" t="s">
        <v>3503</v>
      </c>
      <c r="E1179" s="30" t="s">
        <v>1636</v>
      </c>
      <c r="F1179" s="34" t="str">
        <f>IFERROR(VLOOKUP(VENTAS[[#This Row],[Código del producto Vendido]],STOCK[],5,FALSE),"-")</f>
        <v>Vestido Privé</v>
      </c>
      <c r="G1179" s="34">
        <v>1</v>
      </c>
      <c r="H1179" s="35">
        <v>15</v>
      </c>
      <c r="I1179" s="35">
        <f>VENTAS[[#This Row],[Cantidad]]*VENTAS[[#This Row],[Precio Venta]]</f>
        <v>15</v>
      </c>
      <c r="J1179" s="35">
        <f>IF(VENTAS[[#This Row],[Nombre del Gestor]]&gt;1,VENTAS[[#This Row],[Total]]*10%,0)</f>
        <v>1.5</v>
      </c>
      <c r="K1179" s="35">
        <f>IFERROR(VLOOKUP(VENTAS[[#This Row],[Código del producto Vendido]],STOCK[],16,FALSE)*VENTAS[[#This Row],[Cantidad]]+VLOOKUP(VENTAS[[#This Row],[Código del producto Vendido]],STOCK[],19,FALSE)*VENTAS[[#This Row],[Cantidad]],VENTAS[[#This Row],[Total]])</f>
        <v>11.1</v>
      </c>
      <c r="L1179" s="35">
        <f>VENTAS[[#This Row],[Total]]-VENTAS[[#This Row],[Comisión 10%]]-VENTAS[[#This Row],[Costo SIN Comision]]</f>
        <v>2.4</v>
      </c>
      <c r="M1179" s="35"/>
    </row>
    <row r="1180" ht="20" customHeight="1" spans="1:13">
      <c r="A1180" s="29">
        <v>203</v>
      </c>
      <c r="B1180" s="30"/>
      <c r="C1180" s="30"/>
      <c r="D1180" s="30" t="s">
        <v>3503</v>
      </c>
      <c r="E1180" s="30" t="s">
        <v>1712</v>
      </c>
      <c r="F1180" s="34" t="str">
        <f>IFERROR(VLOOKUP(VENTAS[[#This Row],[Código del producto Vendido]],STOCK[],5,FALSE),"-")</f>
        <v>Vestido Asimétrico con cuerdas</v>
      </c>
      <c r="G1180" s="34">
        <v>1</v>
      </c>
      <c r="H1180" s="35">
        <v>13</v>
      </c>
      <c r="I1180" s="35">
        <f>VENTAS[[#This Row],[Cantidad]]*VENTAS[[#This Row],[Precio Venta]]</f>
        <v>13</v>
      </c>
      <c r="J1180" s="35">
        <f>IF(VENTAS[[#This Row],[Nombre del Gestor]]&gt;1,VENTAS[[#This Row],[Total]]*10%,0)</f>
        <v>1.3</v>
      </c>
      <c r="K1180" s="35">
        <f>IFERROR(VLOOKUP(VENTAS[[#This Row],[Código del producto Vendido]],STOCK[],16,FALSE)*VENTAS[[#This Row],[Cantidad]]+VLOOKUP(VENTAS[[#This Row],[Código del producto Vendido]],STOCK[],19,FALSE)*VENTAS[[#This Row],[Cantidad]],VENTAS[[#This Row],[Total]])</f>
        <v>12</v>
      </c>
      <c r="L1180" s="35">
        <f>VENTAS[[#This Row],[Total]]-VENTAS[[#This Row],[Comisión 10%]]-VENTAS[[#This Row],[Costo SIN Comision]]</f>
        <v>-0.300000000000001</v>
      </c>
      <c r="M1180" s="35"/>
    </row>
    <row r="1181" ht="20" customHeight="1" spans="1:13">
      <c r="A1181" s="29">
        <v>45490</v>
      </c>
      <c r="B1181" s="30"/>
      <c r="C1181" s="30"/>
      <c r="D1181" s="30" t="s">
        <v>3503</v>
      </c>
      <c r="E1181" s="30" t="s">
        <v>1202</v>
      </c>
      <c r="F1181" s="34" t="str">
        <f>IFERROR(VLOOKUP(VENTAS[[#This Row],[Código del producto Vendido]],STOCK[],5,FALSE),"-")</f>
        <v>Camisa Blanca</v>
      </c>
      <c r="G1181" s="34">
        <v>1</v>
      </c>
      <c r="H1181" s="35">
        <v>22</v>
      </c>
      <c r="I1181" s="35">
        <f>VENTAS[[#This Row],[Cantidad]]*VENTAS[[#This Row],[Precio Venta]]</f>
        <v>22</v>
      </c>
      <c r="J1181" s="35">
        <f>IF(VENTAS[[#This Row],[Nombre del Gestor]]&gt;1,VENTAS[[#This Row],[Total]]*10%,0)</f>
        <v>2.2</v>
      </c>
      <c r="K1181" s="35">
        <f>IFERROR(VLOOKUP(VENTAS[[#This Row],[Código del producto Vendido]],STOCK[],16,FALSE)*VENTAS[[#This Row],[Cantidad]]+VLOOKUP(VENTAS[[#This Row],[Código del producto Vendido]],STOCK[],19,FALSE)*VENTAS[[#This Row],[Cantidad]],VENTAS[[#This Row],[Total]])</f>
        <v>12.9</v>
      </c>
      <c r="L1181" s="35">
        <f>VENTAS[[#This Row],[Total]]-VENTAS[[#This Row],[Comisión 10%]]-VENTAS[[#This Row],[Costo SIN Comision]]</f>
        <v>6.9</v>
      </c>
      <c r="M1181" s="35"/>
    </row>
    <row r="1182" ht="20" customHeight="1" spans="1:13">
      <c r="A1182" s="29">
        <v>45490</v>
      </c>
      <c r="B1182" s="30"/>
      <c r="C1182" s="30"/>
      <c r="D1182" s="30" t="s">
        <v>3503</v>
      </c>
      <c r="E1182" s="30" t="s">
        <v>799</v>
      </c>
      <c r="F1182" s="34" t="str">
        <f>IFERROR(VLOOKUP(VENTAS[[#This Row],[Código del producto Vendido]],STOCK[],5,FALSE),"-")</f>
        <v>Short de cordón lateral</v>
      </c>
      <c r="G1182" s="34">
        <v>1</v>
      </c>
      <c r="H1182" s="35">
        <v>15</v>
      </c>
      <c r="I1182" s="35">
        <f>VENTAS[[#This Row],[Cantidad]]*VENTAS[[#This Row],[Precio Venta]]</f>
        <v>15</v>
      </c>
      <c r="J1182" s="35">
        <f>IF(VENTAS[[#This Row],[Nombre del Gestor]]&gt;1,VENTAS[[#This Row],[Total]]*10%,0)</f>
        <v>1.5</v>
      </c>
      <c r="K1182" s="35">
        <f>IFERROR(VLOOKUP(VENTAS[[#This Row],[Código del producto Vendido]],STOCK[],16,FALSE)*VENTAS[[#This Row],[Cantidad]]+VLOOKUP(VENTAS[[#This Row],[Código del producto Vendido]],STOCK[],19,FALSE)*VENTAS[[#This Row],[Cantidad]],VENTAS[[#This Row],[Total]])</f>
        <v>8.94444444444444</v>
      </c>
      <c r="L1182" s="35">
        <f>VENTAS[[#This Row],[Total]]-VENTAS[[#This Row],[Comisión 10%]]-VENTAS[[#This Row],[Costo SIN Comision]]</f>
        <v>4.55555555555556</v>
      </c>
      <c r="M1182" s="35"/>
    </row>
    <row r="1183" ht="20" customHeight="1" spans="1:13">
      <c r="A1183" s="29">
        <v>45490</v>
      </c>
      <c r="B1183" s="30"/>
      <c r="C1183" s="30"/>
      <c r="D1183" s="30" t="s">
        <v>3503</v>
      </c>
      <c r="E1183" s="30" t="s">
        <v>676</v>
      </c>
      <c r="F1183" s="34" t="str">
        <f>IFERROR(VLOOKUP(VENTAS[[#This Row],[Código del producto Vendido]],STOCK[],5,FALSE),"-")</f>
        <v>Blusa corta de manga farol</v>
      </c>
      <c r="G1183" s="34">
        <v>1</v>
      </c>
      <c r="H1183" s="35">
        <v>9</v>
      </c>
      <c r="I1183" s="35">
        <f>VENTAS[[#This Row],[Cantidad]]*VENTAS[[#This Row],[Precio Venta]]</f>
        <v>9</v>
      </c>
      <c r="J1183" s="35">
        <f>IF(VENTAS[[#This Row],[Nombre del Gestor]]&gt;1,VENTAS[[#This Row],[Total]]*10%,0)</f>
        <v>0.9</v>
      </c>
      <c r="K1183" s="35">
        <f>IFERROR(VLOOKUP(VENTAS[[#This Row],[Código del producto Vendido]],STOCK[],16,FALSE)*VENTAS[[#This Row],[Cantidad]]+VLOOKUP(VENTAS[[#This Row],[Código del producto Vendido]],STOCK[],19,FALSE)*VENTAS[[#This Row],[Cantidad]],VENTAS[[#This Row],[Total]])</f>
        <v>7.52666666666667</v>
      </c>
      <c r="L1183" s="35">
        <f>VENTAS[[#This Row],[Total]]-VENTAS[[#This Row],[Comisión 10%]]-VENTAS[[#This Row],[Costo SIN Comision]]</f>
        <v>0.57333333333333</v>
      </c>
      <c r="M1183" s="35"/>
    </row>
    <row r="1184" ht="20" customHeight="1" spans="1:13">
      <c r="A1184" s="29">
        <v>45480</v>
      </c>
      <c r="B1184" s="30"/>
      <c r="C1184" s="30"/>
      <c r="D1184" s="30" t="s">
        <v>3478</v>
      </c>
      <c r="E1184" s="30" t="s">
        <v>1190</v>
      </c>
      <c r="F1184" s="34" t="str">
        <f>IFERROR(VLOOKUP(VENTAS[[#This Row],[Código del producto Vendido]],STOCK[],5,FALSE),"-")</f>
        <v>Vestido ajustado con adorno de plumas</v>
      </c>
      <c r="G1184" s="34">
        <v>1</v>
      </c>
      <c r="H1184" s="35"/>
      <c r="I1184" s="35">
        <f>VENTAS[[#This Row],[Cantidad]]*VENTAS[[#This Row],[Precio Venta]]</f>
        <v>0</v>
      </c>
      <c r="J1184" s="35">
        <f>IF(VENTAS[[#This Row],[Nombre del Gestor]]&gt;1,VENTAS[[#This Row],[Total]]*10%,0)</f>
        <v>0</v>
      </c>
      <c r="K1184" s="35">
        <f>IFERROR(VLOOKUP(VENTAS[[#This Row],[Código del producto Vendido]],STOCK[],16,FALSE)*VENTAS[[#This Row],[Cantidad]]+VLOOKUP(VENTAS[[#This Row],[Código del producto Vendido]],STOCK[],19,FALSE)*VENTAS[[#This Row],[Cantidad]],VENTAS[[#This Row],[Total]])</f>
        <v>14.91</v>
      </c>
      <c r="L1184" s="35">
        <f>VENTAS[[#This Row],[Total]]-VENTAS[[#This Row],[Comisión 10%]]-VENTAS[[#This Row],[Costo SIN Comision]]</f>
        <v>-14.91</v>
      </c>
      <c r="M1184" s="35"/>
    </row>
    <row r="1185" ht="20" customHeight="1" spans="1:13">
      <c r="A1185" s="29">
        <v>45490</v>
      </c>
      <c r="B1185" s="30"/>
      <c r="C1185" s="30"/>
      <c r="D1185" s="30" t="s">
        <v>3503</v>
      </c>
      <c r="E1185" s="30" t="s">
        <v>595</v>
      </c>
      <c r="F1185" s="34" t="str">
        <f>IFERROR(VLOOKUP(VENTAS[[#This Row],[Código del producto Vendido]],STOCK[],5,FALSE),"-")</f>
        <v>Top cruzado naranja</v>
      </c>
      <c r="G1185" s="34">
        <v>2</v>
      </c>
      <c r="H1185" s="35">
        <v>8</v>
      </c>
      <c r="I1185" s="35">
        <f>VENTAS[[#This Row],[Cantidad]]*VENTAS[[#This Row],[Precio Venta]]</f>
        <v>16</v>
      </c>
      <c r="J1185" s="35">
        <f>IF(VENTAS[[#This Row],[Nombre del Gestor]]&gt;1,VENTAS[[#This Row],[Total]]*10%,0)</f>
        <v>1.6</v>
      </c>
      <c r="K1185" s="35">
        <f>IFERROR(VLOOKUP(VENTAS[[#This Row],[Código del producto Vendido]],STOCK[],16,FALSE)*VENTAS[[#This Row],[Cantidad]]+VLOOKUP(VENTAS[[#This Row],[Código del producto Vendido]],STOCK[],19,FALSE)*VENTAS[[#This Row],[Cantidad]],VENTAS[[#This Row],[Total]])</f>
        <v>10.1366666666667</v>
      </c>
      <c r="L1185" s="35">
        <f>VENTAS[[#This Row],[Total]]-VENTAS[[#This Row],[Comisión 10%]]-VENTAS[[#This Row],[Costo SIN Comision]]</f>
        <v>4.26333333333334</v>
      </c>
      <c r="M1185" s="35"/>
    </row>
    <row r="1186" ht="20" customHeight="1" spans="1:13">
      <c r="A1186" s="29">
        <v>45492</v>
      </c>
      <c r="B1186" s="30"/>
      <c r="C1186" s="30"/>
      <c r="D1186" s="30" t="s">
        <v>3478</v>
      </c>
      <c r="E1186" s="30" t="s">
        <v>2219</v>
      </c>
      <c r="F1186" s="34" t="str">
        <f>IFERROR(VLOOKUP(VENTAS[[#This Row],[Código del producto Vendido]],STOCK[],5,FALSE),"-")</f>
        <v>Set de bikini con cobertor de playa</v>
      </c>
      <c r="G1186" s="34">
        <v>1</v>
      </c>
      <c r="H1186" s="35">
        <v>25</v>
      </c>
      <c r="I1186" s="35">
        <f>VENTAS[[#This Row],[Cantidad]]*VENTAS[[#This Row],[Precio Venta]]</f>
        <v>25</v>
      </c>
      <c r="J1186" s="35">
        <f>IF(VENTAS[[#This Row],[Nombre del Gestor]]&gt;1,VENTAS[[#This Row],[Total]]*10%,0)</f>
        <v>2.5</v>
      </c>
      <c r="K1186" s="35">
        <f>IFERROR(VLOOKUP(VENTAS[[#This Row],[Código del producto Vendido]],STOCK[],16,FALSE)*VENTAS[[#This Row],[Cantidad]]+VLOOKUP(VENTAS[[#This Row],[Código del producto Vendido]],STOCK[],19,FALSE)*VENTAS[[#This Row],[Cantidad]],VENTAS[[#This Row],[Total]])</f>
        <v>11.65</v>
      </c>
      <c r="L1186" s="35">
        <f>VENTAS[[#This Row],[Total]]-VENTAS[[#This Row],[Comisión 10%]]-VENTAS[[#This Row],[Costo SIN Comision]]</f>
        <v>10.85</v>
      </c>
      <c r="M1186" s="35"/>
    </row>
    <row r="1187" ht="20" customHeight="1" spans="1:13">
      <c r="A1187" s="29">
        <v>45492</v>
      </c>
      <c r="B1187" s="30"/>
      <c r="C1187" s="30"/>
      <c r="D1187" s="30" t="s">
        <v>3478</v>
      </c>
      <c r="E1187" s="30" t="s">
        <v>2172</v>
      </c>
      <c r="F1187" s="34" t="str">
        <f>IFERROR(VLOOKUP(VENTAS[[#This Row],[Código del producto Vendido]],STOCK[],5,FALSE),"-")</f>
        <v>Bañador clásico cuello V</v>
      </c>
      <c r="G1187" s="34">
        <v>1</v>
      </c>
      <c r="H1187" s="35">
        <v>18</v>
      </c>
      <c r="I1187" s="35">
        <f>VENTAS[[#This Row],[Cantidad]]*VENTAS[[#This Row],[Precio Venta]]</f>
        <v>18</v>
      </c>
      <c r="J1187" s="35">
        <f>IF(VENTAS[[#This Row],[Nombre del Gestor]]&gt;1,VENTAS[[#This Row],[Total]]*10%,0)</f>
        <v>1.8</v>
      </c>
      <c r="K1187" s="35">
        <f>IFERROR(VLOOKUP(VENTAS[[#This Row],[Código del producto Vendido]],STOCK[],16,FALSE)*VENTAS[[#This Row],[Cantidad]]+VLOOKUP(VENTAS[[#This Row],[Código del producto Vendido]],STOCK[],19,FALSE)*VENTAS[[#This Row],[Cantidad]],VENTAS[[#This Row],[Total]])</f>
        <v>6.11</v>
      </c>
      <c r="L1187" s="35">
        <f>VENTAS[[#This Row],[Total]]-VENTAS[[#This Row],[Comisión 10%]]-VENTAS[[#This Row],[Costo SIN Comision]]</f>
        <v>10.09</v>
      </c>
      <c r="M1187" s="35"/>
    </row>
    <row r="1188" ht="20" customHeight="1" spans="1:13">
      <c r="A1188" s="29">
        <v>45492</v>
      </c>
      <c r="B1188" s="30"/>
      <c r="C1188" s="30"/>
      <c r="D1188" s="30" t="s">
        <v>3478</v>
      </c>
      <c r="E1188" s="30" t="s">
        <v>1748</v>
      </c>
      <c r="F1188" s="34" t="str">
        <f>IFERROR(VLOOKUP(VENTAS[[#This Row],[Código del producto Vendido]],STOCK[],5,FALSE),"-")</f>
        <v>Traje de baño de mangas estampadas</v>
      </c>
      <c r="G1188" s="34">
        <v>1</v>
      </c>
      <c r="H1188" s="35">
        <v>25</v>
      </c>
      <c r="I1188" s="35">
        <f>VENTAS[[#This Row],[Cantidad]]*VENTAS[[#This Row],[Precio Venta]]</f>
        <v>25</v>
      </c>
      <c r="J1188" s="35">
        <f>IF(VENTAS[[#This Row],[Nombre del Gestor]]&gt;1,VENTAS[[#This Row],[Total]]*10%,0)</f>
        <v>2.5</v>
      </c>
      <c r="K1188" s="35">
        <f>IFERROR(VLOOKUP(VENTAS[[#This Row],[Código del producto Vendido]],STOCK[],16,FALSE)*VENTAS[[#This Row],[Cantidad]]+VLOOKUP(VENTAS[[#This Row],[Código del producto Vendido]],STOCK[],19,FALSE)*VENTAS[[#This Row],[Cantidad]],VENTAS[[#This Row],[Total]])</f>
        <v>12.4117647058824</v>
      </c>
      <c r="L1188" s="35">
        <f>VENTAS[[#This Row],[Total]]-VENTAS[[#This Row],[Comisión 10%]]-VENTAS[[#This Row],[Costo SIN Comision]]</f>
        <v>10.0882352941176</v>
      </c>
      <c r="M1188" s="35"/>
    </row>
    <row r="1189" ht="20" customHeight="1" spans="1:13">
      <c r="A1189" s="29">
        <v>45509</v>
      </c>
      <c r="B1189" s="30"/>
      <c r="C1189" s="30" t="s">
        <v>3544</v>
      </c>
      <c r="D1189" s="30" t="s">
        <v>3448</v>
      </c>
      <c r="E1189" s="30" t="s">
        <v>2422</v>
      </c>
      <c r="F1189" s="34" t="str">
        <f>IFERROR(VLOOKUP(VENTAS[[#This Row],[Código del producto Vendido]],STOCK[],5,FALSE),"-")</f>
        <v>Pantalón ancho con cordón ajustable</v>
      </c>
      <c r="G1189" s="34">
        <v>1</v>
      </c>
      <c r="H1189" s="35">
        <v>23</v>
      </c>
      <c r="I1189" s="35">
        <f>VENTAS[[#This Row],[Cantidad]]*VENTAS[[#This Row],[Precio Venta]]</f>
        <v>23</v>
      </c>
      <c r="J1189" s="35">
        <f>IF(VENTAS[[#This Row],[Nombre del Gestor]]&gt;1,VENTAS[[#This Row],[Total]]*10%,0)</f>
        <v>2.3</v>
      </c>
      <c r="K1189" s="35">
        <f>IFERROR(VLOOKUP(VENTAS[[#This Row],[Código del producto Vendido]],STOCK[],16,FALSE)*VENTAS[[#This Row],[Cantidad]]+VLOOKUP(VENTAS[[#This Row],[Código del producto Vendido]],STOCK[],19,FALSE)*VENTAS[[#This Row],[Cantidad]],VENTAS[[#This Row],[Total]])</f>
        <v>11.4353349001175</v>
      </c>
      <c r="L1189" s="35">
        <f>VENTAS[[#This Row],[Total]]-VENTAS[[#This Row],[Comisión 10%]]-VENTAS[[#This Row],[Costo SIN Comision]]</f>
        <v>9.26466509988249</v>
      </c>
      <c r="M1189" s="35"/>
    </row>
    <row r="1190" ht="20" customHeight="1" spans="1:13">
      <c r="A1190" s="29">
        <v>45509</v>
      </c>
      <c r="B1190" s="30"/>
      <c r="C1190" s="30" t="s">
        <v>3545</v>
      </c>
      <c r="D1190" s="30" t="s">
        <v>3448</v>
      </c>
      <c r="E1190" s="30" t="s">
        <v>2493</v>
      </c>
      <c r="F1190" s="34" t="str">
        <f>IFERROR(VLOOKUP(VENTAS[[#This Row],[Código del producto Vendido]],STOCK[],5,FALSE),"-")</f>
        <v>Bolso bandolera de rafia rígido de tamaño pequeño</v>
      </c>
      <c r="G1190" s="34">
        <v>1</v>
      </c>
      <c r="H1190" s="35">
        <v>25</v>
      </c>
      <c r="I1190" s="35">
        <f>VENTAS[[#This Row],[Cantidad]]*VENTAS[[#This Row],[Precio Venta]]</f>
        <v>25</v>
      </c>
      <c r="J1190" s="35">
        <f>IF(VENTAS[[#This Row],[Nombre del Gestor]]&gt;1,VENTAS[[#This Row],[Total]]*10%,0)</f>
        <v>2.5</v>
      </c>
      <c r="K1190" s="35">
        <f>IFERROR(VLOOKUP(VENTAS[[#This Row],[Código del producto Vendido]],STOCK[],16,FALSE)*VENTAS[[#This Row],[Cantidad]]+VLOOKUP(VENTAS[[#This Row],[Código del producto Vendido]],STOCK[],19,FALSE)*VENTAS[[#This Row],[Cantidad]],VENTAS[[#This Row],[Total]])</f>
        <v>11.39</v>
      </c>
      <c r="L1190" s="35">
        <f>VENTAS[[#This Row],[Total]]-VENTAS[[#This Row],[Comisión 10%]]-VENTAS[[#This Row],[Costo SIN Comision]]</f>
        <v>11.11</v>
      </c>
      <c r="M1190" s="35"/>
    </row>
    <row r="1191" ht="20" customHeight="1" spans="1:13">
      <c r="A1191" s="29">
        <v>45509</v>
      </c>
      <c r="B1191" s="30"/>
      <c r="C1191" s="30"/>
      <c r="D1191" s="30" t="s">
        <v>3478</v>
      </c>
      <c r="E1191" s="30" t="s">
        <v>2580</v>
      </c>
      <c r="F1191" s="34" t="str">
        <f>IFERROR(VLOOKUP(VENTAS[[#This Row],[Código del producto Vendido]],STOCK[],5,FALSE),"-")</f>
        <v>Vestido largo con cuello Healter</v>
      </c>
      <c r="G1191" s="34">
        <v>1</v>
      </c>
      <c r="H1191" s="35">
        <v>30</v>
      </c>
      <c r="I1191" s="35">
        <f>VENTAS[[#This Row],[Cantidad]]*VENTAS[[#This Row],[Precio Venta]]</f>
        <v>30</v>
      </c>
      <c r="J1191" s="35">
        <f>IF(VENTAS[[#This Row],[Nombre del Gestor]]&gt;1,VENTAS[[#This Row],[Total]]*10%,0)</f>
        <v>3</v>
      </c>
      <c r="K1191" s="35">
        <f>IFERROR(VLOOKUP(VENTAS[[#This Row],[Código del producto Vendido]],STOCK[],16,FALSE)*VENTAS[[#This Row],[Cantidad]]+VLOOKUP(VENTAS[[#This Row],[Código del producto Vendido]],STOCK[],19,FALSE)*VENTAS[[#This Row],[Cantidad]],VENTAS[[#This Row],[Total]])</f>
        <v>9.64</v>
      </c>
      <c r="L1191" s="35">
        <f>VENTAS[[#This Row],[Total]]-VENTAS[[#This Row],[Comisión 10%]]-VENTAS[[#This Row],[Costo SIN Comision]]</f>
        <v>17.36</v>
      </c>
      <c r="M1191" s="35"/>
    </row>
    <row r="1192" ht="20" customHeight="1" spans="1:13">
      <c r="A1192" s="29">
        <v>45509</v>
      </c>
      <c r="B1192" s="30"/>
      <c r="C1192" s="30" t="s">
        <v>3546</v>
      </c>
      <c r="D1192" s="30" t="s">
        <v>3478</v>
      </c>
      <c r="E1192" s="30" t="s">
        <v>2460</v>
      </c>
      <c r="F1192" s="34" t="str">
        <f>IFERROR(VLOOKUP(VENTAS[[#This Row],[Código del producto Vendido]],STOCK[],5,FALSE),"-")</f>
        <v>Sandalias de plataforma en bloque de color</v>
      </c>
      <c r="G1192" s="34">
        <v>1</v>
      </c>
      <c r="H1192" s="35">
        <v>35</v>
      </c>
      <c r="I1192" s="35">
        <f>VENTAS[[#This Row],[Cantidad]]*VENTAS[[#This Row],[Precio Venta]]</f>
        <v>35</v>
      </c>
      <c r="J1192" s="35">
        <f>IF(VENTAS[[#This Row],[Nombre del Gestor]]&gt;1,VENTAS[[#This Row],[Total]]*10%,0)</f>
        <v>3.5</v>
      </c>
      <c r="K1192" s="35">
        <f>IFERROR(VLOOKUP(VENTAS[[#This Row],[Código del producto Vendido]],STOCK[],16,FALSE)*VENTAS[[#This Row],[Cantidad]]+VLOOKUP(VENTAS[[#This Row],[Código del producto Vendido]],STOCK[],19,FALSE)*VENTAS[[#This Row],[Cantidad]],VENTAS[[#This Row],[Total]])</f>
        <v>21.97</v>
      </c>
      <c r="L1192" s="35">
        <f>VENTAS[[#This Row],[Total]]-VENTAS[[#This Row],[Comisión 10%]]-VENTAS[[#This Row],[Costo SIN Comision]]</f>
        <v>9.53</v>
      </c>
      <c r="M1192" s="35"/>
    </row>
    <row r="1193" ht="20" customHeight="1" spans="1:13">
      <c r="A1193" s="29">
        <v>45509</v>
      </c>
      <c r="B1193" s="30"/>
      <c r="C1193" s="30"/>
      <c r="D1193" s="30" t="s">
        <v>3478</v>
      </c>
      <c r="E1193" s="30" t="s">
        <v>2330</v>
      </c>
      <c r="F1193" s="34" t="str">
        <f>IFERROR(VLOOKUP(VENTAS[[#This Row],[Código del producto Vendido]],STOCK[],5,FALSE),"-")</f>
        <v>Set de 3 piezas bikini con estampado floral</v>
      </c>
      <c r="G1193" s="34">
        <v>1</v>
      </c>
      <c r="H1193" s="35">
        <v>20</v>
      </c>
      <c r="I1193" s="35">
        <f>VENTAS[[#This Row],[Cantidad]]*VENTAS[[#This Row],[Precio Venta]]</f>
        <v>20</v>
      </c>
      <c r="J1193" s="35">
        <f>IF(VENTAS[[#This Row],[Nombre del Gestor]]&gt;1,VENTAS[[#This Row],[Total]]*10%,0)</f>
        <v>2</v>
      </c>
      <c r="K1193" s="35">
        <f>IFERROR(VLOOKUP(VENTAS[[#This Row],[Código del producto Vendido]],STOCK[],16,FALSE)*VENTAS[[#This Row],[Cantidad]]+VLOOKUP(VENTAS[[#This Row],[Código del producto Vendido]],STOCK[],19,FALSE)*VENTAS[[#This Row],[Cantidad]],VENTAS[[#This Row],[Total]])</f>
        <v>13.409375</v>
      </c>
      <c r="L1193" s="35">
        <f>VENTAS[[#This Row],[Total]]-VENTAS[[#This Row],[Comisión 10%]]-VENTAS[[#This Row],[Costo SIN Comision]]</f>
        <v>4.590625</v>
      </c>
      <c r="M1193" s="35"/>
    </row>
    <row r="1194" ht="20" customHeight="1" spans="1:13">
      <c r="A1194" s="29">
        <v>45509</v>
      </c>
      <c r="B1194" s="30"/>
      <c r="C1194" s="30"/>
      <c r="D1194" s="30" t="s">
        <v>3478</v>
      </c>
      <c r="E1194" s="30" t="s">
        <v>2450</v>
      </c>
      <c r="F1194" s="34" t="str">
        <f>IFERROR(VLOOKUP(VENTAS[[#This Row],[Código del producto Vendido]],STOCK[],5,FALSE),"-")</f>
        <v>Sandalias carmelitas de moda con correa de velcro</v>
      </c>
      <c r="G1194" s="34">
        <v>1</v>
      </c>
      <c r="H1194" s="35">
        <v>35</v>
      </c>
      <c r="I1194" s="35">
        <f>VENTAS[[#This Row],[Cantidad]]*VENTAS[[#This Row],[Precio Venta]]</f>
        <v>35</v>
      </c>
      <c r="J1194" s="35">
        <f>IF(VENTAS[[#This Row],[Nombre del Gestor]]&gt;1,VENTAS[[#This Row],[Total]]*10%,0)</f>
        <v>3.5</v>
      </c>
      <c r="K1194" s="35">
        <f>IFERROR(VLOOKUP(VENTAS[[#This Row],[Código del producto Vendido]],STOCK[],16,FALSE)*VENTAS[[#This Row],[Cantidad]]+VLOOKUP(VENTAS[[#This Row],[Código del producto Vendido]],STOCK[],19,FALSE)*VENTAS[[#This Row],[Cantidad]],VENTAS[[#This Row],[Total]])</f>
        <v>19.47</v>
      </c>
      <c r="L1194" s="35">
        <f>VENTAS[[#This Row],[Total]]-VENTAS[[#This Row],[Comisión 10%]]-VENTAS[[#This Row],[Costo SIN Comision]]</f>
        <v>12.03</v>
      </c>
      <c r="M1194" s="35"/>
    </row>
    <row r="1195" ht="20" customHeight="1" spans="1:13">
      <c r="A1195" s="29">
        <v>45509</v>
      </c>
      <c r="B1195" s="30"/>
      <c r="C1195" s="30"/>
      <c r="D1195" s="30" t="s">
        <v>3478</v>
      </c>
      <c r="E1195" s="30" t="s">
        <v>3547</v>
      </c>
      <c r="F1195" s="34" t="str">
        <f>IFERROR(VLOOKUP(VENTAS[[#This Row],[Código del producto Vendido]],STOCK[],5,FALSE),"-")</f>
        <v>-</v>
      </c>
      <c r="G1195" s="34">
        <v>1</v>
      </c>
      <c r="H1195" s="35">
        <v>45</v>
      </c>
      <c r="I1195" s="35">
        <f>VENTAS[[#This Row],[Cantidad]]*VENTAS[[#This Row],[Precio Venta]]</f>
        <v>45</v>
      </c>
      <c r="J1195" s="35">
        <f>IF(VENTAS[[#This Row],[Nombre del Gestor]]&gt;1,VENTAS[[#This Row],[Total]]*10%,0)</f>
        <v>4.5</v>
      </c>
      <c r="K1195" s="35">
        <f>IFERROR(VLOOKUP(VENTAS[[#This Row],[Código del producto Vendido]],STOCK[],16,FALSE)*VENTAS[[#This Row],[Cantidad]]+VLOOKUP(VENTAS[[#This Row],[Código del producto Vendido]],STOCK[],19,FALSE)*VENTAS[[#This Row],[Cantidad]],VENTAS[[#This Row],[Total]])</f>
        <v>45</v>
      </c>
      <c r="L1195" s="35">
        <f>VENTAS[[#This Row],[Total]]-VENTAS[[#This Row],[Comisión 10%]]-VENTAS[[#This Row],[Costo SIN Comision]]</f>
        <v>-4.5</v>
      </c>
      <c r="M1195" s="35"/>
    </row>
    <row r="1196" ht="20" customHeight="1" spans="1:13">
      <c r="A1196" s="29">
        <v>45509</v>
      </c>
      <c r="B1196" s="30"/>
      <c r="C1196" s="30"/>
      <c r="D1196" s="30" t="s">
        <v>3478</v>
      </c>
      <c r="E1196" s="30" t="s">
        <v>2573</v>
      </c>
      <c r="F1196" s="34" t="str">
        <f>IFERROR(VLOOKUP(VENTAS[[#This Row],[Código del producto Vendido]],STOCK[],5,FALSE),"-")</f>
        <v>Vestido Largo con cinturón fruncido</v>
      </c>
      <c r="G1196" s="34">
        <v>1</v>
      </c>
      <c r="H1196" s="35">
        <v>30</v>
      </c>
      <c r="I1196" s="35">
        <f>VENTAS[[#This Row],[Cantidad]]*VENTAS[[#This Row],[Precio Venta]]</f>
        <v>30</v>
      </c>
      <c r="J1196" s="35">
        <f>IF(VENTAS[[#This Row],[Nombre del Gestor]]&gt;1,VENTAS[[#This Row],[Total]]*10%,0)</f>
        <v>3</v>
      </c>
      <c r="K1196" s="35">
        <f>IFERROR(VLOOKUP(VENTAS[[#This Row],[Código del producto Vendido]],STOCK[],16,FALSE)*VENTAS[[#This Row],[Cantidad]]+VLOOKUP(VENTAS[[#This Row],[Código del producto Vendido]],STOCK[],19,FALSE)*VENTAS[[#This Row],[Cantidad]],VENTAS[[#This Row],[Total]])</f>
        <v>13.66</v>
      </c>
      <c r="L1196" s="35">
        <f>VENTAS[[#This Row],[Total]]-VENTAS[[#This Row],[Comisión 10%]]-VENTAS[[#This Row],[Costo SIN Comision]]</f>
        <v>13.34</v>
      </c>
      <c r="M1196" s="35"/>
    </row>
    <row r="1197" ht="20" customHeight="1" spans="1:13">
      <c r="A1197" s="29">
        <v>45510</v>
      </c>
      <c r="B1197" s="30"/>
      <c r="C1197" s="30" t="s">
        <v>3536</v>
      </c>
      <c r="D1197" s="30" t="s">
        <v>3478</v>
      </c>
      <c r="E1197" s="30" t="s">
        <v>2512</v>
      </c>
      <c r="F1197" s="34" t="str">
        <f>IFERROR(VLOOKUP(VENTAS[[#This Row],[Código del producto Vendido]],STOCK[],5,FALSE),"-")</f>
        <v>Bolso pequeño estilo old money</v>
      </c>
      <c r="G1197" s="34">
        <v>1</v>
      </c>
      <c r="H1197" s="35">
        <v>20</v>
      </c>
      <c r="I1197" s="35">
        <f>VENTAS[[#This Row],[Cantidad]]*VENTAS[[#This Row],[Precio Venta]]</f>
        <v>20</v>
      </c>
      <c r="J1197" s="35">
        <f>IF(VENTAS[[#This Row],[Nombre del Gestor]]&gt;1,VENTAS[[#This Row],[Total]]*10%,0)</f>
        <v>2</v>
      </c>
      <c r="K1197" s="35">
        <f>IFERROR(VLOOKUP(VENTAS[[#This Row],[Código del producto Vendido]],STOCK[],16,FALSE)*VENTAS[[#This Row],[Cantidad]]+VLOOKUP(VENTAS[[#This Row],[Código del producto Vendido]],STOCK[],19,FALSE)*VENTAS[[#This Row],[Cantidad]],VENTAS[[#This Row],[Total]])</f>
        <v>11.49</v>
      </c>
      <c r="L1197" s="35">
        <f>VENTAS[[#This Row],[Total]]-VENTAS[[#This Row],[Comisión 10%]]-VENTAS[[#This Row],[Costo SIN Comision]]</f>
        <v>6.51</v>
      </c>
      <c r="M1197" s="35"/>
    </row>
    <row r="1198" ht="20" customHeight="1" spans="1:13">
      <c r="A1198" s="29">
        <v>45511</v>
      </c>
      <c r="B1198" s="30"/>
      <c r="C1198" s="30" t="s">
        <v>3548</v>
      </c>
      <c r="D1198" s="30" t="s">
        <v>3478</v>
      </c>
      <c r="E1198" s="30" t="s">
        <v>1467</v>
      </c>
      <c r="F1198" s="34" t="str">
        <f>IFERROR(VLOOKUP(VENTAS[[#This Row],[Código del producto Vendido]],STOCK[],5,FALSE),"-")</f>
        <v>Sandalias de tacón triangular</v>
      </c>
      <c r="G1198" s="34">
        <v>1</v>
      </c>
      <c r="H1198" s="35">
        <v>35</v>
      </c>
      <c r="I1198" s="35">
        <f>VENTAS[[#This Row],[Cantidad]]*VENTAS[[#This Row],[Precio Venta]]</f>
        <v>35</v>
      </c>
      <c r="J1198" s="35">
        <f>IF(VENTAS[[#This Row],[Nombre del Gestor]]&gt;1,VENTAS[[#This Row],[Total]]*10%,0)</f>
        <v>3.5</v>
      </c>
      <c r="K1198" s="35">
        <f>IFERROR(VLOOKUP(VENTAS[[#This Row],[Código del producto Vendido]],STOCK[],16,FALSE)*VENTAS[[#This Row],[Cantidad]]+VLOOKUP(VENTAS[[#This Row],[Código del producto Vendido]],STOCK[],19,FALSE)*VENTAS[[#This Row],[Cantidad]],VENTAS[[#This Row],[Total]])</f>
        <v>24</v>
      </c>
      <c r="L1198" s="35">
        <f>VENTAS[[#This Row],[Total]]-VENTAS[[#This Row],[Comisión 10%]]-VENTAS[[#This Row],[Costo SIN Comision]]</f>
        <v>7.5</v>
      </c>
      <c r="M1198" s="35"/>
    </row>
    <row r="1199" ht="20" customHeight="1" spans="1:13">
      <c r="A1199" s="29">
        <v>45510</v>
      </c>
      <c r="B1199" s="30"/>
      <c r="C1199" s="30" t="s">
        <v>3549</v>
      </c>
      <c r="D1199" s="30" t="s">
        <v>3478</v>
      </c>
      <c r="E1199" s="30" t="s">
        <v>1053</v>
      </c>
      <c r="F1199" s="34" t="str">
        <f>IFERROR(VLOOKUP(VENTAS[[#This Row],[Código del producto Vendido]],STOCK[],5,FALSE),"-")</f>
        <v>Vestido en punto Rosa</v>
      </c>
      <c r="G1199" s="34">
        <v>1</v>
      </c>
      <c r="H1199" s="35">
        <v>25</v>
      </c>
      <c r="I1199" s="35">
        <f>VENTAS[[#This Row],[Cantidad]]*VENTAS[[#This Row],[Precio Venta]]</f>
        <v>25</v>
      </c>
      <c r="J1199" s="35">
        <f>IF(VENTAS[[#This Row],[Nombre del Gestor]]&gt;1,VENTAS[[#This Row],[Total]]*10%,0)</f>
        <v>2.5</v>
      </c>
      <c r="K1199" s="35">
        <f>IFERROR(VLOOKUP(VENTAS[[#This Row],[Código del producto Vendido]],STOCK[],16,FALSE)*VENTAS[[#This Row],[Cantidad]]+VLOOKUP(VENTAS[[#This Row],[Código del producto Vendido]],STOCK[],19,FALSE)*VENTAS[[#This Row],[Cantidad]],VENTAS[[#This Row],[Total]])</f>
        <v>21.4704545454545</v>
      </c>
      <c r="L1199" s="35">
        <f>VENTAS[[#This Row],[Total]]-VENTAS[[#This Row],[Comisión 10%]]-VENTAS[[#This Row],[Costo SIN Comision]]</f>
        <v>1.0295454545455</v>
      </c>
      <c r="M1199" s="35"/>
    </row>
    <row r="1200" ht="20" customHeight="1" spans="1:13">
      <c r="A1200" s="29">
        <v>45510</v>
      </c>
      <c r="B1200" s="30"/>
      <c r="C1200" s="30" t="s">
        <v>3550</v>
      </c>
      <c r="D1200" s="30" t="s">
        <v>3478</v>
      </c>
      <c r="E1200" s="30" t="s">
        <v>2639</v>
      </c>
      <c r="F1200" s="34" t="str">
        <f>IFERROR(VLOOKUP(VENTAS[[#This Row],[Código del producto Vendido]],STOCK[],5,FALSE),"-")</f>
        <v>Top de punto y cuello elegante negro H&amp;M</v>
      </c>
      <c r="G1200" s="34">
        <v>1</v>
      </c>
      <c r="H1200" s="35">
        <v>20</v>
      </c>
      <c r="I1200" s="35">
        <f>VENTAS[[#This Row],[Cantidad]]*VENTAS[[#This Row],[Precio Venta]]</f>
        <v>20</v>
      </c>
      <c r="J1200" s="35">
        <f>IF(VENTAS[[#This Row],[Nombre del Gestor]]&gt;1,VENTAS[[#This Row],[Total]]*10%,0)</f>
        <v>2</v>
      </c>
      <c r="K1200" s="35">
        <f>IFERROR(VLOOKUP(VENTAS[[#This Row],[Código del producto Vendido]],STOCK[],16,FALSE)*VENTAS[[#This Row],[Cantidad]]+VLOOKUP(VENTAS[[#This Row],[Código del producto Vendido]],STOCK[],19,FALSE)*VENTAS[[#This Row],[Cantidad]],VENTAS[[#This Row],[Total]])</f>
        <v>10.96</v>
      </c>
      <c r="L1200" s="35">
        <f>VENTAS[[#This Row],[Total]]-VENTAS[[#This Row],[Comisión 10%]]-VENTAS[[#This Row],[Costo SIN Comision]]</f>
        <v>7.04</v>
      </c>
      <c r="M1200" s="35"/>
    </row>
    <row r="1201" ht="20" customHeight="1" spans="1:13">
      <c r="A1201" s="29">
        <v>45510</v>
      </c>
      <c r="B1201" s="30"/>
      <c r="C1201" s="30" t="s">
        <v>3550</v>
      </c>
      <c r="D1201" s="30" t="s">
        <v>3478</v>
      </c>
      <c r="E1201" s="30" t="s">
        <v>2642</v>
      </c>
      <c r="F1201" s="34" t="str">
        <f>IFERROR(VLOOKUP(VENTAS[[#This Row],[Código del producto Vendido]],STOCK[],5,FALSE),"-")</f>
        <v>Top de punto y cuello elegante blanco H&amp;M</v>
      </c>
      <c r="G1201" s="34">
        <v>1</v>
      </c>
      <c r="H1201" s="35">
        <v>20</v>
      </c>
      <c r="I1201" s="35">
        <f>VENTAS[[#This Row],[Cantidad]]*VENTAS[[#This Row],[Precio Venta]]</f>
        <v>20</v>
      </c>
      <c r="J1201" s="35">
        <f>IF(VENTAS[[#This Row],[Nombre del Gestor]]&gt;1,VENTAS[[#This Row],[Total]]*10%,0)</f>
        <v>2</v>
      </c>
      <c r="K1201" s="35">
        <f>IFERROR(VLOOKUP(VENTAS[[#This Row],[Código del producto Vendido]],STOCK[],16,FALSE)*VENTAS[[#This Row],[Cantidad]]+VLOOKUP(VENTAS[[#This Row],[Código del producto Vendido]],STOCK[],19,FALSE)*VENTAS[[#This Row],[Cantidad]],VENTAS[[#This Row],[Total]])</f>
        <v>10.96</v>
      </c>
      <c r="L1201" s="35">
        <f>VENTAS[[#This Row],[Total]]-VENTAS[[#This Row],[Comisión 10%]]-VENTAS[[#This Row],[Costo SIN Comision]]</f>
        <v>7.04</v>
      </c>
      <c r="M1201" s="35"/>
    </row>
    <row r="1202" ht="20" customHeight="1" spans="1:13">
      <c r="A1202" s="29">
        <v>45511</v>
      </c>
      <c r="B1202" s="30"/>
      <c r="C1202" s="30" t="s">
        <v>3551</v>
      </c>
      <c r="D1202" s="30" t="s">
        <v>3478</v>
      </c>
      <c r="E1202" s="30" t="s">
        <v>1894</v>
      </c>
      <c r="F1202" s="34" t="str">
        <f>IFERROR(VLOOKUP(VENTAS[[#This Row],[Código del producto Vendido]],STOCK[],5,FALSE),"-")</f>
        <v>Set de bolso minimalista amarillo</v>
      </c>
      <c r="G1202" s="34">
        <v>1</v>
      </c>
      <c r="H1202" s="35">
        <v>20</v>
      </c>
      <c r="I1202" s="35">
        <f>VENTAS[[#This Row],[Cantidad]]*VENTAS[[#This Row],[Precio Venta]]</f>
        <v>20</v>
      </c>
      <c r="J1202" s="35">
        <f>IF(VENTAS[[#This Row],[Nombre del Gestor]]&gt;1,VENTAS[[#This Row],[Total]]*10%,0)</f>
        <v>2</v>
      </c>
      <c r="K1202" s="35">
        <f>IFERROR(VLOOKUP(VENTAS[[#This Row],[Código del producto Vendido]],STOCK[],16,FALSE)*VENTAS[[#This Row],[Cantidad]]+VLOOKUP(VENTAS[[#This Row],[Código del producto Vendido]],STOCK[],19,FALSE)*VENTAS[[#This Row],[Cantidad]],VENTAS[[#This Row],[Total]])</f>
        <v>12.75</v>
      </c>
      <c r="L1202" s="35">
        <f>VENTAS[[#This Row],[Total]]-VENTAS[[#This Row],[Comisión 10%]]-VENTAS[[#This Row],[Costo SIN Comision]]</f>
        <v>5.25</v>
      </c>
      <c r="M1202" s="35"/>
    </row>
    <row r="1203" ht="20" customHeight="1" spans="1:13">
      <c r="A1203" s="29">
        <v>45511</v>
      </c>
      <c r="B1203" s="30"/>
      <c r="C1203" s="30" t="s">
        <v>3551</v>
      </c>
      <c r="D1203" s="30" t="s">
        <v>3478</v>
      </c>
      <c r="E1203" s="30" t="s">
        <v>2496</v>
      </c>
      <c r="F1203" s="34" t="str">
        <f>IFERROR(VLOOKUP(VENTAS[[#This Row],[Código del producto Vendido]],STOCK[],5,FALSE),"-")</f>
        <v>Bolso tejido redondo de gran capidad </v>
      </c>
      <c r="G1203" s="34">
        <v>1</v>
      </c>
      <c r="H1203" s="35">
        <v>25</v>
      </c>
      <c r="I1203" s="35">
        <f>VENTAS[[#This Row],[Cantidad]]*VENTAS[[#This Row],[Precio Venta]]</f>
        <v>25</v>
      </c>
      <c r="J1203" s="35">
        <f>IF(VENTAS[[#This Row],[Nombre del Gestor]]&gt;1,VENTAS[[#This Row],[Total]]*10%,0)</f>
        <v>2.5</v>
      </c>
      <c r="K1203" s="35">
        <f>IFERROR(VLOOKUP(VENTAS[[#This Row],[Código del producto Vendido]],STOCK[],16,FALSE)*VENTAS[[#This Row],[Cantidad]]+VLOOKUP(VENTAS[[#This Row],[Código del producto Vendido]],STOCK[],19,FALSE)*VENTAS[[#This Row],[Cantidad]],VENTAS[[#This Row],[Total]])</f>
        <v>11.67</v>
      </c>
      <c r="L1203" s="35">
        <f>VENTAS[[#This Row],[Total]]-VENTAS[[#This Row],[Comisión 10%]]-VENTAS[[#This Row],[Costo SIN Comision]]</f>
        <v>10.83</v>
      </c>
      <c r="M1203" s="35"/>
    </row>
    <row r="1204" ht="20" customHeight="1" spans="1:13">
      <c r="A1204" s="29">
        <v>45511</v>
      </c>
      <c r="B1204" s="30"/>
      <c r="C1204" s="30" t="s">
        <v>3552</v>
      </c>
      <c r="D1204" s="30" t="s">
        <v>3478</v>
      </c>
      <c r="E1204" s="30" t="s">
        <v>2454</v>
      </c>
      <c r="F1204" s="34" t="str">
        <f>IFERROR(VLOOKUP(VENTAS[[#This Row],[Código del producto Vendido]],STOCK[],5,FALSE),"-")</f>
        <v>Sandalias prácticas Chunky Negras</v>
      </c>
      <c r="G1204" s="34">
        <v>1</v>
      </c>
      <c r="H1204" s="35">
        <v>35</v>
      </c>
      <c r="I1204" s="35">
        <f>VENTAS[[#This Row],[Cantidad]]*VENTAS[[#This Row],[Precio Venta]]</f>
        <v>35</v>
      </c>
      <c r="J1204" s="35">
        <f>IF(VENTAS[[#This Row],[Nombre del Gestor]]&gt;1,VENTAS[[#This Row],[Total]]*10%,0)</f>
        <v>3.5</v>
      </c>
      <c r="K1204" s="35">
        <f>IFERROR(VLOOKUP(VENTAS[[#This Row],[Código del producto Vendido]],STOCK[],16,FALSE)*VENTAS[[#This Row],[Cantidad]]+VLOOKUP(VENTAS[[#This Row],[Código del producto Vendido]],STOCK[],19,FALSE)*VENTAS[[#This Row],[Cantidad]],VENTAS[[#This Row],[Total]])</f>
        <v>21.97</v>
      </c>
      <c r="L1204" s="35">
        <f>VENTAS[[#This Row],[Total]]-VENTAS[[#This Row],[Comisión 10%]]-VENTAS[[#This Row],[Costo SIN Comision]]</f>
        <v>9.53</v>
      </c>
      <c r="M1204" s="35"/>
    </row>
    <row r="1205" ht="20" customHeight="1" spans="1:13">
      <c r="A1205" s="29">
        <v>45511</v>
      </c>
      <c r="B1205" s="30"/>
      <c r="C1205" s="30" t="s">
        <v>3553</v>
      </c>
      <c r="D1205" s="30" t="s">
        <v>3478</v>
      </c>
      <c r="E1205" s="30" t="s">
        <v>2590</v>
      </c>
      <c r="F1205" s="34" t="str">
        <f>IFERROR(VLOOKUP(VENTAS[[#This Row],[Código del producto Vendido]],STOCK[],5,FALSE),"-")</f>
        <v>Vestido crochet playero de tirantes</v>
      </c>
      <c r="G1205" s="34">
        <v>1</v>
      </c>
      <c r="H1205" s="35">
        <v>30</v>
      </c>
      <c r="I1205" s="35">
        <f>VENTAS[[#This Row],[Cantidad]]*VENTAS[[#This Row],[Precio Venta]]</f>
        <v>30</v>
      </c>
      <c r="J1205" s="35">
        <f>IF(VENTAS[[#This Row],[Nombre del Gestor]]&gt;1,VENTAS[[#This Row],[Total]]*10%,0)</f>
        <v>3</v>
      </c>
      <c r="K1205" s="35">
        <f>IFERROR(VLOOKUP(VENTAS[[#This Row],[Código del producto Vendido]],STOCK[],16,FALSE)*VENTAS[[#This Row],[Cantidad]]+VLOOKUP(VENTAS[[#This Row],[Código del producto Vendido]],STOCK[],19,FALSE)*VENTAS[[#This Row],[Cantidad]],VENTAS[[#This Row],[Total]])</f>
        <v>13.56</v>
      </c>
      <c r="L1205" s="35">
        <f>VENTAS[[#This Row],[Total]]-VENTAS[[#This Row],[Comisión 10%]]-VENTAS[[#This Row],[Costo SIN Comision]]</f>
        <v>13.44</v>
      </c>
      <c r="M1205" s="35"/>
    </row>
    <row r="1206" ht="20" customHeight="1" spans="1:13">
      <c r="A1206" s="29">
        <v>45512</v>
      </c>
      <c r="B1206" s="30"/>
      <c r="C1206" s="30" t="s">
        <v>3554</v>
      </c>
      <c r="D1206" s="30" t="s">
        <v>3478</v>
      </c>
      <c r="E1206" s="30" t="s">
        <v>2600</v>
      </c>
      <c r="F1206" s="34" t="str">
        <f>IFERROR(VLOOKUP(VENTAS[[#This Row],[Código del producto Vendido]],STOCK[],5,FALSE),"-")</f>
        <v>Conjunto falda y top</v>
      </c>
      <c r="G1206" s="34">
        <v>1</v>
      </c>
      <c r="H1206" s="35">
        <v>35</v>
      </c>
      <c r="I1206" s="35">
        <f>VENTAS[[#This Row],[Cantidad]]*VENTAS[[#This Row],[Precio Venta]]</f>
        <v>35</v>
      </c>
      <c r="J1206" s="35">
        <f>IF(VENTAS[[#This Row],[Nombre del Gestor]]&gt;1,VENTAS[[#This Row],[Total]]*10%,0)</f>
        <v>3.5</v>
      </c>
      <c r="K1206" s="35">
        <f>IFERROR(VLOOKUP(VENTAS[[#This Row],[Código del producto Vendido]],STOCK[],16,FALSE)*VENTAS[[#This Row],[Cantidad]]+VLOOKUP(VENTAS[[#This Row],[Código del producto Vendido]],STOCK[],19,FALSE)*VENTAS[[#This Row],[Cantidad]],VENTAS[[#This Row],[Total]])</f>
        <v>13.56</v>
      </c>
      <c r="L1206" s="35">
        <f>VENTAS[[#This Row],[Total]]-VENTAS[[#This Row],[Comisión 10%]]-VENTAS[[#This Row],[Costo SIN Comision]]</f>
        <v>17.94</v>
      </c>
      <c r="M1206" s="35"/>
    </row>
    <row r="1207" ht="20" customHeight="1" spans="1:13">
      <c r="A1207" s="29">
        <v>45517</v>
      </c>
      <c r="B1207" s="30"/>
      <c r="C1207" s="30" t="s">
        <v>3555</v>
      </c>
      <c r="D1207" s="30" t="s">
        <v>3478</v>
      </c>
      <c r="E1207" s="30" t="s">
        <v>2657</v>
      </c>
      <c r="F1207" s="34" t="str">
        <f>IFERROR(VLOOKUP(VENTAS[[#This Row],[Código del producto Vendido]],STOCK[],5,FALSE),"-")</f>
        <v>Pullover blanco de algodón PRIMARK</v>
      </c>
      <c r="G1207" s="34">
        <v>1</v>
      </c>
      <c r="H1207" s="35">
        <v>12</v>
      </c>
      <c r="I1207" s="35">
        <f>VENTAS[[#This Row],[Cantidad]]*VENTAS[[#This Row],[Precio Venta]]</f>
        <v>12</v>
      </c>
      <c r="J1207" s="35">
        <f>IF(VENTAS[[#This Row],[Nombre del Gestor]]&gt;1,VENTAS[[#This Row],[Total]]*10%,0)</f>
        <v>1.2</v>
      </c>
      <c r="K1207" s="35">
        <f>IFERROR(VLOOKUP(VENTAS[[#This Row],[Código del producto Vendido]],STOCK[],16,FALSE)*VENTAS[[#This Row],[Cantidad]]+VLOOKUP(VENTAS[[#This Row],[Código del producto Vendido]],STOCK[],19,FALSE)*VENTAS[[#This Row],[Cantidad]],VENTAS[[#This Row],[Total]])</f>
        <v>8.97</v>
      </c>
      <c r="L1207" s="35">
        <f>VENTAS[[#This Row],[Total]]-VENTAS[[#This Row],[Comisión 10%]]-VENTAS[[#This Row],[Costo SIN Comision]]</f>
        <v>1.83</v>
      </c>
      <c r="M1207" s="35"/>
    </row>
    <row r="1208" ht="20" customHeight="1" spans="1:13">
      <c r="A1208" s="29">
        <v>45517</v>
      </c>
      <c r="B1208" s="30"/>
      <c r="C1208" s="30" t="s">
        <v>3555</v>
      </c>
      <c r="D1208" s="30" t="s">
        <v>3478</v>
      </c>
      <c r="E1208" s="30" t="s">
        <v>2659</v>
      </c>
      <c r="F1208" s="34" t="str">
        <f>IFERROR(VLOOKUP(VENTAS[[#This Row],[Código del producto Vendido]],STOCK[],5,FALSE),"-")</f>
        <v>Pullover blanco de algodón PRIMARK</v>
      </c>
      <c r="G1208" s="34">
        <v>1</v>
      </c>
      <c r="H1208" s="35">
        <v>12</v>
      </c>
      <c r="I1208" s="35">
        <f>VENTAS[[#This Row],[Cantidad]]*VENTAS[[#This Row],[Precio Venta]]</f>
        <v>12</v>
      </c>
      <c r="J1208" s="35">
        <f>IF(VENTAS[[#This Row],[Nombre del Gestor]]&gt;1,VENTAS[[#This Row],[Total]]*10%,0)</f>
        <v>1.2</v>
      </c>
      <c r="K1208" s="35">
        <f>IFERROR(VLOOKUP(VENTAS[[#This Row],[Código del producto Vendido]],STOCK[],16,FALSE)*VENTAS[[#This Row],[Cantidad]]+VLOOKUP(VENTAS[[#This Row],[Código del producto Vendido]],STOCK[],19,FALSE)*VENTAS[[#This Row],[Cantidad]],VENTAS[[#This Row],[Total]])</f>
        <v>8.97</v>
      </c>
      <c r="L1208" s="35">
        <f>VENTAS[[#This Row],[Total]]-VENTAS[[#This Row],[Comisión 10%]]-VENTAS[[#This Row],[Costo SIN Comision]]</f>
        <v>1.83</v>
      </c>
      <c r="M1208" s="35"/>
    </row>
    <row r="1209" ht="20" customHeight="1" spans="1:13">
      <c r="A1209" s="29">
        <v>45517</v>
      </c>
      <c r="B1209" s="30"/>
      <c r="C1209" s="30" t="s">
        <v>3556</v>
      </c>
      <c r="D1209" s="30" t="s">
        <v>3478</v>
      </c>
      <c r="E1209" s="30" t="s">
        <v>2588</v>
      </c>
      <c r="F1209" s="34" t="str">
        <f>IFERROR(VLOOKUP(VENTAS[[#This Row],[Código del producto Vendido]],STOCK[],5,FALSE),"-")</f>
        <v>Vestido crochet Playero espalda descubierta</v>
      </c>
      <c r="G1209" s="34">
        <v>1</v>
      </c>
      <c r="H1209" s="35">
        <v>30</v>
      </c>
      <c r="I1209" s="35">
        <f>VENTAS[[#This Row],[Cantidad]]*VENTAS[[#This Row],[Precio Venta]]</f>
        <v>30</v>
      </c>
      <c r="J1209" s="35">
        <f>IF(VENTAS[[#This Row],[Nombre del Gestor]]&gt;1,VENTAS[[#This Row],[Total]]*10%,0)</f>
        <v>3</v>
      </c>
      <c r="K1209" s="35">
        <f>IFERROR(VLOOKUP(VENTAS[[#This Row],[Código del producto Vendido]],STOCK[],16,FALSE)*VENTAS[[#This Row],[Cantidad]]+VLOOKUP(VENTAS[[#This Row],[Código del producto Vendido]],STOCK[],19,FALSE)*VENTAS[[#This Row],[Cantidad]],VENTAS[[#This Row],[Total]])</f>
        <v>14.02</v>
      </c>
      <c r="L1209" s="35">
        <f>VENTAS[[#This Row],[Total]]-VENTAS[[#This Row],[Comisión 10%]]-VENTAS[[#This Row],[Costo SIN Comision]]</f>
        <v>12.98</v>
      </c>
      <c r="M1209" s="35"/>
    </row>
    <row r="1210" ht="20" customHeight="1" spans="1:13">
      <c r="A1210" s="29">
        <v>45517</v>
      </c>
      <c r="B1210" s="30"/>
      <c r="C1210" s="30" t="s">
        <v>3556</v>
      </c>
      <c r="D1210" s="30" t="s">
        <v>3478</v>
      </c>
      <c r="E1210" s="30" t="s">
        <v>2104</v>
      </c>
      <c r="F1210" s="34" t="str">
        <f>IFERROR(VLOOKUP(VENTAS[[#This Row],[Código del producto Vendido]],STOCK[],5,FALSE),"-")</f>
        <v>Fashion TOTE bag tamaño de gran capacidad</v>
      </c>
      <c r="G1210" s="34">
        <v>1</v>
      </c>
      <c r="H1210" s="35">
        <v>18</v>
      </c>
      <c r="I1210" s="35">
        <f>VENTAS[[#This Row],[Cantidad]]*VENTAS[[#This Row],[Precio Venta]]</f>
        <v>18</v>
      </c>
      <c r="J1210" s="35">
        <f>IF(VENTAS[[#This Row],[Nombre del Gestor]]&gt;1,VENTAS[[#This Row],[Total]]*10%,0)</f>
        <v>1.8</v>
      </c>
      <c r="K1210" s="35">
        <f>IFERROR(VLOOKUP(VENTAS[[#This Row],[Código del producto Vendido]],STOCK[],16,FALSE)*VENTAS[[#This Row],[Cantidad]]+VLOOKUP(VENTAS[[#This Row],[Código del producto Vendido]],STOCK[],19,FALSE)*VENTAS[[#This Row],[Cantidad]],VENTAS[[#This Row],[Total]])</f>
        <v>7.59</v>
      </c>
      <c r="L1210" s="35">
        <f>VENTAS[[#This Row],[Total]]-VENTAS[[#This Row],[Comisión 10%]]-VENTAS[[#This Row],[Costo SIN Comision]]</f>
        <v>8.61</v>
      </c>
      <c r="M1210" s="35"/>
    </row>
    <row r="1211" ht="20" customHeight="1" spans="1:13">
      <c r="A1211" s="29">
        <v>45520</v>
      </c>
      <c r="B1211" s="30"/>
      <c r="C1211" s="30" t="s">
        <v>3557</v>
      </c>
      <c r="D1211" s="30" t="s">
        <v>3478</v>
      </c>
      <c r="E1211" s="30" t="s">
        <v>2484</v>
      </c>
      <c r="F1211" s="34" t="str">
        <f>IFERROR(VLOOKUP(VENTAS[[#This Row],[Código del producto Vendido]],STOCK[],5,FALSE),"-")</f>
        <v>Sandalias prácticas chunky blanco crema</v>
      </c>
      <c r="G1211" s="34">
        <v>1</v>
      </c>
      <c r="H1211" s="35">
        <v>35</v>
      </c>
      <c r="I1211" s="35">
        <f>VENTAS[[#This Row],[Cantidad]]*VENTAS[[#This Row],[Precio Venta]]</f>
        <v>35</v>
      </c>
      <c r="J1211" s="35">
        <f>IF(VENTAS[[#This Row],[Nombre del Gestor]]&gt;1,VENTAS[[#This Row],[Total]]*10%,0)</f>
        <v>3.5</v>
      </c>
      <c r="K1211" s="35">
        <f>IFERROR(VLOOKUP(VENTAS[[#This Row],[Código del producto Vendido]],STOCK[],16,FALSE)*VENTAS[[#This Row],[Cantidad]]+VLOOKUP(VENTAS[[#This Row],[Código del producto Vendido]],STOCK[],19,FALSE)*VENTAS[[#This Row],[Cantidad]],VENTAS[[#This Row],[Total]])</f>
        <v>24.2174</v>
      </c>
      <c r="L1211" s="35">
        <f>VENTAS[[#This Row],[Total]]-VENTAS[[#This Row],[Comisión 10%]]-VENTAS[[#This Row],[Costo SIN Comision]]</f>
        <v>7.2826</v>
      </c>
      <c r="M1211" s="35"/>
    </row>
    <row r="1212" ht="20" customHeight="1" spans="1:13">
      <c r="A1212" s="29">
        <v>45523</v>
      </c>
      <c r="B1212" s="30"/>
      <c r="C1212" s="30" t="s">
        <v>3558</v>
      </c>
      <c r="D1212" s="30" t="s">
        <v>3478</v>
      </c>
      <c r="E1212" s="30" t="s">
        <v>2456</v>
      </c>
      <c r="F1212" s="34" t="str">
        <f>IFERROR(VLOOKUP(VENTAS[[#This Row],[Código del producto Vendido]],STOCK[],5,FALSE),"-")</f>
        <v>Sandalias prácticas Chunky Negras</v>
      </c>
      <c r="G1212" s="34">
        <v>1</v>
      </c>
      <c r="H1212" s="35">
        <v>35</v>
      </c>
      <c r="I1212" s="35">
        <f>VENTAS[[#This Row],[Cantidad]]*VENTAS[[#This Row],[Precio Venta]]</f>
        <v>35</v>
      </c>
      <c r="J1212" s="35">
        <f>IF(VENTAS[[#This Row],[Nombre del Gestor]]&gt;1,VENTAS[[#This Row],[Total]]*10%,0)</f>
        <v>3.5</v>
      </c>
      <c r="K1212" s="35">
        <f>IFERROR(VLOOKUP(VENTAS[[#This Row],[Código del producto Vendido]],STOCK[],16,FALSE)*VENTAS[[#This Row],[Cantidad]]+VLOOKUP(VENTAS[[#This Row],[Código del producto Vendido]],STOCK[],19,FALSE)*VENTAS[[#This Row],[Cantidad]],VENTAS[[#This Row],[Total]])</f>
        <v>21.97</v>
      </c>
      <c r="L1212" s="35">
        <f>VENTAS[[#This Row],[Total]]-VENTAS[[#This Row],[Comisión 10%]]-VENTAS[[#This Row],[Costo SIN Comision]]</f>
        <v>9.53</v>
      </c>
      <c r="M1212" s="35"/>
    </row>
    <row r="1213" ht="20" customHeight="1" spans="1:13">
      <c r="A1213" s="29">
        <v>45526</v>
      </c>
      <c r="B1213" s="30"/>
      <c r="C1213" s="30" t="s">
        <v>3559</v>
      </c>
      <c r="D1213" s="30" t="s">
        <v>3478</v>
      </c>
      <c r="E1213" s="30" t="s">
        <v>1847</v>
      </c>
      <c r="F1213" s="34" t="str">
        <f>IFERROR(VLOOKUP(VENTAS[[#This Row],[Código del producto Vendido]],STOCK[],5,FALSE),"-")</f>
        <v>Crossbody Bag </v>
      </c>
      <c r="G1213" s="34">
        <v>1</v>
      </c>
      <c r="H1213" s="35">
        <v>18</v>
      </c>
      <c r="I1213" s="35">
        <f>VENTAS[[#This Row],[Cantidad]]*VENTAS[[#This Row],[Precio Venta]]</f>
        <v>18</v>
      </c>
      <c r="J1213" s="35">
        <f>IF(VENTAS[[#This Row],[Nombre del Gestor]]&gt;1,VENTAS[[#This Row],[Total]]*10%,0)</f>
        <v>1.8</v>
      </c>
      <c r="K1213" s="35">
        <f>IFERROR(VLOOKUP(VENTAS[[#This Row],[Código del producto Vendido]],STOCK[],16,FALSE)*VENTAS[[#This Row],[Cantidad]]+VLOOKUP(VENTAS[[#This Row],[Código del producto Vendido]],STOCK[],19,FALSE)*VENTAS[[#This Row],[Cantidad]],VENTAS[[#This Row],[Total]])</f>
        <v>10.79</v>
      </c>
      <c r="L1213" s="35">
        <f>VENTAS[[#This Row],[Total]]-VENTAS[[#This Row],[Comisión 10%]]-VENTAS[[#This Row],[Costo SIN Comision]]</f>
        <v>5.41</v>
      </c>
      <c r="M1213" s="35"/>
    </row>
    <row r="1214" ht="20" customHeight="1" spans="1:13">
      <c r="A1214" s="29">
        <v>45526</v>
      </c>
      <c r="B1214" s="30"/>
      <c r="C1214" s="30" t="s">
        <v>3560</v>
      </c>
      <c r="D1214" s="30" t="s">
        <v>3478</v>
      </c>
      <c r="E1214" s="30" t="s">
        <v>1851</v>
      </c>
      <c r="F1214" s="34" t="str">
        <f>IFERROR(VLOOKUP(VENTAS[[#This Row],[Código del producto Vendido]],STOCK[],5,FALSE),"-")</f>
        <v>Crossbody Bag Negro Lacado</v>
      </c>
      <c r="G1214" s="34">
        <v>1</v>
      </c>
      <c r="H1214" s="35">
        <v>20</v>
      </c>
      <c r="I1214" s="35">
        <f>VENTAS[[#This Row],[Cantidad]]*VENTAS[[#This Row],[Precio Venta]]</f>
        <v>20</v>
      </c>
      <c r="J1214" s="35">
        <f>IF(VENTAS[[#This Row],[Nombre del Gestor]]&gt;1,VENTAS[[#This Row],[Total]]*10%,0)</f>
        <v>2</v>
      </c>
      <c r="K1214" s="35">
        <f>IFERROR(VLOOKUP(VENTAS[[#This Row],[Código del producto Vendido]],STOCK[],16,FALSE)*VENTAS[[#This Row],[Cantidad]]+VLOOKUP(VENTAS[[#This Row],[Código del producto Vendido]],STOCK[],19,FALSE)*VENTAS[[#This Row],[Cantidad]],VENTAS[[#This Row],[Total]])</f>
        <v>10.79</v>
      </c>
      <c r="L1214" s="35">
        <f>VENTAS[[#This Row],[Total]]-VENTAS[[#This Row],[Comisión 10%]]-VENTAS[[#This Row],[Costo SIN Comision]]</f>
        <v>7.21</v>
      </c>
      <c r="M1214" s="35"/>
    </row>
    <row r="1215" ht="20" customHeight="1" spans="1:13">
      <c r="A1215" s="29">
        <v>45527</v>
      </c>
      <c r="B1215" s="30"/>
      <c r="C1215" s="30" t="s">
        <v>3561</v>
      </c>
      <c r="D1215" s="30" t="s">
        <v>3478</v>
      </c>
      <c r="E1215" s="30" t="s">
        <v>2674</v>
      </c>
      <c r="F1215" s="34" t="str">
        <f>IFERROR(VLOOKUP(VENTAS[[#This Row],[Código del producto Vendido]],STOCK[],5,FALSE),"-")</f>
        <v>Traje de baño clásico en bloque de color de talle alto</v>
      </c>
      <c r="G1215" s="34">
        <v>1</v>
      </c>
      <c r="H1215" s="35">
        <v>28</v>
      </c>
      <c r="I1215" s="35">
        <f>VENTAS[[#This Row],[Cantidad]]*VENTAS[[#This Row],[Precio Venta]]</f>
        <v>28</v>
      </c>
      <c r="J1215" s="35">
        <f>IF(VENTAS[[#This Row],[Nombre del Gestor]]&gt;1,VENTAS[[#This Row],[Total]]*10%,0)</f>
        <v>2.8</v>
      </c>
      <c r="K1215" s="35">
        <f>IFERROR(VLOOKUP(VENTAS[[#This Row],[Código del producto Vendido]],STOCK[],16,FALSE)*VENTAS[[#This Row],[Cantidad]]+VLOOKUP(VENTAS[[#This Row],[Código del producto Vendido]],STOCK[],19,FALSE)*VENTAS[[#This Row],[Cantidad]],VENTAS[[#This Row],[Total]])</f>
        <v>10.4</v>
      </c>
      <c r="L1215" s="35">
        <f>VENTAS[[#This Row],[Total]]-VENTAS[[#This Row],[Comisión 10%]]-VENTAS[[#This Row],[Costo SIN Comision]]</f>
        <v>14.8</v>
      </c>
      <c r="M1215" s="35"/>
    </row>
    <row r="1216" ht="20" customHeight="1" spans="1:13">
      <c r="A1216" s="29">
        <v>45518</v>
      </c>
      <c r="B1216" s="30"/>
      <c r="C1216" s="30" t="s">
        <v>3562</v>
      </c>
      <c r="D1216" s="30" t="s">
        <v>3478</v>
      </c>
      <c r="E1216" s="30" t="s">
        <v>2598</v>
      </c>
      <c r="F1216" s="34" t="str">
        <f>IFERROR(VLOOKUP(VENTAS[[#This Row],[Código del producto Vendido]],STOCK[],5,FALSE),"-")</f>
        <v>Bolso verano de rafia en bloque de color</v>
      </c>
      <c r="G1216" s="34">
        <v>1</v>
      </c>
      <c r="H1216" s="35">
        <v>20</v>
      </c>
      <c r="I1216" s="35">
        <f>VENTAS[[#This Row],[Cantidad]]*VENTAS[[#This Row],[Precio Venta]]</f>
        <v>20</v>
      </c>
      <c r="J1216" s="35">
        <f>IF(VENTAS[[#This Row],[Nombre del Gestor]]&gt;1,VENTAS[[#This Row],[Total]]*10%,0)</f>
        <v>2</v>
      </c>
      <c r="K1216" s="35">
        <f>IFERROR(VLOOKUP(VENTAS[[#This Row],[Código del producto Vendido]],STOCK[],16,FALSE)*VENTAS[[#This Row],[Cantidad]]+VLOOKUP(VENTAS[[#This Row],[Código del producto Vendido]],STOCK[],19,FALSE)*VENTAS[[#This Row],[Cantidad]],VENTAS[[#This Row],[Total]])</f>
        <v>5.96</v>
      </c>
      <c r="L1216" s="35">
        <f>VENTAS[[#This Row],[Total]]-VENTAS[[#This Row],[Comisión 10%]]-VENTAS[[#This Row],[Costo SIN Comision]]</f>
        <v>12.04</v>
      </c>
      <c r="M1216" s="35"/>
    </row>
    <row r="1217" ht="20" customHeight="1" spans="1:13">
      <c r="A1217" s="29">
        <v>45518</v>
      </c>
      <c r="B1217" s="30"/>
      <c r="C1217" s="30" t="s">
        <v>3562</v>
      </c>
      <c r="D1217" s="30" t="s">
        <v>3478</v>
      </c>
      <c r="E1217" s="30" t="s">
        <v>2585</v>
      </c>
      <c r="F1217" s="34" t="str">
        <f>IFERROR(VLOOKUP(VENTAS[[#This Row],[Código del producto Vendido]],STOCK[],5,FALSE),"-")</f>
        <v>Vestido blanco espalda cruzada</v>
      </c>
      <c r="G1217" s="34">
        <v>1</v>
      </c>
      <c r="H1217" s="35">
        <v>30</v>
      </c>
      <c r="I1217" s="35">
        <f>VENTAS[[#This Row],[Cantidad]]*VENTAS[[#This Row],[Precio Venta]]</f>
        <v>30</v>
      </c>
      <c r="J1217" s="35">
        <f>IF(VENTAS[[#This Row],[Nombre del Gestor]]&gt;1,VENTAS[[#This Row],[Total]]*10%,0)</f>
        <v>3</v>
      </c>
      <c r="K1217" s="35">
        <f>IFERROR(VLOOKUP(VENTAS[[#This Row],[Código del producto Vendido]],STOCK[],16,FALSE)*VENTAS[[#This Row],[Cantidad]]+VLOOKUP(VENTAS[[#This Row],[Código del producto Vendido]],STOCK[],19,FALSE)*VENTAS[[#This Row],[Cantidad]],VENTAS[[#This Row],[Total]])</f>
        <v>15.44</v>
      </c>
      <c r="L1217" s="35">
        <f>VENTAS[[#This Row],[Total]]-VENTAS[[#This Row],[Comisión 10%]]-VENTAS[[#This Row],[Costo SIN Comision]]</f>
        <v>11.56</v>
      </c>
      <c r="M1217" s="35"/>
    </row>
    <row r="1218" ht="20" customHeight="1" spans="1:13">
      <c r="A1218" s="29">
        <v>45518</v>
      </c>
      <c r="B1218" s="30"/>
      <c r="C1218" s="30" t="s">
        <v>3562</v>
      </c>
      <c r="D1218" s="30" t="s">
        <v>3478</v>
      </c>
      <c r="E1218" s="30" t="s">
        <v>2582</v>
      </c>
      <c r="F1218" s="34" t="str">
        <f>IFERROR(VLOOKUP(VENTAS[[#This Row],[Código del producto Vendido]],STOCK[],5,FALSE),"-")</f>
        <v>Vestido negro espalda cruzada</v>
      </c>
      <c r="G1218" s="34">
        <v>1</v>
      </c>
      <c r="H1218" s="35">
        <v>30</v>
      </c>
      <c r="I1218" s="35">
        <f>VENTAS[[#This Row],[Cantidad]]*VENTAS[[#This Row],[Precio Venta]]</f>
        <v>30</v>
      </c>
      <c r="J1218" s="35">
        <f>IF(VENTAS[[#This Row],[Nombre del Gestor]]&gt;1,VENTAS[[#This Row],[Total]]*10%,0)</f>
        <v>3</v>
      </c>
      <c r="K1218" s="35">
        <f>IFERROR(VLOOKUP(VENTAS[[#This Row],[Código del producto Vendido]],STOCK[],16,FALSE)*VENTAS[[#This Row],[Cantidad]]+VLOOKUP(VENTAS[[#This Row],[Código del producto Vendido]],STOCK[],19,FALSE)*VENTAS[[#This Row],[Cantidad]],VENTAS[[#This Row],[Total]])</f>
        <v>15.44</v>
      </c>
      <c r="L1218" s="35">
        <f>VENTAS[[#This Row],[Total]]-VENTAS[[#This Row],[Comisión 10%]]-VENTAS[[#This Row],[Costo SIN Comision]]</f>
        <v>11.56</v>
      </c>
      <c r="M1218" s="35"/>
    </row>
    <row r="1219" ht="20" customHeight="1" spans="1:13">
      <c r="A1219" s="29">
        <v>45518</v>
      </c>
      <c r="B1219" s="30"/>
      <c r="C1219" s="30" t="s">
        <v>3562</v>
      </c>
      <c r="D1219" s="30" t="s">
        <v>3478</v>
      </c>
      <c r="E1219" s="30" t="s">
        <v>2314</v>
      </c>
      <c r="F1219" s="34" t="str">
        <f>IFERROR(VLOOKUP(VENTAS[[#This Row],[Código del producto Vendido]],STOCK[],5,FALSE),"-")</f>
        <v>Vestido color block  bohemio</v>
      </c>
      <c r="G1219" s="34">
        <v>1</v>
      </c>
      <c r="H1219" s="35">
        <v>30</v>
      </c>
      <c r="I1219" s="35">
        <f>VENTAS[[#This Row],[Cantidad]]*VENTAS[[#This Row],[Precio Venta]]</f>
        <v>30</v>
      </c>
      <c r="J1219" s="35">
        <f>IF(VENTAS[[#This Row],[Nombre del Gestor]]&gt;1,VENTAS[[#This Row],[Total]]*10%,0)</f>
        <v>3</v>
      </c>
      <c r="K1219" s="35">
        <f>IFERROR(VLOOKUP(VENTAS[[#This Row],[Código del producto Vendido]],STOCK[],16,FALSE)*VENTAS[[#This Row],[Cantidad]]+VLOOKUP(VENTAS[[#This Row],[Código del producto Vendido]],STOCK[],19,FALSE)*VENTAS[[#This Row],[Cantidad]],VENTAS[[#This Row],[Total]])</f>
        <v>14.684375</v>
      </c>
      <c r="L1219" s="35">
        <f>VENTAS[[#This Row],[Total]]-VENTAS[[#This Row],[Comisión 10%]]-VENTAS[[#This Row],[Costo SIN Comision]]</f>
        <v>12.315625</v>
      </c>
      <c r="M1219" s="35"/>
    </row>
    <row r="1220" ht="20" customHeight="1" spans="1:13">
      <c r="A1220" s="29">
        <v>45518</v>
      </c>
      <c r="B1220" s="30"/>
      <c r="C1220" s="30" t="s">
        <v>3562</v>
      </c>
      <c r="D1220" s="30" t="s">
        <v>3478</v>
      </c>
      <c r="E1220" s="30" t="s">
        <v>2456</v>
      </c>
      <c r="F1220" s="34" t="str">
        <f>IFERROR(VLOOKUP(VENTAS[[#This Row],[Código del producto Vendido]],STOCK[],5,FALSE),"-")</f>
        <v>Sandalias prácticas Chunky Negras</v>
      </c>
      <c r="G1220" s="34">
        <v>1</v>
      </c>
      <c r="H1220" s="35">
        <v>35</v>
      </c>
      <c r="I1220" s="35">
        <f>VENTAS[[#This Row],[Cantidad]]*VENTAS[[#This Row],[Precio Venta]]</f>
        <v>35</v>
      </c>
      <c r="J1220" s="35">
        <f>IF(VENTAS[[#This Row],[Nombre del Gestor]]&gt;1,VENTAS[[#This Row],[Total]]*10%,0)</f>
        <v>3.5</v>
      </c>
      <c r="K1220" s="35">
        <f>IFERROR(VLOOKUP(VENTAS[[#This Row],[Código del producto Vendido]],STOCK[],16,FALSE)*VENTAS[[#This Row],[Cantidad]]+VLOOKUP(VENTAS[[#This Row],[Código del producto Vendido]],STOCK[],19,FALSE)*VENTAS[[#This Row],[Cantidad]],VENTAS[[#This Row],[Total]])</f>
        <v>21.97</v>
      </c>
      <c r="L1220" s="35">
        <f>VENTAS[[#This Row],[Total]]-VENTAS[[#This Row],[Comisión 10%]]-VENTAS[[#This Row],[Costo SIN Comision]]</f>
        <v>9.53</v>
      </c>
      <c r="M1220" s="35"/>
    </row>
    <row r="1221" ht="20" customHeight="1" spans="1:13">
      <c r="A1221" s="29">
        <v>45518</v>
      </c>
      <c r="B1221" s="30"/>
      <c r="C1221" s="30" t="s">
        <v>3562</v>
      </c>
      <c r="D1221" s="30" t="s">
        <v>3478</v>
      </c>
      <c r="E1221" s="30" t="s">
        <v>2638</v>
      </c>
      <c r="F1221" s="34" t="str">
        <f>IFERROR(VLOOKUP(VENTAS[[#This Row],[Código del producto Vendido]],STOCK[],5,FALSE),"-")</f>
        <v>Top de punto y cuello elegante negro H&amp;M</v>
      </c>
      <c r="G1221" s="34">
        <v>1</v>
      </c>
      <c r="H1221" s="35">
        <v>20</v>
      </c>
      <c r="I1221" s="35">
        <f>VENTAS[[#This Row],[Cantidad]]*VENTAS[[#This Row],[Precio Venta]]</f>
        <v>20</v>
      </c>
      <c r="J1221" s="35">
        <f>IF(VENTAS[[#This Row],[Nombre del Gestor]]&gt;1,VENTAS[[#This Row],[Total]]*10%,0)</f>
        <v>2</v>
      </c>
      <c r="K1221" s="35">
        <f>IFERROR(VLOOKUP(VENTAS[[#This Row],[Código del producto Vendido]],STOCK[],16,FALSE)*VENTAS[[#This Row],[Cantidad]]+VLOOKUP(VENTAS[[#This Row],[Código del producto Vendido]],STOCK[],19,FALSE)*VENTAS[[#This Row],[Cantidad]],VENTAS[[#This Row],[Total]])</f>
        <v>10.96</v>
      </c>
      <c r="L1221" s="35">
        <f>VENTAS[[#This Row],[Total]]-VENTAS[[#This Row],[Comisión 10%]]-VENTAS[[#This Row],[Costo SIN Comision]]</f>
        <v>7.04</v>
      </c>
      <c r="M1221" s="35"/>
    </row>
    <row r="1222" ht="20" customHeight="1" spans="1:13">
      <c r="A1222" s="29">
        <v>45518</v>
      </c>
      <c r="B1222" s="30"/>
      <c r="C1222" s="30" t="s">
        <v>3562</v>
      </c>
      <c r="D1222" s="30" t="s">
        <v>3478</v>
      </c>
      <c r="E1222" s="30" t="s">
        <v>2640</v>
      </c>
      <c r="F1222" s="34" t="str">
        <f>IFERROR(VLOOKUP(VENTAS[[#This Row],[Código del producto Vendido]],STOCK[],5,FALSE),"-")</f>
        <v>Top de punto y cuello elegante blanco H&amp;M</v>
      </c>
      <c r="G1222" s="34">
        <v>1</v>
      </c>
      <c r="H1222" s="35">
        <v>20</v>
      </c>
      <c r="I1222" s="35">
        <f>VENTAS[[#This Row],[Cantidad]]*VENTAS[[#This Row],[Precio Venta]]</f>
        <v>20</v>
      </c>
      <c r="J1222" s="35">
        <f>IF(VENTAS[[#This Row],[Nombre del Gestor]]&gt;1,VENTAS[[#This Row],[Total]]*10%,0)</f>
        <v>2</v>
      </c>
      <c r="K1222" s="35">
        <f>IFERROR(VLOOKUP(VENTAS[[#This Row],[Código del producto Vendido]],STOCK[],16,FALSE)*VENTAS[[#This Row],[Cantidad]]+VLOOKUP(VENTAS[[#This Row],[Código del producto Vendido]],STOCK[],19,FALSE)*VENTAS[[#This Row],[Cantidad]],VENTAS[[#This Row],[Total]])</f>
        <v>10.96</v>
      </c>
      <c r="L1222" s="35">
        <f>VENTAS[[#This Row],[Total]]-VENTAS[[#This Row],[Comisión 10%]]-VENTAS[[#This Row],[Costo SIN Comision]]</f>
        <v>7.04</v>
      </c>
      <c r="M1222" s="35"/>
    </row>
    <row r="1223" ht="20" customHeight="1" spans="1:13">
      <c r="A1223" s="29">
        <v>45518</v>
      </c>
      <c r="B1223" s="30"/>
      <c r="C1223" s="30" t="s">
        <v>3563</v>
      </c>
      <c r="D1223" s="30"/>
      <c r="E1223" s="30" t="s">
        <v>2642</v>
      </c>
      <c r="F1223" s="34" t="str">
        <f>IFERROR(VLOOKUP(VENTAS[[#This Row],[Código del producto Vendido]],STOCK[],5,FALSE),"-")</f>
        <v>Top de punto y cuello elegante blanco H&amp;M</v>
      </c>
      <c r="G1223" s="34">
        <v>1</v>
      </c>
      <c r="H1223" s="35">
        <v>0</v>
      </c>
      <c r="I1223" s="35">
        <f>VENTAS[[#This Row],[Cantidad]]*VENTAS[[#This Row],[Precio Venta]]</f>
        <v>0</v>
      </c>
      <c r="J1223" s="35">
        <f>IF(VENTAS[[#This Row],[Nombre del Gestor]]&gt;1,VENTAS[[#This Row],[Total]]*10%,0)</f>
        <v>0</v>
      </c>
      <c r="K1223" s="35">
        <f>IFERROR(VLOOKUP(VENTAS[[#This Row],[Código del producto Vendido]],STOCK[],16,FALSE)*VENTAS[[#This Row],[Cantidad]]+VLOOKUP(VENTAS[[#This Row],[Código del producto Vendido]],STOCK[],19,FALSE)*VENTAS[[#This Row],[Cantidad]],VENTAS[[#This Row],[Total]])</f>
        <v>10.96</v>
      </c>
      <c r="L1223" s="35">
        <f>VENTAS[[#This Row],[Total]]-VENTAS[[#This Row],[Comisión 10%]]-VENTAS[[#This Row],[Costo SIN Comision]]</f>
        <v>-10.96</v>
      </c>
      <c r="M1223" s="35"/>
    </row>
    <row r="1224" ht="20" customHeight="1" spans="1:13">
      <c r="A1224" s="29">
        <v>45512</v>
      </c>
      <c r="B1224" s="30"/>
      <c r="C1224" s="30" t="s">
        <v>3564</v>
      </c>
      <c r="D1224" s="30" t="s">
        <v>3537</v>
      </c>
      <c r="E1224" s="30" t="s">
        <v>2460</v>
      </c>
      <c r="F1224" s="34" t="str">
        <f>IFERROR(VLOOKUP(VENTAS[[#This Row],[Código del producto Vendido]],STOCK[],5,FALSE),"-")</f>
        <v>Sandalias de plataforma en bloque de color</v>
      </c>
      <c r="G1224" s="34">
        <v>1</v>
      </c>
      <c r="H1224" s="35">
        <v>35</v>
      </c>
      <c r="I1224" s="35">
        <f>VENTAS[[#This Row],[Cantidad]]*VENTAS[[#This Row],[Precio Venta]]</f>
        <v>35</v>
      </c>
      <c r="J1224" s="35">
        <f>IF(VENTAS[[#This Row],[Nombre del Gestor]]&gt;1,VENTAS[[#This Row],[Total]]*10%,0)</f>
        <v>3.5</v>
      </c>
      <c r="K1224" s="35">
        <f>IFERROR(VLOOKUP(VENTAS[[#This Row],[Código del producto Vendido]],STOCK[],16,FALSE)*VENTAS[[#This Row],[Cantidad]]+VLOOKUP(VENTAS[[#This Row],[Código del producto Vendido]],STOCK[],19,FALSE)*VENTAS[[#This Row],[Cantidad]],VENTAS[[#This Row],[Total]])</f>
        <v>21.97</v>
      </c>
      <c r="L1224" s="35">
        <f>VENTAS[[#This Row],[Total]]-VENTAS[[#This Row],[Comisión 10%]]-VENTAS[[#This Row],[Costo SIN Comision]]</f>
        <v>9.53</v>
      </c>
      <c r="M1224" s="35"/>
    </row>
    <row r="1225" ht="20" customHeight="1" spans="1:13">
      <c r="A1225" s="29">
        <v>45518</v>
      </c>
      <c r="B1225" s="30"/>
      <c r="C1225" s="30" t="s">
        <v>3557</v>
      </c>
      <c r="D1225" s="30" t="s">
        <v>3537</v>
      </c>
      <c r="E1225" s="30" t="s">
        <v>2498</v>
      </c>
      <c r="F1225" s="34" t="str">
        <f>IFERROR(VLOOKUP(VENTAS[[#This Row],[Código del producto Vendido]],STOCK[],5,FALSE),"-")</f>
        <v>Bolso de playa con diseño de rayas tamaño mediano</v>
      </c>
      <c r="G1225" s="34">
        <v>1</v>
      </c>
      <c r="H1225" s="35">
        <v>22</v>
      </c>
      <c r="I1225" s="35">
        <f>VENTAS[[#This Row],[Cantidad]]*VENTAS[[#This Row],[Precio Venta]]</f>
        <v>22</v>
      </c>
      <c r="J1225" s="35">
        <f>IF(VENTAS[[#This Row],[Nombre del Gestor]]&gt;1,VENTAS[[#This Row],[Total]]*10%,0)</f>
        <v>2.2</v>
      </c>
      <c r="K1225" s="35">
        <f>IFERROR(VLOOKUP(VENTAS[[#This Row],[Código del producto Vendido]],STOCK[],16,FALSE)*VENTAS[[#This Row],[Cantidad]]+VLOOKUP(VENTAS[[#This Row],[Código del producto Vendido]],STOCK[],19,FALSE)*VENTAS[[#This Row],[Cantidad]],VENTAS[[#This Row],[Total]])</f>
        <v>11.3</v>
      </c>
      <c r="L1225" s="35">
        <f>VENTAS[[#This Row],[Total]]-VENTAS[[#This Row],[Comisión 10%]]-VENTAS[[#This Row],[Costo SIN Comision]]</f>
        <v>8.5</v>
      </c>
      <c r="M1225" s="35"/>
    </row>
    <row r="1226" ht="20" customHeight="1" spans="1:13">
      <c r="A1226" s="29">
        <v>45520</v>
      </c>
      <c r="B1226" s="30"/>
      <c r="C1226" s="30" t="s">
        <v>3565</v>
      </c>
      <c r="D1226" s="30" t="s">
        <v>3537</v>
      </c>
      <c r="E1226" s="30" t="s">
        <v>2527</v>
      </c>
      <c r="F1226" s="34" t="str">
        <f>IFERROR(VLOOKUP(VENTAS[[#This Row],[Código del producto Vendido]],STOCK[],5,FALSE),"-")</f>
        <v>Blusa de lazos color negro</v>
      </c>
      <c r="G1226" s="34">
        <v>1</v>
      </c>
      <c r="H1226" s="35">
        <v>18</v>
      </c>
      <c r="I1226" s="35">
        <f>VENTAS[[#This Row],[Cantidad]]*VENTAS[[#This Row],[Precio Venta]]</f>
        <v>18</v>
      </c>
      <c r="J1226" s="35">
        <f>IF(VENTAS[[#This Row],[Nombre del Gestor]]&gt;1,VENTAS[[#This Row],[Total]]*10%,0)</f>
        <v>1.8</v>
      </c>
      <c r="K1226" s="35">
        <f>IFERROR(VLOOKUP(VENTAS[[#This Row],[Código del producto Vendido]],STOCK[],16,FALSE)*VENTAS[[#This Row],[Cantidad]]+VLOOKUP(VENTAS[[#This Row],[Código del producto Vendido]],STOCK[],19,FALSE)*VENTAS[[#This Row],[Cantidad]],VENTAS[[#This Row],[Total]])</f>
        <v>10.22</v>
      </c>
      <c r="L1226" s="35">
        <f>VENTAS[[#This Row],[Total]]-VENTAS[[#This Row],[Comisión 10%]]-VENTAS[[#This Row],[Costo SIN Comision]]</f>
        <v>5.98</v>
      </c>
      <c r="M1226" s="35"/>
    </row>
    <row r="1227" ht="20" customHeight="1" spans="1:13">
      <c r="A1227" s="29">
        <v>45520</v>
      </c>
      <c r="B1227" s="30"/>
      <c r="C1227" s="30" t="s">
        <v>3566</v>
      </c>
      <c r="D1227" s="30" t="s">
        <v>3537</v>
      </c>
      <c r="E1227" s="30" t="s">
        <v>2462</v>
      </c>
      <c r="F1227" s="34" t="str">
        <f>IFERROR(VLOOKUP(VENTAS[[#This Row],[Código del producto Vendido]],STOCK[],5,FALSE),"-")</f>
        <v>Sandalias de plataforma en bloque de color</v>
      </c>
      <c r="G1227" s="34">
        <v>1</v>
      </c>
      <c r="H1227" s="35">
        <v>35</v>
      </c>
      <c r="I1227" s="35">
        <f>VENTAS[[#This Row],[Cantidad]]*VENTAS[[#This Row],[Precio Venta]]</f>
        <v>35</v>
      </c>
      <c r="J1227" s="35">
        <f>IF(VENTAS[[#This Row],[Nombre del Gestor]]&gt;1,VENTAS[[#This Row],[Total]]*10%,0)</f>
        <v>3.5</v>
      </c>
      <c r="K1227" s="35">
        <f>IFERROR(VLOOKUP(VENTAS[[#This Row],[Código del producto Vendido]],STOCK[],16,FALSE)*VENTAS[[#This Row],[Cantidad]]+VLOOKUP(VENTAS[[#This Row],[Código del producto Vendido]],STOCK[],19,FALSE)*VENTAS[[#This Row],[Cantidad]],VENTAS[[#This Row],[Total]])</f>
        <v>21.97</v>
      </c>
      <c r="L1227" s="35">
        <f>VENTAS[[#This Row],[Total]]-VENTAS[[#This Row],[Comisión 10%]]-VENTAS[[#This Row],[Costo SIN Comision]]</f>
        <v>9.53</v>
      </c>
      <c r="M1227" s="35"/>
    </row>
    <row r="1228" ht="20" customHeight="1" spans="1:13">
      <c r="A1228" s="29">
        <v>45520</v>
      </c>
      <c r="B1228" s="30"/>
      <c r="C1228" s="30" t="s">
        <v>3567</v>
      </c>
      <c r="D1228" s="30" t="s">
        <v>3537</v>
      </c>
      <c r="E1228" s="30" t="s">
        <v>2674</v>
      </c>
      <c r="F1228" s="34" t="str">
        <f>IFERROR(VLOOKUP(VENTAS[[#This Row],[Código del producto Vendido]],STOCK[],5,FALSE),"-")</f>
        <v>Traje de baño clásico en bloque de color de talle alto</v>
      </c>
      <c r="G1228" s="34">
        <v>1</v>
      </c>
      <c r="H1228" s="35">
        <v>28</v>
      </c>
      <c r="I1228" s="35">
        <f>VENTAS[[#This Row],[Cantidad]]*VENTAS[[#This Row],[Precio Venta]]</f>
        <v>28</v>
      </c>
      <c r="J1228" s="35">
        <f>IF(VENTAS[[#This Row],[Nombre del Gestor]]&gt;1,VENTAS[[#This Row],[Total]]*10%,0)</f>
        <v>2.8</v>
      </c>
      <c r="K1228" s="35">
        <f>IFERROR(VLOOKUP(VENTAS[[#This Row],[Código del producto Vendido]],STOCK[],16,FALSE)*VENTAS[[#This Row],[Cantidad]]+VLOOKUP(VENTAS[[#This Row],[Código del producto Vendido]],STOCK[],19,FALSE)*VENTAS[[#This Row],[Cantidad]],VENTAS[[#This Row],[Total]])</f>
        <v>10.4</v>
      </c>
      <c r="L1228" s="35">
        <f>VENTAS[[#This Row],[Total]]-VENTAS[[#This Row],[Comisión 10%]]-VENTAS[[#This Row],[Costo SIN Comision]]</f>
        <v>14.8</v>
      </c>
      <c r="M1228" s="35"/>
    </row>
    <row r="1229" ht="20" customHeight="1" spans="1:13">
      <c r="A1229" s="29">
        <v>45521</v>
      </c>
      <c r="B1229" s="30"/>
      <c r="C1229" s="30" t="s">
        <v>3552</v>
      </c>
      <c r="D1229" s="30" t="s">
        <v>3537</v>
      </c>
      <c r="E1229" s="30" t="s">
        <v>1839</v>
      </c>
      <c r="F1229" s="34" t="str">
        <f>IFERROR(VLOOKUP(VENTAS[[#This Row],[Código del producto Vendido]],STOCK[],5,FALSE),"-")</f>
        <v>Maxi Vestido Bodycon </v>
      </c>
      <c r="G1229" s="34">
        <v>1</v>
      </c>
      <c r="H1229" s="35">
        <v>20</v>
      </c>
      <c r="I1229" s="35">
        <f>VENTAS[[#This Row],[Cantidad]]*VENTAS[[#This Row],[Precio Venta]]</f>
        <v>20</v>
      </c>
      <c r="J1229" s="35">
        <f>IF(VENTAS[[#This Row],[Nombre del Gestor]]&gt;1,VENTAS[[#This Row],[Total]]*10%,0)</f>
        <v>2</v>
      </c>
      <c r="K1229" s="35">
        <f>IFERROR(VLOOKUP(VENTAS[[#This Row],[Código del producto Vendido]],STOCK[],16,FALSE)*VENTAS[[#This Row],[Cantidad]]+VLOOKUP(VENTAS[[#This Row],[Código del producto Vendido]],STOCK[],19,FALSE)*VENTAS[[#This Row],[Cantidad]],VENTAS[[#This Row],[Total]])</f>
        <v>11.79</v>
      </c>
      <c r="L1229" s="35">
        <f>VENTAS[[#This Row],[Total]]-VENTAS[[#This Row],[Comisión 10%]]-VENTAS[[#This Row],[Costo SIN Comision]]</f>
        <v>6.21</v>
      </c>
      <c r="M1229" s="35"/>
    </row>
    <row r="1230" ht="20" customHeight="1" spans="1:13">
      <c r="A1230" s="29">
        <v>45521</v>
      </c>
      <c r="B1230" s="30"/>
      <c r="C1230" s="30" t="s">
        <v>3552</v>
      </c>
      <c r="D1230" s="30" t="s">
        <v>3537</v>
      </c>
      <c r="E1230" s="30" t="s">
        <v>1037</v>
      </c>
      <c r="F1230" s="34" t="str">
        <f>IFERROR(VLOOKUP(VENTAS[[#This Row],[Código del producto Vendido]],STOCK[],5,FALSE),"-")</f>
        <v>Falda plisada</v>
      </c>
      <c r="G1230" s="34">
        <v>1</v>
      </c>
      <c r="H1230" s="35">
        <v>25</v>
      </c>
      <c r="I1230" s="35">
        <f>VENTAS[[#This Row],[Cantidad]]*VENTAS[[#This Row],[Precio Venta]]</f>
        <v>25</v>
      </c>
      <c r="J1230" s="35">
        <f>IF(VENTAS[[#This Row],[Nombre del Gestor]]&gt;1,VENTAS[[#This Row],[Total]]*10%,0)</f>
        <v>2.5</v>
      </c>
      <c r="K1230" s="35">
        <f>IFERROR(VLOOKUP(VENTAS[[#This Row],[Código del producto Vendido]],STOCK[],16,FALSE)*VENTAS[[#This Row],[Cantidad]]+VLOOKUP(VENTAS[[#This Row],[Código del producto Vendido]],STOCK[],19,FALSE)*VENTAS[[#This Row],[Cantidad]],VENTAS[[#This Row],[Total]])</f>
        <v>14.625</v>
      </c>
      <c r="L1230" s="35">
        <f>VENTAS[[#This Row],[Total]]-VENTAS[[#This Row],[Comisión 10%]]-VENTAS[[#This Row],[Costo SIN Comision]]</f>
        <v>7.875</v>
      </c>
      <c r="M1230" s="35"/>
    </row>
    <row r="1231" ht="20" customHeight="1" spans="1:13">
      <c r="A1231" s="29">
        <v>45528</v>
      </c>
      <c r="B1231" s="30"/>
      <c r="C1231" s="30" t="s">
        <v>3568</v>
      </c>
      <c r="D1231" s="30" t="s">
        <v>3537</v>
      </c>
      <c r="E1231" s="30" t="s">
        <v>1124</v>
      </c>
      <c r="F1231" s="34" t="str">
        <f>IFERROR(VLOOKUP(VENTAS[[#This Row],[Código del producto Vendido]],STOCK[],5,FALSE),"-")</f>
        <v>Blusa elegante de cuello negro</v>
      </c>
      <c r="G1231" s="34">
        <v>1</v>
      </c>
      <c r="H1231" s="35">
        <v>15</v>
      </c>
      <c r="I1231" s="35">
        <f>VENTAS[[#This Row],[Cantidad]]*VENTAS[[#This Row],[Precio Venta]]</f>
        <v>15</v>
      </c>
      <c r="J1231" s="35">
        <f>IF(VENTAS[[#This Row],[Nombre del Gestor]]&gt;1,VENTAS[[#This Row],[Total]]*10%,0)</f>
        <v>1.5</v>
      </c>
      <c r="K1231" s="35">
        <f>IFERROR(VLOOKUP(VENTAS[[#This Row],[Código del producto Vendido]],STOCK[],16,FALSE)*VENTAS[[#This Row],[Cantidad]]+VLOOKUP(VENTAS[[#This Row],[Código del producto Vendido]],STOCK[],19,FALSE)*VENTAS[[#This Row],[Cantidad]],VENTAS[[#This Row],[Total]])</f>
        <v>12.0941176470588</v>
      </c>
      <c r="L1231" s="35">
        <f>VENTAS[[#This Row],[Total]]-VENTAS[[#This Row],[Comisión 10%]]-VENTAS[[#This Row],[Costo SIN Comision]]</f>
        <v>1.40588235294118</v>
      </c>
      <c r="M1231" s="35"/>
    </row>
    <row r="1232" ht="20" customHeight="1" spans="1:13">
      <c r="A1232" s="29">
        <v>45528</v>
      </c>
      <c r="B1232" s="30"/>
      <c r="C1232" s="30" t="s">
        <v>3568</v>
      </c>
      <c r="D1232" s="30" t="s">
        <v>3537</v>
      </c>
      <c r="E1232" s="30" t="s">
        <v>184</v>
      </c>
      <c r="F1232" s="34" t="str">
        <f>IFERROR(VLOOKUP(VENTAS[[#This Row],[Código del producto Vendido]],STOCK[],5,FALSE),"-")</f>
        <v>Blusa espalda cruzada color rosa</v>
      </c>
      <c r="G1232" s="34">
        <v>1</v>
      </c>
      <c r="H1232" s="35">
        <v>12</v>
      </c>
      <c r="I1232" s="35">
        <f>VENTAS[[#This Row],[Cantidad]]*VENTAS[[#This Row],[Precio Venta]]</f>
        <v>12</v>
      </c>
      <c r="J1232" s="35">
        <f>IF(VENTAS[[#This Row],[Nombre del Gestor]]&gt;1,VENTAS[[#This Row],[Total]]*10%,0)</f>
        <v>1.2</v>
      </c>
      <c r="K1232" s="35">
        <f>IFERROR(VLOOKUP(VENTAS[[#This Row],[Código del producto Vendido]],STOCK[],16,FALSE)*VENTAS[[#This Row],[Cantidad]]+VLOOKUP(VENTAS[[#This Row],[Código del producto Vendido]],STOCK[],19,FALSE)*VENTAS[[#This Row],[Cantidad]],VENTAS[[#This Row],[Total]])</f>
        <v>8.65777777777778</v>
      </c>
      <c r="L1232" s="35">
        <f>VENTAS[[#This Row],[Total]]-VENTAS[[#This Row],[Comisión 10%]]-VENTAS[[#This Row],[Costo SIN Comision]]</f>
        <v>2.14222222222222</v>
      </c>
      <c r="M1232" s="35"/>
    </row>
    <row r="1233" ht="20" customHeight="1" spans="1:13">
      <c r="A1233" s="29">
        <v>45528</v>
      </c>
      <c r="B1233" s="30"/>
      <c r="C1233" s="30" t="s">
        <v>3569</v>
      </c>
      <c r="D1233" s="30" t="s">
        <v>3478</v>
      </c>
      <c r="E1233" s="30" t="s">
        <v>911</v>
      </c>
      <c r="F1233" s="34" t="str">
        <f>IFERROR(VLOOKUP(VENTAS[[#This Row],[Código del producto Vendido]],STOCK[],5,FALSE),"-")</f>
        <v>Bañador de pierna alta</v>
      </c>
      <c r="G1233" s="34">
        <v>1</v>
      </c>
      <c r="H1233" s="35">
        <v>25</v>
      </c>
      <c r="I1233" s="35">
        <f>VENTAS[[#This Row],[Cantidad]]*VENTAS[[#This Row],[Precio Venta]]</f>
        <v>25</v>
      </c>
      <c r="J1233" s="35">
        <f>IF(VENTAS[[#This Row],[Nombre del Gestor]]&gt;1,VENTAS[[#This Row],[Total]]*10%,0)</f>
        <v>2.5</v>
      </c>
      <c r="K1233" s="35">
        <f>IFERROR(VLOOKUP(VENTAS[[#This Row],[Código del producto Vendido]],STOCK[],16,FALSE)*VENTAS[[#This Row],[Cantidad]]+VLOOKUP(VENTAS[[#This Row],[Código del producto Vendido]],STOCK[],19,FALSE)*VENTAS[[#This Row],[Cantidad]],VENTAS[[#This Row],[Total]])</f>
        <v>15.8931818181818</v>
      </c>
      <c r="L1233" s="35">
        <f>VENTAS[[#This Row],[Total]]-VENTAS[[#This Row],[Comisión 10%]]-VENTAS[[#This Row],[Costo SIN Comision]]</f>
        <v>6.60681818181818</v>
      </c>
      <c r="M1233" s="35"/>
    </row>
    <row r="1234" ht="20" customHeight="1" spans="1:13">
      <c r="A1234" s="29">
        <v>45527</v>
      </c>
      <c r="B1234" s="30"/>
      <c r="C1234" s="30" t="s">
        <v>3570</v>
      </c>
      <c r="D1234" s="30"/>
      <c r="E1234" s="30" t="s">
        <v>1113</v>
      </c>
      <c r="F1234" s="34" t="str">
        <f>IFERROR(VLOOKUP(VENTAS[[#This Row],[Código del producto Vendido]],STOCK[],5,FALSE),"-")</f>
        <v>Set de lencería </v>
      </c>
      <c r="G1234" s="34">
        <v>1</v>
      </c>
      <c r="H1234" s="35">
        <v>0</v>
      </c>
      <c r="I1234" s="35">
        <f>VENTAS[[#This Row],[Cantidad]]*VENTAS[[#This Row],[Precio Venta]]</f>
        <v>0</v>
      </c>
      <c r="J1234" s="35">
        <f>IF(VENTAS[[#This Row],[Nombre del Gestor]]&gt;1,VENTAS[[#This Row],[Total]]*10%,0)</f>
        <v>0</v>
      </c>
      <c r="K1234" s="35">
        <f>IFERROR(VLOOKUP(VENTAS[[#This Row],[Código del producto Vendido]],STOCK[],16,FALSE)*VENTAS[[#This Row],[Cantidad]]+VLOOKUP(VENTAS[[#This Row],[Código del producto Vendido]],STOCK[],19,FALSE)*VENTAS[[#This Row],[Cantidad]],VENTAS[[#This Row],[Total]])</f>
        <v>6.43014705882353</v>
      </c>
      <c r="L1234" s="35">
        <f>VENTAS[[#This Row],[Total]]-VENTAS[[#This Row],[Comisión 10%]]-VENTAS[[#This Row],[Costo SIN Comision]]</f>
        <v>-6.43014705882353</v>
      </c>
      <c r="M1234" s="35"/>
    </row>
    <row r="1235" ht="20" customHeight="1" spans="1:13">
      <c r="A1235" s="29">
        <v>45527</v>
      </c>
      <c r="B1235" s="30"/>
      <c r="C1235" s="30" t="s">
        <v>3475</v>
      </c>
      <c r="D1235" s="30"/>
      <c r="E1235" s="30" t="s">
        <v>1231</v>
      </c>
      <c r="F1235" s="34" t="str">
        <f>IFERROR(VLOOKUP(VENTAS[[#This Row],[Código del producto Vendido]],STOCK[],5,FALSE),"-")</f>
        <v>Short elegante de pierna ancha con doblez </v>
      </c>
      <c r="G1235" s="34">
        <v>1</v>
      </c>
      <c r="H1235" s="35">
        <v>15</v>
      </c>
      <c r="I1235" s="35">
        <f>VENTAS[[#This Row],[Cantidad]]*VENTAS[[#This Row],[Precio Venta]]</f>
        <v>15</v>
      </c>
      <c r="J1235" s="35">
        <f>IF(VENTAS[[#This Row],[Nombre del Gestor]]&gt;1,VENTAS[[#This Row],[Total]]*10%,0)</f>
        <v>0</v>
      </c>
      <c r="K1235" s="35">
        <f>IFERROR(VLOOKUP(VENTAS[[#This Row],[Código del producto Vendido]],STOCK[],16,FALSE)*VENTAS[[#This Row],[Cantidad]]+VLOOKUP(VENTAS[[#This Row],[Código del producto Vendido]],STOCK[],19,FALSE)*VENTAS[[#This Row],[Cantidad]],VENTAS[[#This Row],[Total]])</f>
        <v>14.37</v>
      </c>
      <c r="L1235" s="35">
        <f>VENTAS[[#This Row],[Total]]-VENTAS[[#This Row],[Comisión 10%]]-VENTAS[[#This Row],[Costo SIN Comision]]</f>
        <v>0.630000000000001</v>
      </c>
      <c r="M1235" s="35"/>
    </row>
    <row r="1236" ht="20" customHeight="1" spans="1:13">
      <c r="A1236" s="29">
        <v>45527</v>
      </c>
      <c r="B1236" s="30"/>
      <c r="C1236" s="30" t="s">
        <v>3571</v>
      </c>
      <c r="D1236" s="30"/>
      <c r="E1236" s="30" t="s">
        <v>1464</v>
      </c>
      <c r="F1236" s="34" t="str">
        <f>IFERROR(VLOOKUP(VENTAS[[#This Row],[Código del producto Vendido]],STOCK[],5,FALSE),"-")</f>
        <v>Bermuda negra denim</v>
      </c>
      <c r="G1236" s="34">
        <v>1</v>
      </c>
      <c r="H1236" s="35">
        <v>20</v>
      </c>
      <c r="I1236" s="35">
        <f>VENTAS[[#This Row],[Cantidad]]*VENTAS[[#This Row],[Precio Venta]]</f>
        <v>20</v>
      </c>
      <c r="J1236" s="35">
        <f>IF(VENTAS[[#This Row],[Nombre del Gestor]]&gt;1,VENTAS[[#This Row],[Total]]*10%,0)</f>
        <v>0</v>
      </c>
      <c r="K1236" s="35">
        <f>IFERROR(VLOOKUP(VENTAS[[#This Row],[Código del producto Vendido]],STOCK[],16,FALSE)*VENTAS[[#This Row],[Cantidad]]+VLOOKUP(VENTAS[[#This Row],[Código del producto Vendido]],STOCK[],19,FALSE)*VENTAS[[#This Row],[Cantidad]],VENTAS[[#This Row],[Total]])</f>
        <v>17</v>
      </c>
      <c r="L1236" s="35">
        <f>VENTAS[[#This Row],[Total]]-VENTAS[[#This Row],[Comisión 10%]]-VENTAS[[#This Row],[Costo SIN Comision]]</f>
        <v>3</v>
      </c>
      <c r="M1236" s="35"/>
    </row>
    <row r="1237" ht="20" customHeight="1" spans="1:13">
      <c r="A1237" s="29">
        <v>45527</v>
      </c>
      <c r="B1237" s="30"/>
      <c r="C1237" s="30"/>
      <c r="D1237" s="30" t="s">
        <v>3453</v>
      </c>
      <c r="E1237" s="30" t="s">
        <v>1497</v>
      </c>
      <c r="F1237" s="34" t="str">
        <f>IFERROR(VLOOKUP(VENTAS[[#This Row],[Código del producto Vendido]],STOCK[],5,FALSE),"-")</f>
        <v>Pullover Dazy cuello redondo Negro</v>
      </c>
      <c r="G1237" s="34">
        <v>1</v>
      </c>
      <c r="H1237" s="35">
        <v>13</v>
      </c>
      <c r="I1237" s="35">
        <f>VENTAS[[#This Row],[Cantidad]]*VENTAS[[#This Row],[Precio Venta]]</f>
        <v>13</v>
      </c>
      <c r="J1237" s="35">
        <f>IF(VENTAS[[#This Row],[Nombre del Gestor]]&gt;1,VENTAS[[#This Row],[Total]]*10%,0)</f>
        <v>1.3</v>
      </c>
      <c r="K1237" s="35">
        <f>IFERROR(VLOOKUP(VENTAS[[#This Row],[Código del producto Vendido]],STOCK[],16,FALSE)*VENTAS[[#This Row],[Cantidad]]+VLOOKUP(VENTAS[[#This Row],[Código del producto Vendido]],STOCK[],19,FALSE)*VENTAS[[#This Row],[Cantidad]],VENTAS[[#This Row],[Total]])</f>
        <v>7.5</v>
      </c>
      <c r="L1237" s="35">
        <f>VENTAS[[#This Row],[Total]]-VENTAS[[#This Row],[Comisión 10%]]-VENTAS[[#This Row],[Costo SIN Comision]]</f>
        <v>4.2</v>
      </c>
      <c r="M1237" s="35"/>
    </row>
    <row r="1238" ht="20" customHeight="1" spans="1:13">
      <c r="A1238" s="29">
        <v>45527</v>
      </c>
      <c r="B1238" s="30"/>
      <c r="C1238" s="30" t="s">
        <v>3535</v>
      </c>
      <c r="D1238" s="30"/>
      <c r="E1238" s="30" t="s">
        <v>1811</v>
      </c>
      <c r="F1238" s="34" t="str">
        <f>IFERROR(VLOOKUP(VENTAS[[#This Row],[Código del producto Vendido]],STOCK[],5,FALSE),"-")</f>
        <v>Vestido chaleco blazer </v>
      </c>
      <c r="G1238" s="34">
        <v>1</v>
      </c>
      <c r="H1238" s="35">
        <v>35</v>
      </c>
      <c r="I1238" s="35">
        <f>VENTAS[[#This Row],[Cantidad]]*VENTAS[[#This Row],[Precio Venta]]</f>
        <v>35</v>
      </c>
      <c r="J1238" s="35">
        <f>IF(VENTAS[[#This Row],[Nombre del Gestor]]&gt;1,VENTAS[[#This Row],[Total]]*10%,0)</f>
        <v>0</v>
      </c>
      <c r="K1238" s="35">
        <f>IFERROR(VLOOKUP(VENTAS[[#This Row],[Código del producto Vendido]],STOCK[],16,FALSE)*VENTAS[[#This Row],[Cantidad]]+VLOOKUP(VENTAS[[#This Row],[Código del producto Vendido]],STOCK[],19,FALSE)*VENTAS[[#This Row],[Cantidad]],VENTAS[[#This Row],[Total]])</f>
        <v>22.9411764705882</v>
      </c>
      <c r="L1238" s="35">
        <f>VENTAS[[#This Row],[Total]]-VENTAS[[#This Row],[Comisión 10%]]-VENTAS[[#This Row],[Costo SIN Comision]]</f>
        <v>12.0588235294118</v>
      </c>
      <c r="M1238" s="35"/>
    </row>
    <row r="1239" ht="20" customHeight="1" spans="1:13">
      <c r="A1239" s="29">
        <v>45508</v>
      </c>
      <c r="B1239" s="30"/>
      <c r="C1239" s="30" t="s">
        <v>3572</v>
      </c>
      <c r="D1239" s="30" t="s">
        <v>3503</v>
      </c>
      <c r="E1239" s="30" t="s">
        <v>1754</v>
      </c>
      <c r="F1239" s="34" t="str">
        <f>IFERROR(VLOOKUP(VENTAS[[#This Row],[Código del producto Vendido]],STOCK[],5,FALSE),"-")</f>
        <v>Zapatillas blanco casual</v>
      </c>
      <c r="G1239" s="34">
        <v>1</v>
      </c>
      <c r="H1239" s="35">
        <v>32</v>
      </c>
      <c r="I1239" s="35">
        <f>VENTAS[[#This Row],[Cantidad]]*VENTAS[[#This Row],[Precio Venta]]</f>
        <v>32</v>
      </c>
      <c r="J1239" s="35">
        <f>IF(VENTAS[[#This Row],[Nombre del Gestor]]&gt;1,VENTAS[[#This Row],[Total]]*10%,0)</f>
        <v>3.2</v>
      </c>
      <c r="K1239" s="35">
        <f>IFERROR(VLOOKUP(VENTAS[[#This Row],[Código del producto Vendido]],STOCK[],16,FALSE)*VENTAS[[#This Row],[Cantidad]]+VLOOKUP(VENTAS[[#This Row],[Código del producto Vendido]],STOCK[],19,FALSE)*VENTAS[[#This Row],[Cantidad]],VENTAS[[#This Row],[Total]])</f>
        <v>24.4705882352941</v>
      </c>
      <c r="L1239" s="35">
        <f>VENTAS[[#This Row],[Total]]-VENTAS[[#This Row],[Comisión 10%]]-VENTAS[[#This Row],[Costo SIN Comision]]</f>
        <v>4.3294117647059</v>
      </c>
      <c r="M1239" s="35"/>
    </row>
    <row r="1240" ht="20" customHeight="1" spans="1:13">
      <c r="A1240" s="29">
        <v>45508</v>
      </c>
      <c r="B1240" s="30"/>
      <c r="C1240" s="30" t="s">
        <v>3573</v>
      </c>
      <c r="D1240" s="30" t="s">
        <v>3503</v>
      </c>
      <c r="E1240" s="30" t="s">
        <v>2445</v>
      </c>
      <c r="F1240" s="34" t="str">
        <f>IFERROR(VLOOKUP(VENTAS[[#This Row],[Código del producto Vendido]],STOCK[],5,FALSE),"-")</f>
        <v>Sandalias carmelitas de moda con correa de velcro</v>
      </c>
      <c r="G1240" s="34">
        <v>1</v>
      </c>
      <c r="H1240" s="35">
        <v>35</v>
      </c>
      <c r="I1240" s="35">
        <f>VENTAS[[#This Row],[Cantidad]]*VENTAS[[#This Row],[Precio Venta]]</f>
        <v>35</v>
      </c>
      <c r="J1240" s="35">
        <f>IF(VENTAS[[#This Row],[Nombre del Gestor]]&gt;1,VENTAS[[#This Row],[Total]]*10%,0)</f>
        <v>3.5</v>
      </c>
      <c r="K1240" s="35">
        <f>IFERROR(VLOOKUP(VENTAS[[#This Row],[Código del producto Vendido]],STOCK[],16,FALSE)*VENTAS[[#This Row],[Cantidad]]+VLOOKUP(VENTAS[[#This Row],[Código del producto Vendido]],STOCK[],19,FALSE)*VENTAS[[#This Row],[Cantidad]],VENTAS[[#This Row],[Total]])</f>
        <v>19.47</v>
      </c>
      <c r="L1240" s="35">
        <f>VENTAS[[#This Row],[Total]]-VENTAS[[#This Row],[Comisión 10%]]-VENTAS[[#This Row],[Costo SIN Comision]]</f>
        <v>12.03</v>
      </c>
      <c r="M1240" s="35"/>
    </row>
    <row r="1241" ht="20" customHeight="1" spans="1:13">
      <c r="A1241" s="29">
        <v>45509</v>
      </c>
      <c r="B1241" s="30"/>
      <c r="C1241" s="30" t="s">
        <v>3574</v>
      </c>
      <c r="D1241" s="30" t="s">
        <v>3503</v>
      </c>
      <c r="E1241" s="30" t="s">
        <v>604</v>
      </c>
      <c r="F1241" s="34" t="str">
        <f>IFERROR(VLOOKUP(VENTAS[[#This Row],[Código del producto Vendido]],STOCK[],5,FALSE),"-")</f>
        <v>Vestido floral de mangas farol</v>
      </c>
      <c r="G1241" s="34">
        <v>1</v>
      </c>
      <c r="H1241" s="35">
        <v>20</v>
      </c>
      <c r="I1241" s="35">
        <f>VENTAS[[#This Row],[Cantidad]]*VENTAS[[#This Row],[Precio Venta]]</f>
        <v>20</v>
      </c>
      <c r="J1241" s="35">
        <f>IF(VENTAS[[#This Row],[Nombre del Gestor]]&gt;1,VENTAS[[#This Row],[Total]]*10%,0)</f>
        <v>2</v>
      </c>
      <c r="K1241" s="35">
        <f>IFERROR(VLOOKUP(VENTAS[[#This Row],[Código del producto Vendido]],STOCK[],16,FALSE)*VENTAS[[#This Row],[Cantidad]]+VLOOKUP(VENTAS[[#This Row],[Código del producto Vendido]],STOCK[],19,FALSE)*VENTAS[[#This Row],[Cantidad]],VENTAS[[#This Row],[Total]])</f>
        <v>10.7222222222222</v>
      </c>
      <c r="L1241" s="35">
        <f>VENTAS[[#This Row],[Total]]-VENTAS[[#This Row],[Comisión 10%]]-VENTAS[[#This Row],[Costo SIN Comision]]</f>
        <v>7.27777777777778</v>
      </c>
      <c r="M1241" s="35"/>
    </row>
    <row r="1242" ht="20" customHeight="1" spans="1:13">
      <c r="A1242" s="29">
        <v>45509</v>
      </c>
      <c r="B1242" s="30"/>
      <c r="C1242" s="30" t="s">
        <v>3575</v>
      </c>
      <c r="D1242" s="30" t="s">
        <v>3503</v>
      </c>
      <c r="E1242" s="30" t="s">
        <v>1706</v>
      </c>
      <c r="F1242" s="34" t="str">
        <f>IFERROR(VLOOKUP(VENTAS[[#This Row],[Código del producto Vendido]],STOCK[],5,FALSE),"-")</f>
        <v>Vestido acanalado de manga larga</v>
      </c>
      <c r="G1242" s="34">
        <v>1</v>
      </c>
      <c r="H1242" s="35">
        <v>25</v>
      </c>
      <c r="I1242" s="35">
        <f>VENTAS[[#This Row],[Cantidad]]*VENTAS[[#This Row],[Precio Venta]]</f>
        <v>25</v>
      </c>
      <c r="J1242" s="35">
        <f>IF(VENTAS[[#This Row],[Nombre del Gestor]]&gt;1,VENTAS[[#This Row],[Total]]*10%,0)</f>
        <v>2.5</v>
      </c>
      <c r="K1242" s="35">
        <f>IFERROR(VLOOKUP(VENTAS[[#This Row],[Código del producto Vendido]],STOCK[],16,FALSE)*VENTAS[[#This Row],[Cantidad]]+VLOOKUP(VENTAS[[#This Row],[Código del producto Vendido]],STOCK[],19,FALSE)*VENTAS[[#This Row],[Cantidad]],VENTAS[[#This Row],[Total]])</f>
        <v>18.1</v>
      </c>
      <c r="L1242" s="35">
        <f>VENTAS[[#This Row],[Total]]-VENTAS[[#This Row],[Comisión 10%]]-VENTAS[[#This Row],[Costo SIN Comision]]</f>
        <v>4.4</v>
      </c>
      <c r="M1242" s="35"/>
    </row>
    <row r="1243" ht="20" customHeight="1" spans="1:13">
      <c r="A1243" s="29">
        <v>45510</v>
      </c>
      <c r="B1243" s="30"/>
      <c r="C1243" s="30" t="s">
        <v>3576</v>
      </c>
      <c r="D1243" s="30" t="s">
        <v>3503</v>
      </c>
      <c r="E1243" s="30" t="s">
        <v>2558</v>
      </c>
      <c r="F1243" s="34" t="str">
        <f>IFERROR(VLOOKUP(VENTAS[[#This Row],[Código del producto Vendido]],STOCK[],5,FALSE),"-")</f>
        <v>Sombrero Visera de Verano</v>
      </c>
      <c r="G1243" s="34">
        <v>1</v>
      </c>
      <c r="H1243" s="35">
        <v>15</v>
      </c>
      <c r="I1243" s="35">
        <f>VENTAS[[#This Row],[Cantidad]]*VENTAS[[#This Row],[Precio Venta]]</f>
        <v>15</v>
      </c>
      <c r="J1243" s="35">
        <f>IF(VENTAS[[#This Row],[Nombre del Gestor]]&gt;1,VENTAS[[#This Row],[Total]]*10%,0)</f>
        <v>1.5</v>
      </c>
      <c r="K1243" s="35">
        <f>IFERROR(VLOOKUP(VENTAS[[#This Row],[Código del producto Vendido]],STOCK[],16,FALSE)*VENTAS[[#This Row],[Cantidad]]+VLOOKUP(VENTAS[[#This Row],[Código del producto Vendido]],STOCK[],19,FALSE)*VENTAS[[#This Row],[Cantidad]],VENTAS[[#This Row],[Total]])</f>
        <v>6.36</v>
      </c>
      <c r="L1243" s="35">
        <f>VENTAS[[#This Row],[Total]]-VENTAS[[#This Row],[Comisión 10%]]-VENTAS[[#This Row],[Costo SIN Comision]]</f>
        <v>7.14</v>
      </c>
      <c r="M1243" s="35"/>
    </row>
    <row r="1244" ht="20" customHeight="1" spans="1:13">
      <c r="A1244" s="29">
        <v>45510</v>
      </c>
      <c r="B1244" s="30"/>
      <c r="C1244" s="30" t="s">
        <v>3576</v>
      </c>
      <c r="D1244" s="30" t="s">
        <v>3503</v>
      </c>
      <c r="E1244" s="30" t="s">
        <v>2282</v>
      </c>
      <c r="F1244" s="34" t="str">
        <f>IFERROR(VLOOKUP(VENTAS[[#This Row],[Código del producto Vendido]],STOCK[],5,FALSE),"-")</f>
        <v>Bolso de lienzo estampado de corazón</v>
      </c>
      <c r="G1244" s="34">
        <v>1</v>
      </c>
      <c r="H1244" s="35">
        <v>12</v>
      </c>
      <c r="I1244" s="35">
        <f>VENTAS[[#This Row],[Cantidad]]*VENTAS[[#This Row],[Precio Venta]]</f>
        <v>12</v>
      </c>
      <c r="J1244" s="35">
        <f>IF(VENTAS[[#This Row],[Nombre del Gestor]]&gt;1,VENTAS[[#This Row],[Total]]*10%,0)</f>
        <v>1.2</v>
      </c>
      <c r="K1244" s="35">
        <f>IFERROR(VLOOKUP(VENTAS[[#This Row],[Código del producto Vendido]],STOCK[],16,FALSE)*VENTAS[[#This Row],[Cantidad]]+VLOOKUP(VENTAS[[#This Row],[Código del producto Vendido]],STOCK[],19,FALSE)*VENTAS[[#This Row],[Cantidad]],VENTAS[[#This Row],[Total]])</f>
        <v>4.23</v>
      </c>
      <c r="L1244" s="35">
        <f>VENTAS[[#This Row],[Total]]-VENTAS[[#This Row],[Comisión 10%]]-VENTAS[[#This Row],[Costo SIN Comision]]</f>
        <v>6.57</v>
      </c>
      <c r="M1244" s="35"/>
    </row>
    <row r="1245" ht="20" customHeight="1" spans="1:13">
      <c r="A1245" s="29">
        <v>45511</v>
      </c>
      <c r="B1245" s="30"/>
      <c r="C1245" s="30" t="s">
        <v>3577</v>
      </c>
      <c r="D1245" s="30" t="s">
        <v>3503</v>
      </c>
      <c r="E1245" s="30" t="s">
        <v>2530</v>
      </c>
      <c r="F1245" s="34" t="str">
        <f>IFERROR(VLOOKUP(VENTAS[[#This Row],[Código del producto Vendido]],STOCK[],5,FALSE),"-")</f>
        <v>Pullover corto unicolor carmelita</v>
      </c>
      <c r="G1245" s="34">
        <v>1</v>
      </c>
      <c r="H1245" s="35">
        <v>10</v>
      </c>
      <c r="I1245" s="35">
        <f>VENTAS[[#This Row],[Cantidad]]*VENTAS[[#This Row],[Precio Venta]]</f>
        <v>10</v>
      </c>
      <c r="J1245" s="35">
        <f>IF(VENTAS[[#This Row],[Nombre del Gestor]]&gt;1,VENTAS[[#This Row],[Total]]*10%,0)</f>
        <v>1</v>
      </c>
      <c r="K1245" s="35">
        <f>IFERROR(VLOOKUP(VENTAS[[#This Row],[Código del producto Vendido]],STOCK[],16,FALSE)*VENTAS[[#This Row],[Cantidad]]+VLOOKUP(VENTAS[[#This Row],[Código del producto Vendido]],STOCK[],19,FALSE)*VENTAS[[#This Row],[Cantidad]],VENTAS[[#This Row],[Total]])</f>
        <v>4.32</v>
      </c>
      <c r="L1245" s="35">
        <f>VENTAS[[#This Row],[Total]]-VENTAS[[#This Row],[Comisión 10%]]-VENTAS[[#This Row],[Costo SIN Comision]]</f>
        <v>4.68</v>
      </c>
      <c r="M1245" s="35"/>
    </row>
    <row r="1246" ht="20" customHeight="1" spans="1:13">
      <c r="A1246" s="29">
        <v>45511</v>
      </c>
      <c r="B1246" s="30"/>
      <c r="C1246" s="30" t="s">
        <v>3577</v>
      </c>
      <c r="D1246" s="30" t="s">
        <v>3503</v>
      </c>
      <c r="E1246" s="30" t="s">
        <v>2539</v>
      </c>
      <c r="F1246" s="34" t="str">
        <f>IFERROR(VLOOKUP(VENTAS[[#This Row],[Código del producto Vendido]],STOCK[],5,FALSE),"-")</f>
        <v>Pullover corto unicolor beige</v>
      </c>
      <c r="G1246" s="34">
        <v>1</v>
      </c>
      <c r="H1246" s="35">
        <v>10</v>
      </c>
      <c r="I1246" s="35">
        <f>VENTAS[[#This Row],[Cantidad]]*VENTAS[[#This Row],[Precio Venta]]</f>
        <v>10</v>
      </c>
      <c r="J1246" s="35">
        <f>IF(VENTAS[[#This Row],[Nombre del Gestor]]&gt;1,VENTAS[[#This Row],[Total]]*10%,0)</f>
        <v>1</v>
      </c>
      <c r="K1246" s="35">
        <f>IFERROR(VLOOKUP(VENTAS[[#This Row],[Código del producto Vendido]],STOCK[],16,FALSE)*VENTAS[[#This Row],[Cantidad]]+VLOOKUP(VENTAS[[#This Row],[Código del producto Vendido]],STOCK[],19,FALSE)*VENTAS[[#This Row],[Cantidad]],VENTAS[[#This Row],[Total]])</f>
        <v>4.32</v>
      </c>
      <c r="L1246" s="35">
        <f>VENTAS[[#This Row],[Total]]-VENTAS[[#This Row],[Comisión 10%]]-VENTAS[[#This Row],[Costo SIN Comision]]</f>
        <v>4.68</v>
      </c>
      <c r="M1246" s="35"/>
    </row>
    <row r="1247" ht="20" customHeight="1" spans="1:13">
      <c r="A1247" s="29">
        <v>45511</v>
      </c>
      <c r="B1247" s="30"/>
      <c r="C1247" s="30" t="s">
        <v>3578</v>
      </c>
      <c r="D1247" s="30" t="s">
        <v>3503</v>
      </c>
      <c r="E1247" s="30" t="s">
        <v>597</v>
      </c>
      <c r="F1247" s="34" t="str">
        <f>IFERROR(VLOOKUP(VENTAS[[#This Row],[Código del producto Vendido]],STOCK[],5,FALSE),"-")</f>
        <v>Top corsetero asimétrico</v>
      </c>
      <c r="G1247" s="34">
        <v>1</v>
      </c>
      <c r="H1247" s="35">
        <v>9</v>
      </c>
      <c r="I1247" s="35">
        <f>VENTAS[[#This Row],[Cantidad]]*VENTAS[[#This Row],[Precio Venta]]</f>
        <v>9</v>
      </c>
      <c r="J1247" s="35">
        <f>IF(VENTAS[[#This Row],[Nombre del Gestor]]&gt;1,VENTAS[[#This Row],[Total]]*10%,0)</f>
        <v>0.9</v>
      </c>
      <c r="K1247" s="35">
        <f>IFERROR(VLOOKUP(VENTAS[[#This Row],[Código del producto Vendido]],STOCK[],16,FALSE)*VENTAS[[#This Row],[Cantidad]]+VLOOKUP(VENTAS[[#This Row],[Código del producto Vendido]],STOCK[],19,FALSE)*VENTAS[[#This Row],[Cantidad]],VENTAS[[#This Row],[Total]])</f>
        <v>5.56833333333333</v>
      </c>
      <c r="L1247" s="35">
        <f>VENTAS[[#This Row],[Total]]-VENTAS[[#This Row],[Comisión 10%]]-VENTAS[[#This Row],[Costo SIN Comision]]</f>
        <v>2.53166666666667</v>
      </c>
      <c r="M1247" s="35"/>
    </row>
    <row r="1248" ht="20" customHeight="1" spans="1:13">
      <c r="A1248" s="29">
        <v>45516</v>
      </c>
      <c r="B1248" s="30"/>
      <c r="C1248" s="30" t="s">
        <v>3579</v>
      </c>
      <c r="D1248" s="30" t="s">
        <v>3503</v>
      </c>
      <c r="E1248" s="30" t="s">
        <v>2491</v>
      </c>
      <c r="F1248" s="34" t="str">
        <f>IFERROR(VLOOKUP(VENTAS[[#This Row],[Código del producto Vendido]],STOCK[],5,FALSE),"-")</f>
        <v>Blusa blanca de lazos y manga abullonada</v>
      </c>
      <c r="G1248" s="34">
        <v>1</v>
      </c>
      <c r="H1248" s="35">
        <v>18</v>
      </c>
      <c r="I1248" s="35">
        <f>VENTAS[[#This Row],[Cantidad]]*VENTAS[[#This Row],[Precio Venta]]</f>
        <v>18</v>
      </c>
      <c r="J1248" s="35">
        <f>IF(VENTAS[[#This Row],[Nombre del Gestor]]&gt;1,VENTAS[[#This Row],[Total]]*10%,0)</f>
        <v>1.8</v>
      </c>
      <c r="K1248" s="35">
        <f>IFERROR(VLOOKUP(VENTAS[[#This Row],[Código del producto Vendido]],STOCK[],16,FALSE)*VENTAS[[#This Row],[Cantidad]]+VLOOKUP(VENTAS[[#This Row],[Código del producto Vendido]],STOCK[],19,FALSE)*VENTAS[[#This Row],[Cantidad]],VENTAS[[#This Row],[Total]])</f>
        <v>10.94</v>
      </c>
      <c r="L1248" s="35">
        <f>VENTAS[[#This Row],[Total]]-VENTAS[[#This Row],[Comisión 10%]]-VENTAS[[#This Row],[Costo SIN Comision]]</f>
        <v>5.26</v>
      </c>
      <c r="M1248" s="35"/>
    </row>
    <row r="1249" ht="20" customHeight="1" spans="1:13">
      <c r="A1249" s="29">
        <v>45521</v>
      </c>
      <c r="B1249" s="30"/>
      <c r="C1249" s="30" t="s">
        <v>3580</v>
      </c>
      <c r="D1249" s="30" t="s">
        <v>3503</v>
      </c>
      <c r="E1249" s="30" t="s">
        <v>2576</v>
      </c>
      <c r="F1249" s="34" t="str">
        <f>IFERROR(VLOOKUP(VENTAS[[#This Row],[Código del producto Vendido]],STOCK[],5,FALSE),"-")</f>
        <v>Vestido Camisola con estampado de flores y tirantes cruzados</v>
      </c>
      <c r="G1249" s="34">
        <v>1</v>
      </c>
      <c r="H1249" s="35">
        <v>25</v>
      </c>
      <c r="I1249" s="35">
        <f>VENTAS[[#This Row],[Cantidad]]*VENTAS[[#This Row],[Precio Venta]]</f>
        <v>25</v>
      </c>
      <c r="J1249" s="35">
        <f>IF(VENTAS[[#This Row],[Nombre del Gestor]]&gt;1,VENTAS[[#This Row],[Total]]*10%,0)</f>
        <v>2.5</v>
      </c>
      <c r="K1249" s="35">
        <f>IFERROR(VLOOKUP(VENTAS[[#This Row],[Código del producto Vendido]],STOCK[],16,FALSE)*VENTAS[[#This Row],[Cantidad]]+VLOOKUP(VENTAS[[#This Row],[Código del producto Vendido]],STOCK[],19,FALSE)*VENTAS[[#This Row],[Cantidad]],VENTAS[[#This Row],[Total]])</f>
        <v>12.94</v>
      </c>
      <c r="L1249" s="35">
        <f>VENTAS[[#This Row],[Total]]-VENTAS[[#This Row],[Comisión 10%]]-VENTAS[[#This Row],[Costo SIN Comision]]</f>
        <v>9.56</v>
      </c>
      <c r="M1249" s="35"/>
    </row>
    <row r="1250" ht="20" customHeight="1" spans="1:13">
      <c r="A1250" s="29">
        <v>45523</v>
      </c>
      <c r="B1250" s="30"/>
      <c r="C1250" s="30" t="s">
        <v>3581</v>
      </c>
      <c r="D1250" s="30" t="s">
        <v>3503</v>
      </c>
      <c r="E1250" s="30" t="s">
        <v>321</v>
      </c>
      <c r="F1250" s="34" t="str">
        <f>IFERROR(VLOOKUP(VENTAS[[#This Row],[Código del producto Vendido]],STOCK[],5,FALSE),"-")</f>
        <v>Conjunto top corto y pantalones</v>
      </c>
      <c r="G1250" s="34">
        <v>1</v>
      </c>
      <c r="H1250" s="35">
        <v>28</v>
      </c>
      <c r="I1250" s="35">
        <f>VENTAS[[#This Row],[Cantidad]]*VENTAS[[#This Row],[Precio Venta]]</f>
        <v>28</v>
      </c>
      <c r="J1250" s="35">
        <f>IF(VENTAS[[#This Row],[Nombre del Gestor]]&gt;1,VENTAS[[#This Row],[Total]]*10%,0)</f>
        <v>2.8</v>
      </c>
      <c r="K1250" s="35">
        <f>IFERROR(VLOOKUP(VENTAS[[#This Row],[Código del producto Vendido]],STOCK[],16,FALSE)*VENTAS[[#This Row],[Cantidad]]+VLOOKUP(VENTAS[[#This Row],[Código del producto Vendido]],STOCK[],19,FALSE)*VENTAS[[#This Row],[Cantidad]],VENTAS[[#This Row],[Total]])</f>
        <v>18</v>
      </c>
      <c r="L1250" s="35">
        <f>VENTAS[[#This Row],[Total]]-VENTAS[[#This Row],[Comisión 10%]]-VENTAS[[#This Row],[Costo SIN Comision]]</f>
        <v>7.2</v>
      </c>
      <c r="M1250" s="35"/>
    </row>
    <row r="1251" ht="20" customHeight="1" spans="1:13">
      <c r="A1251" s="29">
        <v>45524</v>
      </c>
      <c r="B1251" s="30"/>
      <c r="C1251" s="30" t="s">
        <v>3540</v>
      </c>
      <c r="D1251" s="30" t="s">
        <v>3503</v>
      </c>
      <c r="E1251" s="30" t="s">
        <v>1811</v>
      </c>
      <c r="F1251" s="34" t="str">
        <f>IFERROR(VLOOKUP(VENTAS[[#This Row],[Código del producto Vendido]],STOCK[],5,FALSE),"-")</f>
        <v>Vestido chaleco blazer </v>
      </c>
      <c r="G1251" s="34">
        <v>1</v>
      </c>
      <c r="H1251" s="35">
        <v>35</v>
      </c>
      <c r="I1251" s="35">
        <f>VENTAS[[#This Row],[Cantidad]]*VENTAS[[#This Row],[Precio Venta]]</f>
        <v>35</v>
      </c>
      <c r="J1251" s="35">
        <f>IF(VENTAS[[#This Row],[Nombre del Gestor]]&gt;1,VENTAS[[#This Row],[Total]]*10%,0)</f>
        <v>3.5</v>
      </c>
      <c r="K1251" s="35">
        <f>IFERROR(VLOOKUP(VENTAS[[#This Row],[Código del producto Vendido]],STOCK[],16,FALSE)*VENTAS[[#This Row],[Cantidad]]+VLOOKUP(VENTAS[[#This Row],[Código del producto Vendido]],STOCK[],19,FALSE)*VENTAS[[#This Row],[Cantidad]],VENTAS[[#This Row],[Total]])</f>
        <v>22.9411764705882</v>
      </c>
      <c r="L1251" s="35">
        <f>VENTAS[[#This Row],[Total]]-VENTAS[[#This Row],[Comisión 10%]]-VENTAS[[#This Row],[Costo SIN Comision]]</f>
        <v>8.5588235294118</v>
      </c>
      <c r="M1251" s="35"/>
    </row>
    <row r="1252" ht="20" customHeight="1" spans="1:13">
      <c r="A1252" s="29">
        <v>45525</v>
      </c>
      <c r="B1252" s="30"/>
      <c r="C1252" s="30" t="s">
        <v>3582</v>
      </c>
      <c r="D1252" s="30" t="s">
        <v>3503</v>
      </c>
      <c r="E1252" s="30" t="s">
        <v>2579</v>
      </c>
      <c r="F1252" s="34" t="str">
        <f>IFERROR(VLOOKUP(VENTAS[[#This Row],[Código del producto Vendido]],STOCK[],5,FALSE),"-")</f>
        <v>Vestido Camisola con estampado de flores y tirantes cruzados</v>
      </c>
      <c r="G1252" s="34">
        <v>1</v>
      </c>
      <c r="H1252" s="35">
        <v>25</v>
      </c>
      <c r="I1252" s="35">
        <f>VENTAS[[#This Row],[Cantidad]]*VENTAS[[#This Row],[Precio Venta]]</f>
        <v>25</v>
      </c>
      <c r="J1252" s="35">
        <f>IF(VENTAS[[#This Row],[Nombre del Gestor]]&gt;1,VENTAS[[#This Row],[Total]]*10%,0)</f>
        <v>2.5</v>
      </c>
      <c r="K1252" s="35">
        <f>IFERROR(VLOOKUP(VENTAS[[#This Row],[Código del producto Vendido]],STOCK[],16,FALSE)*VENTAS[[#This Row],[Cantidad]]+VLOOKUP(VENTAS[[#This Row],[Código del producto Vendido]],STOCK[],19,FALSE)*VENTAS[[#This Row],[Cantidad]],VENTAS[[#This Row],[Total]])</f>
        <v>12.94</v>
      </c>
      <c r="L1252" s="35">
        <f>VENTAS[[#This Row],[Total]]-VENTAS[[#This Row],[Comisión 10%]]-VENTAS[[#This Row],[Costo SIN Comision]]</f>
        <v>9.56</v>
      </c>
      <c r="M1252" s="35"/>
    </row>
    <row r="1253" ht="20" customHeight="1" spans="1:13">
      <c r="A1253" s="29">
        <v>45527</v>
      </c>
      <c r="B1253" s="30"/>
      <c r="C1253" s="30" t="s">
        <v>3583</v>
      </c>
      <c r="D1253" s="30" t="s">
        <v>3503</v>
      </c>
      <c r="E1253" s="30" t="s">
        <v>2532</v>
      </c>
      <c r="F1253" s="34" t="str">
        <f>IFERROR(VLOOKUP(VENTAS[[#This Row],[Código del producto Vendido]],STOCK[],5,FALSE),"-")</f>
        <v>Pullover corto unicolor blanco</v>
      </c>
      <c r="G1253" s="34">
        <v>1</v>
      </c>
      <c r="H1253" s="35">
        <v>10</v>
      </c>
      <c r="I1253" s="35">
        <f>VENTAS[[#This Row],[Cantidad]]*VENTAS[[#This Row],[Precio Venta]]</f>
        <v>10</v>
      </c>
      <c r="J1253" s="35">
        <f>IF(VENTAS[[#This Row],[Nombre del Gestor]]&gt;1,VENTAS[[#This Row],[Total]]*10%,0)</f>
        <v>1</v>
      </c>
      <c r="K1253" s="35">
        <f>IFERROR(VLOOKUP(VENTAS[[#This Row],[Código del producto Vendido]],STOCK[],16,FALSE)*VENTAS[[#This Row],[Cantidad]]+VLOOKUP(VENTAS[[#This Row],[Código del producto Vendido]],STOCK[],19,FALSE)*VENTAS[[#This Row],[Cantidad]],VENTAS[[#This Row],[Total]])</f>
        <v>4.32</v>
      </c>
      <c r="L1253" s="35">
        <f>VENTAS[[#This Row],[Total]]-VENTAS[[#This Row],[Comisión 10%]]-VENTAS[[#This Row],[Costo SIN Comision]]</f>
        <v>4.68</v>
      </c>
      <c r="M1253" s="35"/>
    </row>
    <row r="1254" ht="20" customHeight="1" spans="1:13">
      <c r="A1254" s="29">
        <v>45527</v>
      </c>
      <c r="B1254" s="30"/>
      <c r="C1254" s="30" t="s">
        <v>3583</v>
      </c>
      <c r="D1254" s="30" t="s">
        <v>3503</v>
      </c>
      <c r="E1254" s="30" t="s">
        <v>1706</v>
      </c>
      <c r="F1254" s="34" t="str">
        <f>IFERROR(VLOOKUP(VENTAS[[#This Row],[Código del producto Vendido]],STOCK[],5,FALSE),"-")</f>
        <v>Vestido acanalado de manga larga</v>
      </c>
      <c r="G1254" s="34">
        <v>1</v>
      </c>
      <c r="H1254" s="35">
        <v>25</v>
      </c>
      <c r="I1254" s="35">
        <f>VENTAS[[#This Row],[Cantidad]]*VENTAS[[#This Row],[Precio Venta]]</f>
        <v>25</v>
      </c>
      <c r="J1254" s="35">
        <f>IF(VENTAS[[#This Row],[Nombre del Gestor]]&gt;1,VENTAS[[#This Row],[Total]]*10%,0)</f>
        <v>2.5</v>
      </c>
      <c r="K1254" s="35">
        <f>IFERROR(VLOOKUP(VENTAS[[#This Row],[Código del producto Vendido]],STOCK[],16,FALSE)*VENTAS[[#This Row],[Cantidad]]+VLOOKUP(VENTAS[[#This Row],[Código del producto Vendido]],STOCK[],19,FALSE)*VENTAS[[#This Row],[Cantidad]],VENTAS[[#This Row],[Total]])</f>
        <v>18.1</v>
      </c>
      <c r="L1254" s="35">
        <f>VENTAS[[#This Row],[Total]]-VENTAS[[#This Row],[Comisión 10%]]-VENTAS[[#This Row],[Costo SIN Comision]]</f>
        <v>4.4</v>
      </c>
      <c r="M1254" s="35"/>
    </row>
    <row r="1255" ht="20" customHeight="1" spans="1:13">
      <c r="A1255" s="29">
        <v>45528</v>
      </c>
      <c r="B1255" s="30"/>
      <c r="C1255" s="30" t="s">
        <v>3584</v>
      </c>
      <c r="D1255" s="30" t="s">
        <v>3503</v>
      </c>
      <c r="E1255" s="30" t="s">
        <v>859</v>
      </c>
      <c r="F1255" s="34" t="str">
        <f>IFERROR(VLOOKUP(VENTAS[[#This Row],[Código del producto Vendido]],STOCK[],5,FALSE),"-")</f>
        <v>Vestido venturina</v>
      </c>
      <c r="G1255" s="34">
        <v>1</v>
      </c>
      <c r="H1255" s="35">
        <v>16</v>
      </c>
      <c r="I1255" s="35">
        <f>VENTAS[[#This Row],[Cantidad]]*VENTAS[[#This Row],[Precio Venta]]</f>
        <v>16</v>
      </c>
      <c r="J1255" s="35">
        <f>IF(VENTAS[[#This Row],[Nombre del Gestor]]&gt;1,VENTAS[[#This Row],[Total]]*10%,0)</f>
        <v>1.6</v>
      </c>
      <c r="K1255" s="35">
        <f>IFERROR(VLOOKUP(VENTAS[[#This Row],[Código del producto Vendido]],STOCK[],16,FALSE)*VENTAS[[#This Row],[Cantidad]]+VLOOKUP(VENTAS[[#This Row],[Código del producto Vendido]],STOCK[],19,FALSE)*VENTAS[[#This Row],[Cantidad]],VENTAS[[#This Row],[Total]])</f>
        <v>9.11111111111111</v>
      </c>
      <c r="L1255" s="35">
        <f>VENTAS[[#This Row],[Total]]-VENTAS[[#This Row],[Comisión 10%]]-VENTAS[[#This Row],[Costo SIN Comision]]</f>
        <v>5.28888888888889</v>
      </c>
      <c r="M1255" s="35"/>
    </row>
    <row r="1256" ht="20" customHeight="1" spans="1:13">
      <c r="A1256" s="29">
        <v>45509</v>
      </c>
      <c r="B1256" s="30"/>
      <c r="C1256" s="30" t="s">
        <v>3585</v>
      </c>
      <c r="D1256" s="30" t="s">
        <v>3509</v>
      </c>
      <c r="E1256" s="30" t="s">
        <v>2512</v>
      </c>
      <c r="F1256" s="34" t="str">
        <f>IFERROR(VLOOKUP(VENTAS[[#This Row],[Código del producto Vendido]],STOCK[],5,FALSE),"-")</f>
        <v>Bolso pequeño estilo old money</v>
      </c>
      <c r="G1256" s="34">
        <v>1</v>
      </c>
      <c r="H1256" s="35">
        <v>20</v>
      </c>
      <c r="I1256" s="35">
        <f>VENTAS[[#This Row],[Cantidad]]*VENTAS[[#This Row],[Precio Venta]]</f>
        <v>20</v>
      </c>
      <c r="J1256" s="35">
        <f>IF(VENTAS[[#This Row],[Nombre del Gestor]]&gt;1,VENTAS[[#This Row],[Total]]*10%,0)</f>
        <v>2</v>
      </c>
      <c r="K1256" s="35">
        <f>IFERROR(VLOOKUP(VENTAS[[#This Row],[Código del producto Vendido]],STOCK[],16,FALSE)*VENTAS[[#This Row],[Cantidad]]+VLOOKUP(VENTAS[[#This Row],[Código del producto Vendido]],STOCK[],19,FALSE)*VENTAS[[#This Row],[Cantidad]],VENTAS[[#This Row],[Total]])</f>
        <v>11.49</v>
      </c>
      <c r="L1256" s="35">
        <f>VENTAS[[#This Row],[Total]]-VENTAS[[#This Row],[Comisión 10%]]-VENTAS[[#This Row],[Costo SIN Comision]]</f>
        <v>6.51</v>
      </c>
      <c r="M1256" s="35"/>
    </row>
    <row r="1257" ht="20" customHeight="1" spans="1:13">
      <c r="A1257" s="29">
        <v>45526</v>
      </c>
      <c r="B1257" s="30"/>
      <c r="C1257" s="30" t="s">
        <v>3571</v>
      </c>
      <c r="D1257" s="30"/>
      <c r="E1257" s="30" t="s">
        <v>2514</v>
      </c>
      <c r="F1257" s="34" t="str">
        <f>IFERROR(VLOOKUP(VENTAS[[#This Row],[Código del producto Vendido]],STOCK[],5,FALSE),"-")</f>
        <v>Bolso media luna de rafia de tamaño medio</v>
      </c>
      <c r="G1257" s="34">
        <v>1</v>
      </c>
      <c r="H1257" s="35">
        <v>22</v>
      </c>
      <c r="I1257" s="35">
        <f>VENTAS[[#This Row],[Cantidad]]*VENTAS[[#This Row],[Precio Venta]]</f>
        <v>22</v>
      </c>
      <c r="J1257" s="35">
        <f>IF(VENTAS[[#This Row],[Nombre del Gestor]]&gt;1,VENTAS[[#This Row],[Total]]*10%,0)</f>
        <v>0</v>
      </c>
      <c r="K1257" s="35">
        <f>IFERROR(VLOOKUP(VENTAS[[#This Row],[Código del producto Vendido]],STOCK[],16,FALSE)*VENTAS[[#This Row],[Cantidad]]+VLOOKUP(VENTAS[[#This Row],[Código del producto Vendido]],STOCK[],19,FALSE)*VENTAS[[#This Row],[Cantidad]],VENTAS[[#This Row],[Total]])</f>
        <v>12.83</v>
      </c>
      <c r="L1257" s="35">
        <f>VENTAS[[#This Row],[Total]]-VENTAS[[#This Row],[Comisión 10%]]-VENTAS[[#This Row],[Costo SIN Comision]]</f>
        <v>9.17</v>
      </c>
      <c r="M1257" s="35"/>
    </row>
    <row r="1258" ht="20" customHeight="1" spans="1:13">
      <c r="A1258" s="29">
        <v>45509</v>
      </c>
      <c r="B1258" s="30"/>
      <c r="C1258" s="30" t="s">
        <v>3585</v>
      </c>
      <c r="D1258" s="30" t="s">
        <v>3509</v>
      </c>
      <c r="E1258" s="30" t="s">
        <v>2496</v>
      </c>
      <c r="F1258" s="34" t="str">
        <f>IFERROR(VLOOKUP(VENTAS[[#This Row],[Código del producto Vendido]],STOCK[],5,FALSE),"-")</f>
        <v>Bolso tejido redondo de gran capidad </v>
      </c>
      <c r="G1258" s="34">
        <v>1</v>
      </c>
      <c r="H1258" s="35">
        <v>25</v>
      </c>
      <c r="I1258" s="35">
        <f>VENTAS[[#This Row],[Cantidad]]*VENTAS[[#This Row],[Precio Venta]]</f>
        <v>25</v>
      </c>
      <c r="J1258" s="35">
        <f>IF(VENTAS[[#This Row],[Nombre del Gestor]]&gt;1,VENTAS[[#This Row],[Total]]*10%,0)</f>
        <v>2.5</v>
      </c>
      <c r="K1258" s="35">
        <f>IFERROR(VLOOKUP(VENTAS[[#This Row],[Código del producto Vendido]],STOCK[],16,FALSE)*VENTAS[[#This Row],[Cantidad]]+VLOOKUP(VENTAS[[#This Row],[Código del producto Vendido]],STOCK[],19,FALSE)*VENTAS[[#This Row],[Cantidad]],VENTAS[[#This Row],[Total]])</f>
        <v>11.67</v>
      </c>
      <c r="L1258" s="35">
        <f>VENTAS[[#This Row],[Total]]-VENTAS[[#This Row],[Comisión 10%]]-VENTAS[[#This Row],[Costo SIN Comision]]</f>
        <v>10.83</v>
      </c>
      <c r="M1258" s="35"/>
    </row>
    <row r="1259" ht="20" customHeight="1" spans="1:13">
      <c r="A1259" s="29">
        <v>45520</v>
      </c>
      <c r="B1259" s="30"/>
      <c r="C1259" s="30" t="s">
        <v>3586</v>
      </c>
      <c r="D1259" s="30" t="s">
        <v>3509</v>
      </c>
      <c r="E1259" s="30" t="s">
        <v>2219</v>
      </c>
      <c r="F1259" s="34" t="str">
        <f>IFERROR(VLOOKUP(VENTAS[[#This Row],[Código del producto Vendido]],STOCK[],5,FALSE),"-")</f>
        <v>Set de bikini con cobertor de playa</v>
      </c>
      <c r="G1259" s="34">
        <v>1</v>
      </c>
      <c r="H1259" s="35">
        <v>25</v>
      </c>
      <c r="I1259" s="35">
        <f>VENTAS[[#This Row],[Cantidad]]*VENTAS[[#This Row],[Precio Venta]]</f>
        <v>25</v>
      </c>
      <c r="J1259" s="35">
        <f>IF(VENTAS[[#This Row],[Nombre del Gestor]]&gt;1,VENTAS[[#This Row],[Total]]*10%,0)</f>
        <v>2.5</v>
      </c>
      <c r="K1259" s="35">
        <f>IFERROR(VLOOKUP(VENTAS[[#This Row],[Código del producto Vendido]],STOCK[],16,FALSE)*VENTAS[[#This Row],[Cantidad]]+VLOOKUP(VENTAS[[#This Row],[Código del producto Vendido]],STOCK[],19,FALSE)*VENTAS[[#This Row],[Cantidad]],VENTAS[[#This Row],[Total]])</f>
        <v>11.65</v>
      </c>
      <c r="L1259" s="35">
        <f>VENTAS[[#This Row],[Total]]-VENTAS[[#This Row],[Comisión 10%]]-VENTAS[[#This Row],[Costo SIN Comision]]</f>
        <v>10.85</v>
      </c>
      <c r="M1259" s="35"/>
    </row>
    <row r="1260" ht="20" customHeight="1" spans="1:13">
      <c r="A1260" s="29">
        <v>45513</v>
      </c>
      <c r="B1260" s="30"/>
      <c r="C1260" s="30" t="s">
        <v>3587</v>
      </c>
      <c r="D1260" s="30" t="s">
        <v>3510</v>
      </c>
      <c r="E1260" s="30" t="s">
        <v>2598</v>
      </c>
      <c r="F1260" s="34" t="str">
        <f>IFERROR(VLOOKUP(VENTAS[[#This Row],[Código del producto Vendido]],STOCK[],5,FALSE),"-")</f>
        <v>Bolso verano de rafia en bloque de color</v>
      </c>
      <c r="G1260" s="34">
        <v>1</v>
      </c>
      <c r="H1260" s="35">
        <v>22</v>
      </c>
      <c r="I1260" s="35">
        <f>VENTAS[[#This Row],[Cantidad]]*VENTAS[[#This Row],[Precio Venta]]</f>
        <v>22</v>
      </c>
      <c r="J1260" s="35">
        <f>IF(VENTAS[[#This Row],[Nombre del Gestor]]&gt;1,VENTAS[[#This Row],[Total]]*10%,0)</f>
        <v>2.2</v>
      </c>
      <c r="K1260" s="35">
        <f>IFERROR(VLOOKUP(VENTAS[[#This Row],[Código del producto Vendido]],STOCK[],16,FALSE)*VENTAS[[#This Row],[Cantidad]]+VLOOKUP(VENTAS[[#This Row],[Código del producto Vendido]],STOCK[],19,FALSE)*VENTAS[[#This Row],[Cantidad]],VENTAS[[#This Row],[Total]])</f>
        <v>5.96</v>
      </c>
      <c r="L1260" s="35">
        <f>VENTAS[[#This Row],[Total]]-VENTAS[[#This Row],[Comisión 10%]]-VENTAS[[#This Row],[Costo SIN Comision]]</f>
        <v>13.84</v>
      </c>
      <c r="M1260" s="35"/>
    </row>
    <row r="1261" ht="20" customHeight="1" spans="1:13">
      <c r="A1261" s="29">
        <v>45508</v>
      </c>
      <c r="B1261" s="30"/>
      <c r="C1261" s="30" t="s">
        <v>3588</v>
      </c>
      <c r="D1261" s="30" t="s">
        <v>3509</v>
      </c>
      <c r="E1261" s="30" t="s">
        <v>2672</v>
      </c>
      <c r="F1261" s="34" t="str">
        <f>IFERROR(VLOOKUP(VENTAS[[#This Row],[Código del producto Vendido]],STOCK[],5,FALSE),"-")</f>
        <v>Traje de baño clásico en bloque de color de talle alto</v>
      </c>
      <c r="G1261" s="34">
        <v>1</v>
      </c>
      <c r="H1261" s="35">
        <v>28</v>
      </c>
      <c r="I1261" s="35">
        <f>VENTAS[[#This Row],[Cantidad]]*VENTAS[[#This Row],[Precio Venta]]</f>
        <v>28</v>
      </c>
      <c r="J1261" s="35">
        <f>IF(VENTAS[[#This Row],[Nombre del Gestor]]&gt;1,VENTAS[[#This Row],[Total]]*10%,0)</f>
        <v>2.8</v>
      </c>
      <c r="K1261" s="35">
        <f>IFERROR(VLOOKUP(VENTAS[[#This Row],[Código del producto Vendido]],STOCK[],16,FALSE)*VENTAS[[#This Row],[Cantidad]]+VLOOKUP(VENTAS[[#This Row],[Código del producto Vendido]],STOCK[],19,FALSE)*VENTAS[[#This Row],[Cantidad]],VENTAS[[#This Row],[Total]])</f>
        <v>10.4</v>
      </c>
      <c r="L1261" s="35">
        <f>VENTAS[[#This Row],[Total]]-VENTAS[[#This Row],[Comisión 10%]]-VENTAS[[#This Row],[Costo SIN Comision]]</f>
        <v>14.8</v>
      </c>
      <c r="M1261" s="35"/>
    </row>
    <row r="1262" ht="20" customHeight="1" spans="1:13">
      <c r="A1262" s="29">
        <v>45512</v>
      </c>
      <c r="B1262" s="30"/>
      <c r="C1262" s="30" t="s">
        <v>3589</v>
      </c>
      <c r="D1262" s="30" t="s">
        <v>3509</v>
      </c>
      <c r="E1262" s="30" t="s">
        <v>2491</v>
      </c>
      <c r="F1262" s="34" t="str">
        <f>IFERROR(VLOOKUP(VENTAS[[#This Row],[Código del producto Vendido]],STOCK[],5,FALSE),"-")</f>
        <v>Blusa blanca de lazos y manga abullonada</v>
      </c>
      <c r="G1262" s="34">
        <v>1</v>
      </c>
      <c r="H1262" s="35">
        <v>18</v>
      </c>
      <c r="I1262" s="35">
        <f>VENTAS[[#This Row],[Cantidad]]*VENTAS[[#This Row],[Precio Venta]]</f>
        <v>18</v>
      </c>
      <c r="J1262" s="35">
        <f>IF(VENTAS[[#This Row],[Nombre del Gestor]]&gt;1,VENTAS[[#This Row],[Total]]*10%,0)</f>
        <v>1.8</v>
      </c>
      <c r="K1262" s="35">
        <f>IFERROR(VLOOKUP(VENTAS[[#This Row],[Código del producto Vendido]],STOCK[],16,FALSE)*VENTAS[[#This Row],[Cantidad]]+VLOOKUP(VENTAS[[#This Row],[Código del producto Vendido]],STOCK[],19,FALSE)*VENTAS[[#This Row],[Cantidad]],VENTAS[[#This Row],[Total]])</f>
        <v>10.94</v>
      </c>
      <c r="L1262" s="35">
        <f>VENTAS[[#This Row],[Total]]-VENTAS[[#This Row],[Comisión 10%]]-VENTAS[[#This Row],[Costo SIN Comision]]</f>
        <v>5.26</v>
      </c>
      <c r="M1262" s="35"/>
    </row>
    <row r="1263" ht="20" customHeight="1" spans="1:13">
      <c r="A1263" s="29">
        <v>45523</v>
      </c>
      <c r="B1263" s="30"/>
      <c r="C1263" s="30" t="s">
        <v>3590</v>
      </c>
      <c r="D1263" s="30" t="s">
        <v>3509</v>
      </c>
      <c r="E1263" s="30" t="s">
        <v>109</v>
      </c>
      <c r="F1263" s="34" t="str">
        <f>IFERROR(VLOOKUP(VENTAS[[#This Row],[Código del producto Vendido]],STOCK[],5,FALSE),"-")</f>
        <v>Bañador de zíper en color combinado</v>
      </c>
      <c r="G1263" s="34">
        <v>1</v>
      </c>
      <c r="H1263" s="35">
        <v>25</v>
      </c>
      <c r="I1263" s="35">
        <f>VENTAS[[#This Row],[Cantidad]]*VENTAS[[#This Row],[Precio Venta]]</f>
        <v>25</v>
      </c>
      <c r="J1263" s="35">
        <f>IF(VENTAS[[#This Row],[Nombre del Gestor]]&gt;1,VENTAS[[#This Row],[Total]]*10%,0)</f>
        <v>2.5</v>
      </c>
      <c r="K1263" s="35">
        <f>IFERROR(VLOOKUP(VENTAS[[#This Row],[Código del producto Vendido]],STOCK[],16,FALSE)*VENTAS[[#This Row],[Cantidad]]+VLOOKUP(VENTAS[[#This Row],[Código del producto Vendido]],STOCK[],19,FALSE)*VENTAS[[#This Row],[Cantidad]],VENTAS[[#This Row],[Total]])</f>
        <v>19.1588888888889</v>
      </c>
      <c r="L1263" s="35">
        <f>VENTAS[[#This Row],[Total]]-VENTAS[[#This Row],[Comisión 10%]]-VENTAS[[#This Row],[Costo SIN Comision]]</f>
        <v>3.3411111111111</v>
      </c>
      <c r="M1263" s="35"/>
    </row>
    <row r="1264" ht="20" customHeight="1" spans="1:13">
      <c r="A1264" s="29">
        <v>45527</v>
      </c>
      <c r="B1264" s="30"/>
      <c r="C1264" s="30" t="s">
        <v>3591</v>
      </c>
      <c r="D1264" s="30" t="s">
        <v>3510</v>
      </c>
      <c r="E1264" s="30" t="s">
        <v>2691</v>
      </c>
      <c r="F1264" s="34" t="str">
        <f>IFERROR(VLOOKUP(VENTAS[[#This Row],[Código del producto Vendido]],STOCK[],5,FALSE),"-")</f>
        <v>Set de Splash y crema de Victoria Secret (Original) Bare Vainilla</v>
      </c>
      <c r="G1264" s="34">
        <v>1</v>
      </c>
      <c r="H1264" s="35">
        <v>40</v>
      </c>
      <c r="I1264" s="35">
        <f>VENTAS[[#This Row],[Cantidad]]*VENTAS[[#This Row],[Precio Venta]]</f>
        <v>40</v>
      </c>
      <c r="J1264" s="35">
        <f>IF(VENTAS[[#This Row],[Nombre del Gestor]]&gt;1,VENTAS[[#This Row],[Total]]*10%,0)</f>
        <v>4</v>
      </c>
      <c r="K1264" s="35">
        <f>IFERROR(VLOOKUP(VENTAS[[#This Row],[Código del producto Vendido]],STOCK[],16,FALSE)*VENTAS[[#This Row],[Cantidad]]+VLOOKUP(VENTAS[[#This Row],[Código del producto Vendido]],STOCK[],19,FALSE)*VENTAS[[#This Row],[Cantidad]],VENTAS[[#This Row],[Total]])</f>
        <v>16.37</v>
      </c>
      <c r="L1264" s="35">
        <f>VENTAS[[#This Row],[Total]]-VENTAS[[#This Row],[Comisión 10%]]-VENTAS[[#This Row],[Costo SIN Comision]]</f>
        <v>19.63</v>
      </c>
      <c r="M1264" s="35"/>
    </row>
    <row r="1265" ht="20" customHeight="1" spans="1:13">
      <c r="A1265" s="29">
        <v>45510</v>
      </c>
      <c r="B1265" s="30"/>
      <c r="C1265" s="30" t="s">
        <v>3592</v>
      </c>
      <c r="D1265" s="30" t="s">
        <v>3448</v>
      </c>
      <c r="E1265" s="30" t="s">
        <v>2584</v>
      </c>
      <c r="F1265" s="34" t="str">
        <f>IFERROR(VLOOKUP(VENTAS[[#This Row],[Código del producto Vendido]],STOCK[],5,FALSE),"-")</f>
        <v>Vestido blanco espalda cruzada</v>
      </c>
      <c r="G1265" s="34">
        <v>1</v>
      </c>
      <c r="H1265" s="35">
        <v>30</v>
      </c>
      <c r="I1265" s="35">
        <f>VENTAS[[#This Row],[Cantidad]]*VENTAS[[#This Row],[Precio Venta]]</f>
        <v>30</v>
      </c>
      <c r="J1265" s="35">
        <f>IF(VENTAS[[#This Row],[Nombre del Gestor]]&gt;1,VENTAS[[#This Row],[Total]]*10%,0)</f>
        <v>3</v>
      </c>
      <c r="K1265" s="35">
        <f>IFERROR(VLOOKUP(VENTAS[[#This Row],[Código del producto Vendido]],STOCK[],16,FALSE)*VENTAS[[#This Row],[Cantidad]]+VLOOKUP(VENTAS[[#This Row],[Código del producto Vendido]],STOCK[],19,FALSE)*VENTAS[[#This Row],[Cantidad]],VENTAS[[#This Row],[Total]])</f>
        <v>15.44</v>
      </c>
      <c r="L1265" s="35">
        <f>VENTAS[[#This Row],[Total]]-VENTAS[[#This Row],[Comisión 10%]]-VENTAS[[#This Row],[Costo SIN Comision]]</f>
        <v>11.56</v>
      </c>
      <c r="M1265" s="35"/>
    </row>
    <row r="1266" ht="20" customHeight="1" spans="1:13">
      <c r="A1266" s="29">
        <v>45511</v>
      </c>
      <c r="B1266" s="30"/>
      <c r="C1266" s="30" t="s">
        <v>3593</v>
      </c>
      <c r="D1266" s="30" t="s">
        <v>3448</v>
      </c>
      <c r="E1266" s="30" t="s">
        <v>2496</v>
      </c>
      <c r="F1266" s="34" t="str">
        <f>IFERROR(VLOOKUP(VENTAS[[#This Row],[Código del producto Vendido]],STOCK[],5,FALSE),"-")</f>
        <v>Bolso tejido redondo de gran capidad </v>
      </c>
      <c r="G1266" s="34">
        <v>1</v>
      </c>
      <c r="H1266" s="35">
        <v>25</v>
      </c>
      <c r="I1266" s="35">
        <f>VENTAS[[#This Row],[Cantidad]]*VENTAS[[#This Row],[Precio Venta]]</f>
        <v>25</v>
      </c>
      <c r="J1266" s="35">
        <f>IF(VENTAS[[#This Row],[Nombre del Gestor]]&gt;1,VENTAS[[#This Row],[Total]]*10%,0)</f>
        <v>2.5</v>
      </c>
      <c r="K1266" s="35">
        <f>IFERROR(VLOOKUP(VENTAS[[#This Row],[Código del producto Vendido]],STOCK[],16,FALSE)*VENTAS[[#This Row],[Cantidad]]+VLOOKUP(VENTAS[[#This Row],[Código del producto Vendido]],STOCK[],19,FALSE)*VENTAS[[#This Row],[Cantidad]],VENTAS[[#This Row],[Total]])</f>
        <v>11.67</v>
      </c>
      <c r="L1266" s="35">
        <f>VENTAS[[#This Row],[Total]]-VENTAS[[#This Row],[Comisión 10%]]-VENTAS[[#This Row],[Costo SIN Comision]]</f>
        <v>10.83</v>
      </c>
      <c r="M1266" s="35"/>
    </row>
    <row r="1267" ht="20" customHeight="1" spans="1:13">
      <c r="A1267" s="29">
        <v>45527</v>
      </c>
      <c r="B1267" s="30"/>
      <c r="C1267" s="30" t="s">
        <v>3538</v>
      </c>
      <c r="D1267" s="30" t="s">
        <v>3448</v>
      </c>
      <c r="E1267" s="30" t="s">
        <v>2507</v>
      </c>
      <c r="F1267" s="34" t="str">
        <f>IFERROR(VLOOKUP(VENTAS[[#This Row],[Código del producto Vendido]],STOCK[],5,FALSE),"-")</f>
        <v>Falda Pantalón de mezclilla</v>
      </c>
      <c r="G1267" s="34">
        <v>1</v>
      </c>
      <c r="H1267" s="35">
        <v>30</v>
      </c>
      <c r="I1267" s="35">
        <f>VENTAS[[#This Row],[Cantidad]]*VENTAS[[#This Row],[Precio Venta]]</f>
        <v>30</v>
      </c>
      <c r="J1267" s="35">
        <f>IF(VENTAS[[#This Row],[Nombre del Gestor]]&gt;1,VENTAS[[#This Row],[Total]]*10%,0)</f>
        <v>3</v>
      </c>
      <c r="K1267" s="35">
        <f>IFERROR(VLOOKUP(VENTAS[[#This Row],[Código del producto Vendido]],STOCK[],16,FALSE)*VENTAS[[#This Row],[Cantidad]]+VLOOKUP(VENTAS[[#This Row],[Código del producto Vendido]],STOCK[],19,FALSE)*VENTAS[[#This Row],[Cantidad]],VENTAS[[#This Row],[Total]])</f>
        <v>19.19</v>
      </c>
      <c r="L1267" s="35">
        <f>VENTAS[[#This Row],[Total]]-VENTAS[[#This Row],[Comisión 10%]]-VENTAS[[#This Row],[Costo SIN Comision]]</f>
        <v>7.81</v>
      </c>
      <c r="M1267" s="35"/>
    </row>
    <row r="1268" ht="20" customHeight="1" spans="1:13">
      <c r="A1268" s="29">
        <v>45527</v>
      </c>
      <c r="B1268" s="30"/>
      <c r="C1268" s="30" t="s">
        <v>3538</v>
      </c>
      <c r="D1268" s="30" t="s">
        <v>3448</v>
      </c>
      <c r="E1268" s="30" t="s">
        <v>100</v>
      </c>
      <c r="F1268" s="34" t="str">
        <f>IFERROR(VLOOKUP(VENTAS[[#This Row],[Código del producto Vendido]],STOCK[],5,FALSE),"-")</f>
        <v>Pareo pantalón de malla</v>
      </c>
      <c r="G1268" s="34">
        <v>1</v>
      </c>
      <c r="H1268" s="35">
        <v>15</v>
      </c>
      <c r="I1268" s="35">
        <f>VENTAS[[#This Row],[Cantidad]]*VENTAS[[#This Row],[Precio Venta]]</f>
        <v>15</v>
      </c>
      <c r="J1268" s="35">
        <f>IF(VENTAS[[#This Row],[Nombre del Gestor]]&gt;1,VENTAS[[#This Row],[Total]]*10%,0)</f>
        <v>1.5</v>
      </c>
      <c r="K1268" s="35">
        <f>IFERROR(VLOOKUP(VENTAS[[#This Row],[Código del producto Vendido]],STOCK[],16,FALSE)*VENTAS[[#This Row],[Cantidad]]+VLOOKUP(VENTAS[[#This Row],[Código del producto Vendido]],STOCK[],19,FALSE)*VENTAS[[#This Row],[Cantidad]],VENTAS[[#This Row],[Total]])</f>
        <v>9.78555555555556</v>
      </c>
      <c r="L1268" s="35">
        <f>VENTAS[[#This Row],[Total]]-VENTAS[[#This Row],[Comisión 10%]]-VENTAS[[#This Row],[Costo SIN Comision]]</f>
        <v>3.71444444444444</v>
      </c>
      <c r="M1268" s="35"/>
    </row>
    <row r="1269" ht="20" customHeight="1" spans="1:13">
      <c r="A1269" s="29">
        <v>45526</v>
      </c>
      <c r="B1269" s="30"/>
      <c r="C1269" s="30" t="s">
        <v>3594</v>
      </c>
      <c r="D1269" s="30" t="s">
        <v>3448</v>
      </c>
      <c r="E1269" s="30" t="s">
        <v>2486</v>
      </c>
      <c r="F1269" s="34" t="str">
        <f>IFERROR(VLOOKUP(VENTAS[[#This Row],[Código del producto Vendido]],STOCK[],5,FALSE),"-")</f>
        <v>Sandalias prácticas chunky blanco crema</v>
      </c>
      <c r="G1269" s="34">
        <v>1</v>
      </c>
      <c r="H1269" s="35">
        <v>35</v>
      </c>
      <c r="I1269" s="35">
        <f>VENTAS[[#This Row],[Cantidad]]*VENTAS[[#This Row],[Precio Venta]]</f>
        <v>35</v>
      </c>
      <c r="J1269" s="35">
        <f>IF(VENTAS[[#This Row],[Nombre del Gestor]]&gt;1,VENTAS[[#This Row],[Total]]*10%,0)</f>
        <v>3.5</v>
      </c>
      <c r="K1269" s="35">
        <f>IFERROR(VLOOKUP(VENTAS[[#This Row],[Código del producto Vendido]],STOCK[],16,FALSE)*VENTAS[[#This Row],[Cantidad]]+VLOOKUP(VENTAS[[#This Row],[Código del producto Vendido]],STOCK[],19,FALSE)*VENTAS[[#This Row],[Cantidad]],VENTAS[[#This Row],[Total]])</f>
        <v>24.2174</v>
      </c>
      <c r="L1269" s="35">
        <f>VENTAS[[#This Row],[Total]]-VENTAS[[#This Row],[Comisión 10%]]-VENTAS[[#This Row],[Costo SIN Comision]]</f>
        <v>7.2826</v>
      </c>
      <c r="M1269" s="35"/>
    </row>
    <row r="1270" ht="20" customHeight="1" spans="1:13">
      <c r="A1270" s="29">
        <v>45514</v>
      </c>
      <c r="B1270" s="30"/>
      <c r="C1270" s="30" t="s">
        <v>3542</v>
      </c>
      <c r="D1270" s="30" t="s">
        <v>3448</v>
      </c>
      <c r="E1270" s="30" t="s">
        <v>2524</v>
      </c>
      <c r="F1270" s="34" t="str">
        <f>IFERROR(VLOOKUP(VENTAS[[#This Row],[Código del producto Vendido]],STOCK[],5,FALSE),"-")</f>
        <v>Blusa de lazos color negro</v>
      </c>
      <c r="G1270" s="34">
        <v>1</v>
      </c>
      <c r="H1270" s="35">
        <v>18</v>
      </c>
      <c r="I1270" s="35">
        <f>VENTAS[[#This Row],[Cantidad]]*VENTAS[[#This Row],[Precio Venta]]</f>
        <v>18</v>
      </c>
      <c r="J1270" s="35">
        <f>IF(VENTAS[[#This Row],[Nombre del Gestor]]&gt;1,VENTAS[[#This Row],[Total]]*10%,0)</f>
        <v>1.8</v>
      </c>
      <c r="K1270" s="35">
        <f>IFERROR(VLOOKUP(VENTAS[[#This Row],[Código del producto Vendido]],STOCK[],16,FALSE)*VENTAS[[#This Row],[Cantidad]]+VLOOKUP(VENTAS[[#This Row],[Código del producto Vendido]],STOCK[],19,FALSE)*VENTAS[[#This Row],[Cantidad]],VENTAS[[#This Row],[Total]])</f>
        <v>10.22</v>
      </c>
      <c r="L1270" s="35">
        <f>VENTAS[[#This Row],[Total]]-VENTAS[[#This Row],[Comisión 10%]]-VENTAS[[#This Row],[Costo SIN Comision]]</f>
        <v>5.98</v>
      </c>
      <c r="M1270" s="35"/>
    </row>
    <row r="1271" ht="20" customHeight="1" spans="1:13">
      <c r="A1271" s="29">
        <v>45513</v>
      </c>
      <c r="B1271" s="30"/>
      <c r="C1271" s="30" t="s">
        <v>3595</v>
      </c>
      <c r="D1271" s="30" t="s">
        <v>3448</v>
      </c>
      <c r="E1271" s="30" t="s">
        <v>2584</v>
      </c>
      <c r="F1271" s="34" t="str">
        <f>IFERROR(VLOOKUP(VENTAS[[#This Row],[Código del producto Vendido]],STOCK[],5,FALSE),"-")</f>
        <v>Vestido blanco espalda cruzada</v>
      </c>
      <c r="G1271" s="34">
        <v>1</v>
      </c>
      <c r="H1271" s="35">
        <v>30</v>
      </c>
      <c r="I1271" s="35">
        <f>VENTAS[[#This Row],[Cantidad]]*VENTAS[[#This Row],[Precio Venta]]</f>
        <v>30</v>
      </c>
      <c r="J1271" s="35">
        <f>IF(VENTAS[[#This Row],[Nombre del Gestor]]&gt;1,VENTAS[[#This Row],[Total]]*10%,0)</f>
        <v>3</v>
      </c>
      <c r="K1271" s="35">
        <f>IFERROR(VLOOKUP(VENTAS[[#This Row],[Código del producto Vendido]],STOCK[],16,FALSE)*VENTAS[[#This Row],[Cantidad]]+VLOOKUP(VENTAS[[#This Row],[Código del producto Vendido]],STOCK[],19,FALSE)*VENTAS[[#This Row],[Cantidad]],VENTAS[[#This Row],[Total]])</f>
        <v>15.44</v>
      </c>
      <c r="L1271" s="35">
        <f>VENTAS[[#This Row],[Total]]-VENTAS[[#This Row],[Comisión 10%]]-VENTAS[[#This Row],[Costo SIN Comision]]</f>
        <v>11.56</v>
      </c>
      <c r="M1271" s="35"/>
    </row>
    <row r="1272" ht="20" customHeight="1" spans="1:13">
      <c r="A1272" s="29">
        <v>45514</v>
      </c>
      <c r="B1272" s="30"/>
      <c r="C1272" s="30" t="s">
        <v>3596</v>
      </c>
      <c r="D1272" s="30" t="s">
        <v>3448</v>
      </c>
      <c r="E1272" s="30" t="s">
        <v>2462</v>
      </c>
      <c r="F1272" s="34" t="str">
        <f>IFERROR(VLOOKUP(VENTAS[[#This Row],[Código del producto Vendido]],STOCK[],5,FALSE),"-")</f>
        <v>Sandalias de plataforma en bloque de color</v>
      </c>
      <c r="G1272" s="34">
        <v>1</v>
      </c>
      <c r="H1272" s="35">
        <v>35</v>
      </c>
      <c r="I1272" s="35">
        <f>VENTAS[[#This Row],[Cantidad]]*VENTAS[[#This Row],[Precio Venta]]</f>
        <v>35</v>
      </c>
      <c r="J1272" s="35">
        <f>IF(VENTAS[[#This Row],[Nombre del Gestor]]&gt;1,VENTAS[[#This Row],[Total]]*10%,0)</f>
        <v>3.5</v>
      </c>
      <c r="K1272" s="35">
        <f>IFERROR(VLOOKUP(VENTAS[[#This Row],[Código del producto Vendido]],STOCK[],16,FALSE)*VENTAS[[#This Row],[Cantidad]]+VLOOKUP(VENTAS[[#This Row],[Código del producto Vendido]],STOCK[],19,FALSE)*VENTAS[[#This Row],[Cantidad]],VENTAS[[#This Row],[Total]])</f>
        <v>21.97</v>
      </c>
      <c r="L1272" s="35">
        <f>VENTAS[[#This Row],[Total]]-VENTAS[[#This Row],[Comisión 10%]]-VENTAS[[#This Row],[Costo SIN Comision]]</f>
        <v>9.53</v>
      </c>
      <c r="M1272" s="35"/>
    </row>
    <row r="1273" ht="20" customHeight="1" spans="1:13">
      <c r="A1273" s="29">
        <v>45521</v>
      </c>
      <c r="B1273" s="30"/>
      <c r="C1273" s="30" t="s">
        <v>3447</v>
      </c>
      <c r="D1273" s="30" t="s">
        <v>3448</v>
      </c>
      <c r="E1273" s="30" t="s">
        <v>1122</v>
      </c>
      <c r="F1273" s="34" t="str">
        <f>IFERROR(VLOOKUP(VENTAS[[#This Row],[Código del producto Vendido]],STOCK[],5,FALSE),"-")</f>
        <v>Sandalias de tacón con tiras </v>
      </c>
      <c r="G1273" s="34">
        <v>1</v>
      </c>
      <c r="H1273" s="35">
        <v>40</v>
      </c>
      <c r="I1273" s="35">
        <f>VENTAS[[#This Row],[Cantidad]]*VENTAS[[#This Row],[Precio Venta]]</f>
        <v>40</v>
      </c>
      <c r="J1273" s="35">
        <f>IF(VENTAS[[#This Row],[Nombre del Gestor]]&gt;1,VENTAS[[#This Row],[Total]]*10%,0)</f>
        <v>4</v>
      </c>
      <c r="K1273" s="35">
        <f>IFERROR(VLOOKUP(VENTAS[[#This Row],[Código del producto Vendido]],STOCK[],16,FALSE)*VENTAS[[#This Row],[Cantidad]]+VLOOKUP(VENTAS[[#This Row],[Código del producto Vendido]],STOCK[],19,FALSE)*VENTAS[[#This Row],[Cantidad]],VENTAS[[#This Row],[Total]])</f>
        <v>27.1529411764706</v>
      </c>
      <c r="L1273" s="35">
        <f>VENTAS[[#This Row],[Total]]-VENTAS[[#This Row],[Comisión 10%]]-VENTAS[[#This Row],[Costo SIN Comision]]</f>
        <v>8.8470588235294</v>
      </c>
      <c r="M1273" s="35"/>
    </row>
    <row r="1274" ht="20" customHeight="1" spans="1:13">
      <c r="A1274" s="29">
        <v>45523</v>
      </c>
      <c r="B1274" s="30"/>
      <c r="C1274" s="30" t="s">
        <v>3597</v>
      </c>
      <c r="D1274" s="30" t="s">
        <v>3448</v>
      </c>
      <c r="E1274" s="30" t="s">
        <v>1735</v>
      </c>
      <c r="F1274" s="34" t="str">
        <f>IFERROR(VLOOKUP(VENTAS[[#This Row],[Código del producto Vendido]],STOCK[],5,FALSE),"-")</f>
        <v>Chaleco de traje Negro</v>
      </c>
      <c r="G1274" s="34">
        <v>1</v>
      </c>
      <c r="H1274" s="35">
        <v>25</v>
      </c>
      <c r="I1274" s="35">
        <f>VENTAS[[#This Row],[Cantidad]]*VENTAS[[#This Row],[Precio Venta]]</f>
        <v>25</v>
      </c>
      <c r="J1274" s="35">
        <f>IF(VENTAS[[#This Row],[Nombre del Gestor]]&gt;1,VENTAS[[#This Row],[Total]]*10%,0)</f>
        <v>2.5</v>
      </c>
      <c r="K1274" s="35">
        <f>IFERROR(VLOOKUP(VENTAS[[#This Row],[Código del producto Vendido]],STOCK[],16,FALSE)*VENTAS[[#This Row],[Cantidad]]+VLOOKUP(VENTAS[[#This Row],[Código del producto Vendido]],STOCK[],19,FALSE)*VENTAS[[#This Row],[Cantidad]],VENTAS[[#This Row],[Total]])</f>
        <v>17.9411764705882</v>
      </c>
      <c r="L1274" s="35">
        <f>VENTAS[[#This Row],[Total]]-VENTAS[[#This Row],[Comisión 10%]]-VENTAS[[#This Row],[Costo SIN Comision]]</f>
        <v>4.5588235294118</v>
      </c>
      <c r="M1274" s="35"/>
    </row>
    <row r="1275" ht="20" customHeight="1" spans="1:13">
      <c r="A1275" s="29">
        <v>45513</v>
      </c>
      <c r="B1275" s="30"/>
      <c r="C1275" s="30" t="s">
        <v>3598</v>
      </c>
      <c r="D1275" s="30" t="s">
        <v>3448</v>
      </c>
      <c r="E1275" s="30" t="s">
        <v>2625</v>
      </c>
      <c r="F1275" s="34" t="str">
        <f>IFERROR(VLOOKUP(VENTAS[[#This Row],[Código del producto Vendido]],STOCK[],5,FALSE),"-")</f>
        <v>Vestido verde cruzado H&amp;M</v>
      </c>
      <c r="G1275" s="34">
        <v>1</v>
      </c>
      <c r="H1275" s="35">
        <v>28</v>
      </c>
      <c r="I1275" s="35">
        <f>VENTAS[[#This Row],[Cantidad]]*VENTAS[[#This Row],[Precio Venta]]</f>
        <v>28</v>
      </c>
      <c r="J1275" s="35">
        <f>IF(VENTAS[[#This Row],[Nombre del Gestor]]&gt;1,VENTAS[[#This Row],[Total]]*10%,0)</f>
        <v>2.8</v>
      </c>
      <c r="K1275" s="35">
        <f>IFERROR(VLOOKUP(VENTAS[[#This Row],[Código del producto Vendido]],STOCK[],16,FALSE)*VENTAS[[#This Row],[Cantidad]]+VLOOKUP(VENTAS[[#This Row],[Código del producto Vendido]],STOCK[],19,FALSE)*VENTAS[[#This Row],[Cantidad]],VENTAS[[#This Row],[Total]])</f>
        <v>13.96</v>
      </c>
      <c r="L1275" s="35">
        <f>VENTAS[[#This Row],[Total]]-VENTAS[[#This Row],[Comisión 10%]]-VENTAS[[#This Row],[Costo SIN Comision]]</f>
        <v>11.24</v>
      </c>
      <c r="M1275" s="35"/>
    </row>
    <row r="1276" ht="20" customHeight="1" spans="1:13">
      <c r="A1276" s="29">
        <v>45513</v>
      </c>
      <c r="B1276" s="30"/>
      <c r="C1276" s="30" t="s">
        <v>3598</v>
      </c>
      <c r="D1276" s="30" t="s">
        <v>3448</v>
      </c>
      <c r="E1276" s="30" t="s">
        <v>2611</v>
      </c>
      <c r="F1276" s="34" t="str">
        <f>IFERROR(VLOOKUP(VENTAS[[#This Row],[Código del producto Vendido]],STOCK[],5,FALSE),"-")</f>
        <v>Vestido Maxi Negro Ajustado Elegante de hombro atado</v>
      </c>
      <c r="G1276" s="34">
        <v>1</v>
      </c>
      <c r="H1276" s="35">
        <v>25</v>
      </c>
      <c r="I1276" s="35">
        <f>VENTAS[[#This Row],[Cantidad]]*VENTAS[[#This Row],[Precio Venta]]</f>
        <v>25</v>
      </c>
      <c r="J1276" s="35">
        <f>IF(VENTAS[[#This Row],[Nombre del Gestor]]&gt;1,VENTAS[[#This Row],[Total]]*10%,0)</f>
        <v>2.5</v>
      </c>
      <c r="K1276" s="35">
        <f>IFERROR(VLOOKUP(VENTAS[[#This Row],[Código del producto Vendido]],STOCK[],16,FALSE)*VENTAS[[#This Row],[Cantidad]]+VLOOKUP(VENTAS[[#This Row],[Código del producto Vendido]],STOCK[],19,FALSE)*VENTAS[[#This Row],[Cantidad]],VENTAS[[#This Row],[Total]])</f>
        <v>13.14</v>
      </c>
      <c r="L1276" s="35">
        <f>VENTAS[[#This Row],[Total]]-VENTAS[[#This Row],[Comisión 10%]]-VENTAS[[#This Row],[Costo SIN Comision]]</f>
        <v>9.36</v>
      </c>
      <c r="M1276" s="35"/>
    </row>
    <row r="1277" ht="20" customHeight="1" spans="1:13">
      <c r="A1277" s="29">
        <v>45527</v>
      </c>
      <c r="B1277" s="30"/>
      <c r="C1277" s="30" t="s">
        <v>3599</v>
      </c>
      <c r="D1277" s="30" t="s">
        <v>3600</v>
      </c>
      <c r="E1277" s="30" t="s">
        <v>2561</v>
      </c>
      <c r="F1277" s="34" t="str">
        <f>IFERROR(VLOOKUP(VENTAS[[#This Row],[Código del producto Vendido]],STOCK[],5,FALSE),"-")</f>
        <v>Top corto de lazo delantero </v>
      </c>
      <c r="G1277" s="34">
        <v>1</v>
      </c>
      <c r="H1277" s="35">
        <v>17</v>
      </c>
      <c r="I1277" s="35">
        <f>VENTAS[[#This Row],[Cantidad]]*VENTAS[[#This Row],[Precio Venta]]</f>
        <v>17</v>
      </c>
      <c r="J1277" s="35">
        <f>IF(VENTAS[[#This Row],[Nombre del Gestor]]&gt;1,VENTAS[[#This Row],[Total]]*10%,0)</f>
        <v>1.7</v>
      </c>
      <c r="K1277" s="35">
        <f>IFERROR(VLOOKUP(VENTAS[[#This Row],[Código del producto Vendido]],STOCK[],16,FALSE)*VENTAS[[#This Row],[Cantidad]]+VLOOKUP(VENTAS[[#This Row],[Código del producto Vendido]],STOCK[],19,FALSE)*VENTAS[[#This Row],[Cantidad]],VENTAS[[#This Row],[Total]])</f>
        <v>11.45</v>
      </c>
      <c r="L1277" s="35">
        <f>VENTAS[[#This Row],[Total]]-VENTAS[[#This Row],[Comisión 10%]]-VENTAS[[#This Row],[Costo SIN Comision]]</f>
        <v>3.85</v>
      </c>
      <c r="M1277" s="35"/>
    </row>
    <row r="1278" ht="20" customHeight="1" spans="1:13">
      <c r="A1278" s="29">
        <v>45527</v>
      </c>
      <c r="B1278" s="30"/>
      <c r="C1278" s="30" t="s">
        <v>3601</v>
      </c>
      <c r="D1278" s="30" t="s">
        <v>3602</v>
      </c>
      <c r="E1278" s="30" t="s">
        <v>2303</v>
      </c>
      <c r="F1278" s="34" t="str">
        <f>IFERROR(VLOOKUP(VENTAS[[#This Row],[Código del producto Vendido]],STOCK[],5,FALSE),"-")</f>
        <v>Bikini atado a los lados con estampado de cerezas</v>
      </c>
      <c r="G1278" s="34">
        <v>1</v>
      </c>
      <c r="H1278" s="35">
        <v>18</v>
      </c>
      <c r="I1278" s="35">
        <f>VENTAS[[#This Row],[Cantidad]]*VENTAS[[#This Row],[Precio Venta]]</f>
        <v>18</v>
      </c>
      <c r="J1278" s="35">
        <f>IF(VENTAS[[#This Row],[Nombre del Gestor]]&gt;1,VENTAS[[#This Row],[Total]]*10%,0)</f>
        <v>1.8</v>
      </c>
      <c r="K1278" s="35">
        <f>IFERROR(VLOOKUP(VENTAS[[#This Row],[Código del producto Vendido]],STOCK[],16,FALSE)*VENTAS[[#This Row],[Cantidad]]+VLOOKUP(VENTAS[[#This Row],[Código del producto Vendido]],STOCK[],19,FALSE)*VENTAS[[#This Row],[Cantidad]],VENTAS[[#This Row],[Total]])</f>
        <v>11.009375</v>
      </c>
      <c r="L1278" s="35">
        <f>VENTAS[[#This Row],[Total]]-VENTAS[[#This Row],[Comisión 10%]]-VENTAS[[#This Row],[Costo SIN Comision]]</f>
        <v>5.190625</v>
      </c>
      <c r="M1278" s="35"/>
    </row>
    <row r="1279" ht="20" customHeight="1" spans="1:13">
      <c r="A1279" s="29">
        <v>45527</v>
      </c>
      <c r="B1279" s="30"/>
      <c r="C1279" s="30" t="s">
        <v>3601</v>
      </c>
      <c r="D1279" s="30" t="s">
        <v>3602</v>
      </c>
      <c r="E1279" s="30" t="s">
        <v>2348</v>
      </c>
      <c r="F1279" s="34" t="str">
        <f>IFERROR(VLOOKUP(VENTAS[[#This Row],[Código del producto Vendido]],STOCK[],5,FALSE),"-")</f>
        <v>Set de 3 piezas bikini de moda estampado de hoja</v>
      </c>
      <c r="G1279" s="34">
        <v>1</v>
      </c>
      <c r="H1279" s="35">
        <v>28</v>
      </c>
      <c r="I1279" s="35">
        <f>VENTAS[[#This Row],[Cantidad]]*VENTAS[[#This Row],[Precio Venta]]</f>
        <v>28</v>
      </c>
      <c r="J1279" s="35">
        <f>IF(VENTAS[[#This Row],[Nombre del Gestor]]&gt;1,VENTAS[[#This Row],[Total]]*10%,0)</f>
        <v>2.8</v>
      </c>
      <c r="K1279" s="35">
        <f>IFERROR(VLOOKUP(VENTAS[[#This Row],[Código del producto Vendido]],STOCK[],16,FALSE)*VENTAS[[#This Row],[Cantidad]]+VLOOKUP(VENTAS[[#This Row],[Código del producto Vendido]],STOCK[],19,FALSE)*VENTAS[[#This Row],[Cantidad]],VENTAS[[#This Row],[Total]])</f>
        <v>17.665625</v>
      </c>
      <c r="L1279" s="35">
        <f>VENTAS[[#This Row],[Total]]-VENTAS[[#This Row],[Comisión 10%]]-VENTAS[[#This Row],[Costo SIN Comision]]</f>
        <v>7.534375</v>
      </c>
      <c r="M1279" s="35"/>
    </row>
    <row r="1280" ht="20" customHeight="1" spans="1:13">
      <c r="A1280" s="29">
        <v>45522</v>
      </c>
      <c r="B1280" s="30"/>
      <c r="C1280" s="30" t="s">
        <v>3603</v>
      </c>
      <c r="D1280" s="30" t="s">
        <v>3602</v>
      </c>
      <c r="E1280" s="30" t="s">
        <v>2520</v>
      </c>
      <c r="F1280" s="34" t="str">
        <f>IFERROR(VLOOKUP(VENTAS[[#This Row],[Código del producto Vendido]],STOCK[],5,FALSE),"-")</f>
        <v>Cinturón fino de hebilla de estilo elegante negro</v>
      </c>
      <c r="G1280" s="34">
        <v>1</v>
      </c>
      <c r="H1280" s="35">
        <v>12</v>
      </c>
      <c r="I1280" s="35">
        <f>VENTAS[[#This Row],[Cantidad]]*VENTAS[[#This Row],[Precio Venta]]</f>
        <v>12</v>
      </c>
      <c r="J1280" s="35">
        <f>IF(VENTAS[[#This Row],[Nombre del Gestor]]&gt;1,VENTAS[[#This Row],[Total]]*10%,0)</f>
        <v>1.2</v>
      </c>
      <c r="K1280" s="35">
        <f>IFERROR(VLOOKUP(VENTAS[[#This Row],[Código del producto Vendido]],STOCK[],16,FALSE)*VENTAS[[#This Row],[Cantidad]]+VLOOKUP(VENTAS[[#This Row],[Código del producto Vendido]],STOCK[],19,FALSE)*VENTAS[[#This Row],[Cantidad]],VENTAS[[#This Row],[Total]])</f>
        <v>5.13</v>
      </c>
      <c r="L1280" s="35">
        <f>VENTAS[[#This Row],[Total]]-VENTAS[[#This Row],[Comisión 10%]]-VENTAS[[#This Row],[Costo SIN Comision]]</f>
        <v>5.67</v>
      </c>
      <c r="M1280" s="35"/>
    </row>
    <row r="1281" ht="20" customHeight="1" spans="1:13">
      <c r="A1281" s="29">
        <v>45522</v>
      </c>
      <c r="B1281" s="30"/>
      <c r="C1281" s="30" t="s">
        <v>3603</v>
      </c>
      <c r="D1281" s="30" t="s">
        <v>3602</v>
      </c>
      <c r="E1281" s="30" t="s">
        <v>2675</v>
      </c>
      <c r="F1281" s="34" t="str">
        <f>IFERROR(VLOOKUP(VENTAS[[#This Row],[Código del producto Vendido]],STOCK[],5,FALSE),"-")</f>
        <v>Traje de baño clásico en bloque de color de talle alto</v>
      </c>
      <c r="G1281" s="34">
        <v>1</v>
      </c>
      <c r="H1281" s="35">
        <v>28</v>
      </c>
      <c r="I1281" s="35">
        <f>VENTAS[[#This Row],[Cantidad]]*VENTAS[[#This Row],[Precio Venta]]</f>
        <v>28</v>
      </c>
      <c r="J1281" s="35">
        <f>IF(VENTAS[[#This Row],[Nombre del Gestor]]&gt;1,VENTAS[[#This Row],[Total]]*10%,0)</f>
        <v>2.8</v>
      </c>
      <c r="K1281" s="35">
        <f>IFERROR(VLOOKUP(VENTAS[[#This Row],[Código del producto Vendido]],STOCK[],16,FALSE)*VENTAS[[#This Row],[Cantidad]]+VLOOKUP(VENTAS[[#This Row],[Código del producto Vendido]],STOCK[],19,FALSE)*VENTAS[[#This Row],[Cantidad]],VENTAS[[#This Row],[Total]])</f>
        <v>10.41</v>
      </c>
      <c r="L1281" s="35">
        <f>VENTAS[[#This Row],[Total]]-VENTAS[[#This Row],[Comisión 10%]]-VENTAS[[#This Row],[Costo SIN Comision]]</f>
        <v>14.79</v>
      </c>
      <c r="M1281" s="35"/>
    </row>
    <row r="1282" ht="20" customHeight="1" spans="1:13">
      <c r="A1282" s="29">
        <v>45519</v>
      </c>
      <c r="B1282" s="30"/>
      <c r="C1282" s="30" t="s">
        <v>3604</v>
      </c>
      <c r="D1282" s="30" t="s">
        <v>3602</v>
      </c>
      <c r="E1282" s="30" t="s">
        <v>2676</v>
      </c>
      <c r="F1282" s="34" t="str">
        <f>IFERROR(VLOOKUP(VENTAS[[#This Row],[Código del producto Vendido]],STOCK[],5,FALSE),"-")</f>
        <v>Traje de baño clásico en bloque de color de talle alto</v>
      </c>
      <c r="G1282" s="34">
        <v>1</v>
      </c>
      <c r="H1282" s="35">
        <v>28</v>
      </c>
      <c r="I1282" s="35">
        <f>VENTAS[[#This Row],[Cantidad]]*VENTAS[[#This Row],[Precio Venta]]</f>
        <v>28</v>
      </c>
      <c r="J1282" s="35">
        <f>IF(VENTAS[[#This Row],[Nombre del Gestor]]&gt;1,VENTAS[[#This Row],[Total]]*10%,0)</f>
        <v>2.8</v>
      </c>
      <c r="K1282" s="35">
        <f>IFERROR(VLOOKUP(VENTAS[[#This Row],[Código del producto Vendido]],STOCK[],16,FALSE)*VENTAS[[#This Row],[Cantidad]]+VLOOKUP(VENTAS[[#This Row],[Código del producto Vendido]],STOCK[],19,FALSE)*VENTAS[[#This Row],[Cantidad]],VENTAS[[#This Row],[Total]])</f>
        <v>10.4</v>
      </c>
      <c r="L1282" s="35">
        <f>VENTAS[[#This Row],[Total]]-VENTAS[[#This Row],[Comisión 10%]]-VENTAS[[#This Row],[Costo SIN Comision]]</f>
        <v>14.8</v>
      </c>
      <c r="M1282" s="35"/>
    </row>
    <row r="1283" ht="20" customHeight="1" spans="1:13">
      <c r="A1283" s="29">
        <v>45518</v>
      </c>
      <c r="B1283" s="30"/>
      <c r="C1283" s="30" t="s">
        <v>3605</v>
      </c>
      <c r="D1283" s="30" t="s">
        <v>3602</v>
      </c>
      <c r="E1283" s="30" t="s">
        <v>2474</v>
      </c>
      <c r="F1283" s="34" t="str">
        <f>IFERROR(VLOOKUP(VENTAS[[#This Row],[Código del producto Vendido]],STOCK[],5,FALSE),"-")</f>
        <v>Sandalias espadriles nude</v>
      </c>
      <c r="G1283" s="34">
        <v>1</v>
      </c>
      <c r="H1283" s="35">
        <v>45</v>
      </c>
      <c r="I1283" s="35">
        <f>VENTAS[[#This Row],[Cantidad]]*VENTAS[[#This Row],[Precio Venta]]</f>
        <v>45</v>
      </c>
      <c r="J1283" s="35">
        <f>IF(VENTAS[[#This Row],[Nombre del Gestor]]&gt;1,VENTAS[[#This Row],[Total]]*10%,0)</f>
        <v>4.5</v>
      </c>
      <c r="K1283" s="35">
        <f>IFERROR(VLOOKUP(VENTAS[[#This Row],[Código del producto Vendido]],STOCK[],16,FALSE)*VENTAS[[#This Row],[Cantidad]]+VLOOKUP(VENTAS[[#This Row],[Código del producto Vendido]],STOCK[],19,FALSE)*VENTAS[[#This Row],[Cantidad]],VENTAS[[#This Row],[Total]])</f>
        <v>31.9517</v>
      </c>
      <c r="L1283" s="35">
        <f>VENTAS[[#This Row],[Total]]-VENTAS[[#This Row],[Comisión 10%]]-VENTAS[[#This Row],[Costo SIN Comision]]</f>
        <v>8.5483</v>
      </c>
      <c r="M1283" s="35"/>
    </row>
    <row r="1284" ht="20" customHeight="1" spans="1:13">
      <c r="A1284" s="29">
        <v>45517</v>
      </c>
      <c r="B1284" s="30"/>
      <c r="C1284" s="30" t="s">
        <v>3606</v>
      </c>
      <c r="D1284" s="30" t="s">
        <v>3602</v>
      </c>
      <c r="E1284" s="30" t="s">
        <v>1775</v>
      </c>
      <c r="F1284" s="34" t="str">
        <f>IFERROR(VLOOKUP(VENTAS[[#This Row],[Código del producto Vendido]],STOCK[],5,FALSE),"-")</f>
        <v>Conjunto de bikini</v>
      </c>
      <c r="G1284" s="34">
        <v>1</v>
      </c>
      <c r="H1284" s="35">
        <v>20</v>
      </c>
      <c r="I1284" s="35">
        <f>VENTAS[[#This Row],[Cantidad]]*VENTAS[[#This Row],[Precio Venta]]</f>
        <v>20</v>
      </c>
      <c r="J1284" s="35">
        <f>IF(VENTAS[[#This Row],[Nombre del Gestor]]&gt;1,VENTAS[[#This Row],[Total]]*10%,0)</f>
        <v>2</v>
      </c>
      <c r="K1284" s="35">
        <f>IFERROR(VLOOKUP(VENTAS[[#This Row],[Código del producto Vendido]],STOCK[],16,FALSE)*VENTAS[[#This Row],[Cantidad]]+VLOOKUP(VENTAS[[#This Row],[Código del producto Vendido]],STOCK[],19,FALSE)*VENTAS[[#This Row],[Cantidad]],VENTAS[[#This Row],[Total]])</f>
        <v>12.3529411764706</v>
      </c>
      <c r="L1284" s="35">
        <f>VENTAS[[#This Row],[Total]]-VENTAS[[#This Row],[Comisión 10%]]-VENTAS[[#This Row],[Costo SIN Comision]]</f>
        <v>5.64705882352941</v>
      </c>
      <c r="M1284" s="35"/>
    </row>
    <row r="1285" ht="20" customHeight="1" spans="1:13">
      <c r="A1285" s="29">
        <v>45517</v>
      </c>
      <c r="B1285" s="30"/>
      <c r="C1285" s="30" t="s">
        <v>3607</v>
      </c>
      <c r="D1285" s="30" t="s">
        <v>3602</v>
      </c>
      <c r="E1285" s="30" t="s">
        <v>2535</v>
      </c>
      <c r="F1285" s="34" t="str">
        <f>IFERROR(VLOOKUP(VENTAS[[#This Row],[Código del producto Vendido]],STOCK[],5,FALSE),"-")</f>
        <v>Pullover corto unicolor blanco</v>
      </c>
      <c r="G1285" s="34">
        <v>1</v>
      </c>
      <c r="H1285" s="35">
        <v>10</v>
      </c>
      <c r="I1285" s="35">
        <f>VENTAS[[#This Row],[Cantidad]]*VENTAS[[#This Row],[Precio Venta]]</f>
        <v>10</v>
      </c>
      <c r="J1285" s="35">
        <f>IF(VENTAS[[#This Row],[Nombre del Gestor]]&gt;1,VENTAS[[#This Row],[Total]]*10%,0)</f>
        <v>1</v>
      </c>
      <c r="K1285" s="35">
        <f>IFERROR(VLOOKUP(VENTAS[[#This Row],[Código del producto Vendido]],STOCK[],16,FALSE)*VENTAS[[#This Row],[Cantidad]]+VLOOKUP(VENTAS[[#This Row],[Código del producto Vendido]],STOCK[],19,FALSE)*VENTAS[[#This Row],[Cantidad]],VENTAS[[#This Row],[Total]])</f>
        <v>4.32</v>
      </c>
      <c r="L1285" s="35">
        <f>VENTAS[[#This Row],[Total]]-VENTAS[[#This Row],[Comisión 10%]]-VENTAS[[#This Row],[Costo SIN Comision]]</f>
        <v>4.68</v>
      </c>
      <c r="M1285" s="35"/>
    </row>
    <row r="1286" ht="20" customHeight="1" spans="1:13">
      <c r="A1286" s="29">
        <v>45509</v>
      </c>
      <c r="B1286" s="30"/>
      <c r="C1286" s="30" t="s">
        <v>3608</v>
      </c>
      <c r="D1286" s="30" t="s">
        <v>3602</v>
      </c>
      <c r="E1286" s="30" t="s">
        <v>2536</v>
      </c>
      <c r="F1286" s="34" t="str">
        <f>IFERROR(VLOOKUP(VENTAS[[#This Row],[Código del producto Vendido]],STOCK[],5,FALSE),"-")</f>
        <v>Pullover corto unicolor beige</v>
      </c>
      <c r="G1286" s="34">
        <v>1</v>
      </c>
      <c r="H1286" s="35">
        <v>10</v>
      </c>
      <c r="I1286" s="35">
        <f>VENTAS[[#This Row],[Cantidad]]*VENTAS[[#This Row],[Precio Venta]]</f>
        <v>10</v>
      </c>
      <c r="J1286" s="35">
        <f>IF(VENTAS[[#This Row],[Nombre del Gestor]]&gt;1,VENTAS[[#This Row],[Total]]*10%,0)</f>
        <v>1</v>
      </c>
      <c r="K1286" s="35">
        <f>IFERROR(VLOOKUP(VENTAS[[#This Row],[Código del producto Vendido]],STOCK[],16,FALSE)*VENTAS[[#This Row],[Cantidad]]+VLOOKUP(VENTAS[[#This Row],[Código del producto Vendido]],STOCK[],19,FALSE)*VENTAS[[#This Row],[Cantidad]],VENTAS[[#This Row],[Total]])</f>
        <v>2.35</v>
      </c>
      <c r="L1286" s="35">
        <f>VENTAS[[#This Row],[Total]]-VENTAS[[#This Row],[Comisión 10%]]-VENTAS[[#This Row],[Costo SIN Comision]]</f>
        <v>6.65</v>
      </c>
      <c r="M1286" s="35"/>
    </row>
    <row r="1287" ht="20" customHeight="1" spans="1:13">
      <c r="A1287" s="29">
        <v>45509</v>
      </c>
      <c r="B1287" s="30"/>
      <c r="C1287" s="30" t="s">
        <v>3608</v>
      </c>
      <c r="D1287" s="30" t="s">
        <v>3602</v>
      </c>
      <c r="E1287" s="30" t="s">
        <v>2535</v>
      </c>
      <c r="F1287" s="34" t="str">
        <f>IFERROR(VLOOKUP(VENTAS[[#This Row],[Código del producto Vendido]],STOCK[],5,FALSE),"-")</f>
        <v>Pullover corto unicolor blanco</v>
      </c>
      <c r="G1287" s="34">
        <v>1</v>
      </c>
      <c r="H1287" s="35">
        <v>10</v>
      </c>
      <c r="I1287" s="35">
        <f>VENTAS[[#This Row],[Cantidad]]*VENTAS[[#This Row],[Precio Venta]]</f>
        <v>10</v>
      </c>
      <c r="J1287" s="35">
        <f>IF(VENTAS[[#This Row],[Nombre del Gestor]]&gt;1,VENTAS[[#This Row],[Total]]*10%,0)</f>
        <v>1</v>
      </c>
      <c r="K1287" s="35">
        <f>IFERROR(VLOOKUP(VENTAS[[#This Row],[Código del producto Vendido]],STOCK[],16,FALSE)*VENTAS[[#This Row],[Cantidad]]+VLOOKUP(VENTAS[[#This Row],[Código del producto Vendido]],STOCK[],19,FALSE)*VENTAS[[#This Row],[Cantidad]],VENTAS[[#This Row],[Total]])</f>
        <v>4.32</v>
      </c>
      <c r="L1287" s="35">
        <f>VENTAS[[#This Row],[Total]]-VENTAS[[#This Row],[Comisión 10%]]-VENTAS[[#This Row],[Costo SIN Comision]]</f>
        <v>4.68</v>
      </c>
      <c r="M1287" s="35"/>
    </row>
    <row r="1288" ht="20" customHeight="1" spans="1:13">
      <c r="A1288" s="29">
        <v>45509</v>
      </c>
      <c r="B1288" s="30"/>
      <c r="C1288" s="30" t="s">
        <v>3608</v>
      </c>
      <c r="D1288" s="30" t="s">
        <v>3602</v>
      </c>
      <c r="E1288" s="30" t="s">
        <v>2531</v>
      </c>
      <c r="F1288" s="34" t="str">
        <f>IFERROR(VLOOKUP(VENTAS[[#This Row],[Código del producto Vendido]],STOCK[],5,FALSE),"-")</f>
        <v>Pullover corto unicolor carmelita</v>
      </c>
      <c r="G1288" s="34">
        <v>1</v>
      </c>
      <c r="H1288" s="35">
        <v>10</v>
      </c>
      <c r="I1288" s="35">
        <f>VENTAS[[#This Row],[Cantidad]]*VENTAS[[#This Row],[Precio Venta]]</f>
        <v>10</v>
      </c>
      <c r="J1288" s="35">
        <f>IF(VENTAS[[#This Row],[Nombre del Gestor]]&gt;1,VENTAS[[#This Row],[Total]]*10%,0)</f>
        <v>1</v>
      </c>
      <c r="K1288" s="35">
        <f>IFERROR(VLOOKUP(VENTAS[[#This Row],[Código del producto Vendido]],STOCK[],16,FALSE)*VENTAS[[#This Row],[Cantidad]]+VLOOKUP(VENTAS[[#This Row],[Código del producto Vendido]],STOCK[],19,FALSE)*VENTAS[[#This Row],[Cantidad]],VENTAS[[#This Row],[Total]])</f>
        <v>4.32</v>
      </c>
      <c r="L1288" s="35">
        <f>VENTAS[[#This Row],[Total]]-VENTAS[[#This Row],[Comisión 10%]]-VENTAS[[#This Row],[Costo SIN Comision]]</f>
        <v>4.68</v>
      </c>
      <c r="M1288" s="35"/>
    </row>
    <row r="1289" ht="20" customHeight="1" spans="1:13">
      <c r="A1289" s="29">
        <v>45511</v>
      </c>
      <c r="B1289" s="30"/>
      <c r="C1289" s="30" t="s">
        <v>3609</v>
      </c>
      <c r="D1289" s="30" t="s">
        <v>3602</v>
      </c>
      <c r="E1289" s="30" t="s">
        <v>2520</v>
      </c>
      <c r="F1289" s="34" t="str">
        <f>IFERROR(VLOOKUP(VENTAS[[#This Row],[Código del producto Vendido]],STOCK[],5,FALSE),"-")</f>
        <v>Cinturón fino de hebilla de estilo elegante negro</v>
      </c>
      <c r="G1289" s="34">
        <v>1</v>
      </c>
      <c r="H1289" s="35">
        <v>12</v>
      </c>
      <c r="I1289" s="35">
        <f>VENTAS[[#This Row],[Cantidad]]*VENTAS[[#This Row],[Precio Venta]]</f>
        <v>12</v>
      </c>
      <c r="J1289" s="35">
        <f>IF(VENTAS[[#This Row],[Nombre del Gestor]]&gt;1,VENTAS[[#This Row],[Total]]*10%,0)</f>
        <v>1.2</v>
      </c>
      <c r="K1289" s="35">
        <f>IFERROR(VLOOKUP(VENTAS[[#This Row],[Código del producto Vendido]],STOCK[],16,FALSE)*VENTAS[[#This Row],[Cantidad]]+VLOOKUP(VENTAS[[#This Row],[Código del producto Vendido]],STOCK[],19,FALSE)*VENTAS[[#This Row],[Cantidad]],VENTAS[[#This Row],[Total]])</f>
        <v>5.13</v>
      </c>
      <c r="L1289" s="35">
        <f>VENTAS[[#This Row],[Total]]-VENTAS[[#This Row],[Comisión 10%]]-VENTAS[[#This Row],[Costo SIN Comision]]</f>
        <v>5.67</v>
      </c>
      <c r="M1289" s="35"/>
    </row>
    <row r="1290" ht="20" customHeight="1" spans="1:13">
      <c r="A1290" s="29">
        <v>45511</v>
      </c>
      <c r="B1290" s="30"/>
      <c r="C1290" s="30" t="s">
        <v>3609</v>
      </c>
      <c r="D1290" s="30" t="s">
        <v>3602</v>
      </c>
      <c r="E1290" s="30" t="s">
        <v>2506</v>
      </c>
      <c r="F1290" s="34" t="str">
        <f>IFERROR(VLOOKUP(VENTAS[[#This Row],[Código del producto Vendido]],STOCK[],5,FALSE),"-")</f>
        <v>Falda Pantalón de mezclilla</v>
      </c>
      <c r="G1290" s="34">
        <v>1</v>
      </c>
      <c r="H1290" s="35">
        <v>30</v>
      </c>
      <c r="I1290" s="35">
        <f>VENTAS[[#This Row],[Cantidad]]*VENTAS[[#This Row],[Precio Venta]]</f>
        <v>30</v>
      </c>
      <c r="J1290" s="35">
        <f>IF(VENTAS[[#This Row],[Nombre del Gestor]]&gt;1,VENTAS[[#This Row],[Total]]*10%,0)</f>
        <v>3</v>
      </c>
      <c r="K1290" s="35">
        <f>IFERROR(VLOOKUP(VENTAS[[#This Row],[Código del producto Vendido]],STOCK[],16,FALSE)*VENTAS[[#This Row],[Cantidad]]+VLOOKUP(VENTAS[[#This Row],[Código del producto Vendido]],STOCK[],19,FALSE)*VENTAS[[#This Row],[Cantidad]],VENTAS[[#This Row],[Total]])</f>
        <v>19.19</v>
      </c>
      <c r="L1290" s="35">
        <f>VENTAS[[#This Row],[Total]]-VENTAS[[#This Row],[Comisión 10%]]-VENTAS[[#This Row],[Costo SIN Comision]]</f>
        <v>7.81</v>
      </c>
      <c r="M1290" s="35"/>
    </row>
    <row r="1291" ht="20" customHeight="1" spans="1:13">
      <c r="A1291" s="29">
        <v>45505</v>
      </c>
      <c r="B1291" s="30"/>
      <c r="C1291" s="30" t="s">
        <v>3610</v>
      </c>
      <c r="D1291" s="30" t="s">
        <v>3602</v>
      </c>
      <c r="E1291" s="30" t="s">
        <v>732</v>
      </c>
      <c r="F1291" s="34" t="str">
        <f>IFERROR(VLOOKUP(VENTAS[[#This Row],[Código del producto Vendido]],STOCK[],5,FALSE),"-")</f>
        <v>Vestido corto azul real</v>
      </c>
      <c r="G1291" s="34">
        <v>1</v>
      </c>
      <c r="H1291" s="35">
        <v>13</v>
      </c>
      <c r="I1291" s="35">
        <f>VENTAS[[#This Row],[Cantidad]]*VENTAS[[#This Row],[Precio Venta]]</f>
        <v>13</v>
      </c>
      <c r="J1291" s="35">
        <f>IF(VENTAS[[#This Row],[Nombre del Gestor]]&gt;1,VENTAS[[#This Row],[Total]]*10%,0)</f>
        <v>1.3</v>
      </c>
      <c r="K1291" s="35">
        <f>IFERROR(VLOOKUP(VENTAS[[#This Row],[Código del producto Vendido]],STOCK[],16,FALSE)*VENTAS[[#This Row],[Cantidad]]+VLOOKUP(VENTAS[[#This Row],[Código del producto Vendido]],STOCK[],19,FALSE)*VENTAS[[#This Row],[Cantidad]],VENTAS[[#This Row],[Total]])</f>
        <v>11.9444444444444</v>
      </c>
      <c r="L1291" s="35">
        <f>VENTAS[[#This Row],[Total]]-VENTAS[[#This Row],[Comisión 10%]]-VENTAS[[#This Row],[Costo SIN Comision]]</f>
        <v>-0.24444444444444</v>
      </c>
      <c r="M1291" s="35"/>
    </row>
    <row r="1292" ht="20" customHeight="1" spans="1:13">
      <c r="A1292" s="29">
        <v>45505</v>
      </c>
      <c r="B1292" s="30"/>
      <c r="C1292" s="30" t="s">
        <v>3610</v>
      </c>
      <c r="D1292" s="30" t="s">
        <v>3602</v>
      </c>
      <c r="E1292" s="30" t="s">
        <v>2148</v>
      </c>
      <c r="F1292" s="34" t="str">
        <f>IFERROR(VLOOKUP(VENTAS[[#This Row],[Código del producto Vendido]],STOCK[],5,FALSE),"-")</f>
        <v>Set de 3 piezas de bikini con estampado floral</v>
      </c>
      <c r="G1292" s="34">
        <v>1</v>
      </c>
      <c r="H1292" s="35">
        <v>25</v>
      </c>
      <c r="I1292" s="35">
        <f>VENTAS[[#This Row],[Cantidad]]*VENTAS[[#This Row],[Precio Venta]]</f>
        <v>25</v>
      </c>
      <c r="J1292" s="35">
        <f>IF(VENTAS[[#This Row],[Nombre del Gestor]]&gt;1,VENTAS[[#This Row],[Total]]*10%,0)</f>
        <v>2.5</v>
      </c>
      <c r="K1292" s="35">
        <f>IFERROR(VLOOKUP(VENTAS[[#This Row],[Código del producto Vendido]],STOCK[],16,FALSE)*VENTAS[[#This Row],[Cantidad]]+VLOOKUP(VENTAS[[#This Row],[Código del producto Vendido]],STOCK[],19,FALSE)*VENTAS[[#This Row],[Cantidad]],VENTAS[[#This Row],[Total]])</f>
        <v>9.67</v>
      </c>
      <c r="L1292" s="35">
        <f>VENTAS[[#This Row],[Total]]-VENTAS[[#This Row],[Comisión 10%]]-VENTAS[[#This Row],[Costo SIN Comision]]</f>
        <v>12.83</v>
      </c>
      <c r="M1292" s="35"/>
    </row>
    <row r="1293" ht="20" customHeight="1" spans="1:13">
      <c r="A1293" s="29">
        <v>45505</v>
      </c>
      <c r="B1293" s="30"/>
      <c r="C1293" s="30" t="s">
        <v>3611</v>
      </c>
      <c r="D1293" s="30" t="s">
        <v>3602</v>
      </c>
      <c r="E1293" s="30" t="s">
        <v>830</v>
      </c>
      <c r="F1293" s="34" t="str">
        <f>IFERROR(VLOOKUP(VENTAS[[#This Row],[Código del producto Vendido]],STOCK[],5,FALSE),"-")</f>
        <v>Vestido estampado malva</v>
      </c>
      <c r="G1293" s="34">
        <v>1</v>
      </c>
      <c r="H1293" s="35">
        <v>12</v>
      </c>
      <c r="I1293" s="35">
        <f>VENTAS[[#This Row],[Cantidad]]*VENTAS[[#This Row],[Precio Venta]]</f>
        <v>12</v>
      </c>
      <c r="J1293" s="35">
        <f>IF(VENTAS[[#This Row],[Nombre del Gestor]]&gt;1,VENTAS[[#This Row],[Total]]*10%,0)</f>
        <v>1.2</v>
      </c>
      <c r="K1293" s="35">
        <f>IFERROR(VLOOKUP(VENTAS[[#This Row],[Código del producto Vendido]],STOCK[],16,FALSE)*VENTAS[[#This Row],[Cantidad]]+VLOOKUP(VENTAS[[#This Row],[Código del producto Vendido]],STOCK[],19,FALSE)*VENTAS[[#This Row],[Cantidad]],VENTAS[[#This Row],[Total]])</f>
        <v>9.33333333333333</v>
      </c>
      <c r="L1293" s="35">
        <f>VENTAS[[#This Row],[Total]]-VENTAS[[#This Row],[Comisión 10%]]-VENTAS[[#This Row],[Costo SIN Comision]]</f>
        <v>1.46666666666667</v>
      </c>
      <c r="M1293" s="35"/>
    </row>
    <row r="1294" ht="20" customHeight="1" spans="1:13">
      <c r="A1294" s="29">
        <v>45505</v>
      </c>
      <c r="B1294" s="30"/>
      <c r="C1294" s="30" t="s">
        <v>3611</v>
      </c>
      <c r="D1294" s="30" t="s">
        <v>3602</v>
      </c>
      <c r="E1294" s="30" t="s">
        <v>1706</v>
      </c>
      <c r="F1294" s="34" t="str">
        <f>IFERROR(VLOOKUP(VENTAS[[#This Row],[Código del producto Vendido]],STOCK[],5,FALSE),"-")</f>
        <v>Vestido acanalado de manga larga</v>
      </c>
      <c r="G1294" s="34">
        <v>1</v>
      </c>
      <c r="H1294" s="35">
        <v>25</v>
      </c>
      <c r="I1294" s="35">
        <f>VENTAS[[#This Row],[Cantidad]]*VENTAS[[#This Row],[Precio Venta]]</f>
        <v>25</v>
      </c>
      <c r="J1294" s="35">
        <f>IF(VENTAS[[#This Row],[Nombre del Gestor]]&gt;1,VENTAS[[#This Row],[Total]]*10%,0)</f>
        <v>2.5</v>
      </c>
      <c r="K1294" s="35">
        <f>IFERROR(VLOOKUP(VENTAS[[#This Row],[Código del producto Vendido]],STOCK[],16,FALSE)*VENTAS[[#This Row],[Cantidad]]+VLOOKUP(VENTAS[[#This Row],[Código del producto Vendido]],STOCK[],19,FALSE)*VENTAS[[#This Row],[Cantidad]],VENTAS[[#This Row],[Total]])</f>
        <v>18.1</v>
      </c>
      <c r="L1294" s="35">
        <f>VENTAS[[#This Row],[Total]]-VENTAS[[#This Row],[Comisión 10%]]-VENTAS[[#This Row],[Costo SIN Comision]]</f>
        <v>4.4</v>
      </c>
      <c r="M1294" s="35"/>
    </row>
    <row r="1295" ht="20" customHeight="1" spans="1:13">
      <c r="A1295" s="29">
        <v>45526</v>
      </c>
      <c r="B1295" s="30"/>
      <c r="C1295" s="30" t="s">
        <v>3612</v>
      </c>
      <c r="D1295" s="30" t="s">
        <v>3613</v>
      </c>
      <c r="E1295" s="30" t="s">
        <v>2693</v>
      </c>
      <c r="F1295" s="34" t="str">
        <f>IFERROR(VLOOKUP(VENTAS[[#This Row],[Código del producto Vendido]],STOCK[],5,FALSE),"-")</f>
        <v>Set de Splash y crema de Victoria Secret (Original) Aqua Kiss</v>
      </c>
      <c r="G1295" s="34">
        <v>1</v>
      </c>
      <c r="H1295" s="35">
        <v>40</v>
      </c>
      <c r="I1295" s="35">
        <f>VENTAS[[#This Row],[Cantidad]]*VENTAS[[#This Row],[Precio Venta]]</f>
        <v>40</v>
      </c>
      <c r="J1295" s="35">
        <f>IF(VENTAS[[#This Row],[Nombre del Gestor]]&gt;1,VENTAS[[#This Row],[Total]]*10%,0)</f>
        <v>4</v>
      </c>
      <c r="K1295" s="35">
        <f>IFERROR(VLOOKUP(VENTAS[[#This Row],[Código del producto Vendido]],STOCK[],16,FALSE)*VENTAS[[#This Row],[Cantidad]]+VLOOKUP(VENTAS[[#This Row],[Código del producto Vendido]],STOCK[],19,FALSE)*VENTAS[[#This Row],[Cantidad]],VENTAS[[#This Row],[Total]])</f>
        <v>16.37</v>
      </c>
      <c r="L1295" s="35">
        <f>VENTAS[[#This Row],[Total]]-VENTAS[[#This Row],[Comisión 10%]]-VENTAS[[#This Row],[Costo SIN Comision]]</f>
        <v>19.63</v>
      </c>
      <c r="M1295" s="35"/>
    </row>
    <row r="1296" ht="20" customHeight="1" spans="1:13">
      <c r="A1296" s="29">
        <v>45528</v>
      </c>
      <c r="B1296" s="30"/>
      <c r="C1296" s="30" t="s">
        <v>3584</v>
      </c>
      <c r="D1296" s="30" t="s">
        <v>3503</v>
      </c>
      <c r="E1296" s="30" t="s">
        <v>859</v>
      </c>
      <c r="F1296" s="34" t="str">
        <f>IFERROR(VLOOKUP(VENTAS[[#This Row],[Código del producto Vendido]],STOCK[],5,FALSE),"-")</f>
        <v>Vestido venturina</v>
      </c>
      <c r="G1296" s="34">
        <v>0</v>
      </c>
      <c r="H1296" s="35">
        <v>0</v>
      </c>
      <c r="I1296" s="35">
        <f>VENTAS[[#This Row],[Cantidad]]*VENTAS[[#This Row],[Precio Venta]]</f>
        <v>0</v>
      </c>
      <c r="J1296" s="35">
        <f>IF(VENTAS[[#This Row],[Nombre del Gestor]]&gt;1,VENTAS[[#This Row],[Total]]*10%,0)</f>
        <v>0</v>
      </c>
      <c r="K1296" s="35">
        <f>IFERROR(VLOOKUP(VENTAS[[#This Row],[Código del producto Vendido]],STOCK[],16,FALSE)*VENTAS[[#This Row],[Cantidad]]+VLOOKUP(VENTAS[[#This Row],[Código del producto Vendido]],STOCK[],19,FALSE)*VENTAS[[#This Row],[Cantidad]],VENTAS[[#This Row],[Total]])</f>
        <v>0</v>
      </c>
      <c r="L1296" s="35">
        <f>VENTAS[[#This Row],[Total]]-VENTAS[[#This Row],[Comisión 10%]]-VENTAS[[#This Row],[Costo SIN Comision]]</f>
        <v>0</v>
      </c>
      <c r="M1296" s="35"/>
    </row>
    <row r="1297" ht="20" customHeight="1" spans="1:13">
      <c r="A1297" s="29">
        <v>45529</v>
      </c>
      <c r="B1297" s="30"/>
      <c r="C1297" s="30" t="s">
        <v>3614</v>
      </c>
      <c r="D1297" s="30" t="s">
        <v>3478</v>
      </c>
      <c r="E1297" s="30" t="s">
        <v>2486</v>
      </c>
      <c r="F1297" s="34" t="str">
        <f>IFERROR(VLOOKUP(VENTAS[[#This Row],[Código del producto Vendido]],STOCK[],5,FALSE),"-")</f>
        <v>Sandalias prácticas chunky blanco crema</v>
      </c>
      <c r="G1297" s="34">
        <v>1</v>
      </c>
      <c r="H1297" s="35">
        <v>35</v>
      </c>
      <c r="I1297" s="35">
        <f>VENTAS[[#This Row],[Cantidad]]*VENTAS[[#This Row],[Precio Venta]]</f>
        <v>35</v>
      </c>
      <c r="J1297" s="35">
        <f>IF(VENTAS[[#This Row],[Nombre del Gestor]]&gt;1,VENTAS[[#This Row],[Total]]*10%,0)</f>
        <v>3.5</v>
      </c>
      <c r="K1297" s="35">
        <f>IFERROR(VLOOKUP(VENTAS[[#This Row],[Código del producto Vendido]],STOCK[],16,FALSE)*VENTAS[[#This Row],[Cantidad]]+VLOOKUP(VENTAS[[#This Row],[Código del producto Vendido]],STOCK[],19,FALSE)*VENTAS[[#This Row],[Cantidad]],VENTAS[[#This Row],[Total]])</f>
        <v>24.2174</v>
      </c>
      <c r="L1297" s="35">
        <f>VENTAS[[#This Row],[Total]]-VENTAS[[#This Row],[Comisión 10%]]-VENTAS[[#This Row],[Costo SIN Comision]]</f>
        <v>7.2826</v>
      </c>
      <c r="M1297" s="35"/>
    </row>
    <row r="1298" ht="20" customHeight="1" spans="1:13">
      <c r="A1298" s="29">
        <v>45529</v>
      </c>
      <c r="B1298" s="30"/>
      <c r="C1298" s="30" t="s">
        <v>3615</v>
      </c>
      <c r="D1298" s="30" t="s">
        <v>3478</v>
      </c>
      <c r="E1298" s="30" t="s">
        <v>1203</v>
      </c>
      <c r="F1298" s="34" t="str">
        <f>IFERROR(VLOOKUP(VENTAS[[#This Row],[Código del producto Vendido]],STOCK[],5,FALSE),"-")</f>
        <v>Camisa Blanca</v>
      </c>
      <c r="G1298" s="34">
        <v>1</v>
      </c>
      <c r="H1298" s="35">
        <v>22</v>
      </c>
      <c r="I1298" s="35">
        <f>VENTAS[[#This Row],[Cantidad]]*VENTAS[[#This Row],[Precio Venta]]</f>
        <v>22</v>
      </c>
      <c r="J1298" s="35">
        <f>IF(VENTAS[[#This Row],[Nombre del Gestor]]&gt;1,VENTAS[[#This Row],[Total]]*10%,0)</f>
        <v>2.2</v>
      </c>
      <c r="K1298" s="35">
        <f>IFERROR(VLOOKUP(VENTAS[[#This Row],[Código del producto Vendido]],STOCK[],16,FALSE)*VENTAS[[#This Row],[Cantidad]]+VLOOKUP(VENTAS[[#This Row],[Código del producto Vendido]],STOCK[],19,FALSE)*VENTAS[[#This Row],[Cantidad]],VENTAS[[#This Row],[Total]])</f>
        <v>12.9</v>
      </c>
      <c r="L1298" s="35">
        <f>VENTAS[[#This Row],[Total]]-VENTAS[[#This Row],[Comisión 10%]]-VENTAS[[#This Row],[Costo SIN Comision]]</f>
        <v>6.9</v>
      </c>
      <c r="M1298" s="35"/>
    </row>
    <row r="1299" ht="20" customHeight="1" spans="1:13">
      <c r="A1299" s="29">
        <v>45529</v>
      </c>
      <c r="B1299" s="30"/>
      <c r="C1299" s="30" t="s">
        <v>3598</v>
      </c>
      <c r="D1299" s="30" t="s">
        <v>3478</v>
      </c>
      <c r="E1299" s="30" t="s">
        <v>2145</v>
      </c>
      <c r="F1299" s="34" t="str">
        <f>IFERROR(VLOOKUP(VENTAS[[#This Row],[Código del producto Vendido]],STOCK[],5,FALSE),"-")</f>
        <v>Set de 3 piezas de bikini con estampado floral</v>
      </c>
      <c r="G1299" s="34">
        <v>1</v>
      </c>
      <c r="H1299" s="35">
        <v>25</v>
      </c>
      <c r="I1299" s="35">
        <f>VENTAS[[#This Row],[Cantidad]]*VENTAS[[#This Row],[Precio Venta]]</f>
        <v>25</v>
      </c>
      <c r="J1299" s="35">
        <f>IF(VENTAS[[#This Row],[Nombre del Gestor]]&gt;1,VENTAS[[#This Row],[Total]]*10%,0)</f>
        <v>2.5</v>
      </c>
      <c r="K1299" s="35">
        <f>IFERROR(VLOOKUP(VENTAS[[#This Row],[Código del producto Vendido]],STOCK[],16,FALSE)*VENTAS[[#This Row],[Cantidad]]+VLOOKUP(VENTAS[[#This Row],[Código del producto Vendido]],STOCK[],19,FALSE)*VENTAS[[#This Row],[Cantidad]],VENTAS[[#This Row],[Total]])</f>
        <v>9.67</v>
      </c>
      <c r="L1299" s="35">
        <f>VENTAS[[#This Row],[Total]]-VENTAS[[#This Row],[Comisión 10%]]-VENTAS[[#This Row],[Costo SIN Comision]]</f>
        <v>12.83</v>
      </c>
      <c r="M1299" s="35"/>
    </row>
    <row r="1300" ht="20" customHeight="1" spans="1:13">
      <c r="A1300" s="29">
        <v>45529</v>
      </c>
      <c r="B1300" s="30" t="s">
        <v>3616</v>
      </c>
      <c r="C1300" s="30" t="s">
        <v>3617</v>
      </c>
      <c r="D1300" s="30" t="s">
        <v>3312</v>
      </c>
      <c r="E1300" s="30" t="s">
        <v>2518</v>
      </c>
      <c r="F1300" s="34" t="str">
        <f>IFERROR(VLOOKUP(VENTAS[[#This Row],[Código del producto Vendido]],STOCK[],5,FALSE),"-")</f>
        <v>Pantalones cortos de mezclilla de moda</v>
      </c>
      <c r="G1300" s="34">
        <v>1</v>
      </c>
      <c r="H1300" s="35">
        <v>0</v>
      </c>
      <c r="I1300" s="35">
        <f>VENTAS[[#This Row],[Cantidad]]*VENTAS[[#This Row],[Precio Venta]]</f>
        <v>0</v>
      </c>
      <c r="J1300" s="35">
        <f>IF(VENTAS[[#This Row],[Nombre del Gestor]]&gt;1,VENTAS[[#This Row],[Total]]*10%,0)</f>
        <v>0</v>
      </c>
      <c r="K1300" s="35">
        <f>IFERROR(VLOOKUP(VENTAS[[#This Row],[Código del producto Vendido]],STOCK[],16,FALSE)*VENTAS[[#This Row],[Cantidad]]+VLOOKUP(VENTAS[[#This Row],[Código del producto Vendido]],STOCK[],19,FALSE)*VENTAS[[#This Row],[Cantidad]],VENTAS[[#This Row],[Total]])</f>
        <v>15.79</v>
      </c>
      <c r="L1300" s="35">
        <f>VENTAS[[#This Row],[Total]]-VENTAS[[#This Row],[Comisión 10%]]-VENTAS[[#This Row],[Costo SIN Comision]]</f>
        <v>-15.79</v>
      </c>
      <c r="M1300" s="35"/>
    </row>
    <row r="1301" ht="20" customHeight="1" spans="1:13">
      <c r="A1301" s="29">
        <v>45529</v>
      </c>
      <c r="B1301" s="30"/>
      <c r="C1301" s="30" t="s">
        <v>3618</v>
      </c>
      <c r="D1301" s="30" t="s">
        <v>3509</v>
      </c>
      <c r="E1301" s="30" t="s">
        <v>2359</v>
      </c>
      <c r="F1301" s="34" t="str">
        <f>IFERROR(VLOOKUP(VENTAS[[#This Row],[Código del producto Vendido]],STOCK[],5,FALSE),"-")</f>
        <v>Espejuelos estilo cat eye</v>
      </c>
      <c r="G1301" s="34">
        <v>1</v>
      </c>
      <c r="H1301" s="35">
        <v>10</v>
      </c>
      <c r="I1301" s="35">
        <f>VENTAS[[#This Row],[Cantidad]]*VENTAS[[#This Row],[Precio Venta]]</f>
        <v>10</v>
      </c>
      <c r="J1301" s="35">
        <f>IF(VENTAS[[#This Row],[Nombre del Gestor]]&gt;1,VENTAS[[#This Row],[Total]]*10%,0)</f>
        <v>1</v>
      </c>
      <c r="K1301" s="35">
        <f>IFERROR(VLOOKUP(VENTAS[[#This Row],[Código del producto Vendido]],STOCK[],16,FALSE)*VENTAS[[#This Row],[Cantidad]]+VLOOKUP(VENTAS[[#This Row],[Código del producto Vendido]],STOCK[],19,FALSE)*VENTAS[[#This Row],[Cantidad]],VENTAS[[#This Row],[Total]])</f>
        <v>5.121875</v>
      </c>
      <c r="L1301" s="35">
        <f>VENTAS[[#This Row],[Total]]-VENTAS[[#This Row],[Comisión 10%]]-VENTAS[[#This Row],[Costo SIN Comision]]</f>
        <v>3.878125</v>
      </c>
      <c r="M1301" s="35"/>
    </row>
    <row r="1302" ht="20" customHeight="1" spans="1:13">
      <c r="A1302" s="29">
        <v>45507</v>
      </c>
      <c r="B1302" s="30"/>
      <c r="C1302" s="30" t="s">
        <v>3619</v>
      </c>
      <c r="D1302" s="30" t="s">
        <v>3459</v>
      </c>
      <c r="E1302" s="30" t="s">
        <v>2558</v>
      </c>
      <c r="F1302" s="34" t="str">
        <f>IFERROR(VLOOKUP(VENTAS[[#This Row],[Código del producto Vendido]],STOCK[],5,FALSE),"-")</f>
        <v>Sombrero Visera de Verano</v>
      </c>
      <c r="G1302" s="34">
        <v>1</v>
      </c>
      <c r="H1302" s="35">
        <v>15</v>
      </c>
      <c r="I1302" s="35">
        <f>VENTAS[[#This Row],[Cantidad]]*VENTAS[[#This Row],[Precio Venta]]</f>
        <v>15</v>
      </c>
      <c r="J1302" s="35">
        <f>IF(VENTAS[[#This Row],[Nombre del Gestor]]&gt;1,VENTAS[[#This Row],[Total]]*10%,0)</f>
        <v>1.5</v>
      </c>
      <c r="K1302" s="35">
        <f>IFERROR(VLOOKUP(VENTAS[[#This Row],[Código del producto Vendido]],STOCK[],16,FALSE)*VENTAS[[#This Row],[Cantidad]]+VLOOKUP(VENTAS[[#This Row],[Código del producto Vendido]],STOCK[],19,FALSE)*VENTAS[[#This Row],[Cantidad]],VENTAS[[#This Row],[Total]])</f>
        <v>6.36</v>
      </c>
      <c r="L1302" s="35">
        <f>VENTAS[[#This Row],[Total]]-VENTAS[[#This Row],[Comisión 10%]]-VENTAS[[#This Row],[Costo SIN Comision]]</f>
        <v>7.14</v>
      </c>
      <c r="M1302" s="35"/>
    </row>
    <row r="1303" ht="20" customHeight="1" spans="1:13">
      <c r="A1303" s="29">
        <v>45509</v>
      </c>
      <c r="B1303" s="30"/>
      <c r="C1303" s="30" t="s">
        <v>3620</v>
      </c>
      <c r="D1303" s="30" t="s">
        <v>3459</v>
      </c>
      <c r="E1303" s="30" t="s">
        <v>2498</v>
      </c>
      <c r="F1303" s="34" t="str">
        <f>IFERROR(VLOOKUP(VENTAS[[#This Row],[Código del producto Vendido]],STOCK[],5,FALSE),"-")</f>
        <v>Bolso de playa con diseño de rayas tamaño mediano</v>
      </c>
      <c r="G1303" s="34">
        <v>1</v>
      </c>
      <c r="H1303" s="35">
        <v>22</v>
      </c>
      <c r="I1303" s="35">
        <f>VENTAS[[#This Row],[Cantidad]]*VENTAS[[#This Row],[Precio Venta]]</f>
        <v>22</v>
      </c>
      <c r="J1303" s="35">
        <f>IF(VENTAS[[#This Row],[Nombre del Gestor]]&gt;1,VENTAS[[#This Row],[Total]]*10%,0)</f>
        <v>2.2</v>
      </c>
      <c r="K1303" s="35">
        <f>IFERROR(VLOOKUP(VENTAS[[#This Row],[Código del producto Vendido]],STOCK[],16,FALSE)*VENTAS[[#This Row],[Cantidad]]+VLOOKUP(VENTAS[[#This Row],[Código del producto Vendido]],STOCK[],19,FALSE)*VENTAS[[#This Row],[Cantidad]],VENTAS[[#This Row],[Total]])</f>
        <v>11.3</v>
      </c>
      <c r="L1303" s="35">
        <f>VENTAS[[#This Row],[Total]]-VENTAS[[#This Row],[Comisión 10%]]-VENTAS[[#This Row],[Costo SIN Comision]]</f>
        <v>8.5</v>
      </c>
      <c r="M1303" s="35"/>
    </row>
    <row r="1304" ht="20" customHeight="1" spans="1:13">
      <c r="A1304" s="29">
        <v>45509</v>
      </c>
      <c r="B1304" s="30"/>
      <c r="C1304" s="30" t="s">
        <v>3621</v>
      </c>
      <c r="D1304" s="30" t="s">
        <v>3459</v>
      </c>
      <c r="E1304" s="30" t="s">
        <v>2498</v>
      </c>
      <c r="F1304" s="34" t="str">
        <f>IFERROR(VLOOKUP(VENTAS[[#This Row],[Código del producto Vendido]],STOCK[],5,FALSE),"-")</f>
        <v>Bolso de playa con diseño de rayas tamaño mediano</v>
      </c>
      <c r="G1304" s="34">
        <v>1</v>
      </c>
      <c r="H1304" s="35">
        <v>22</v>
      </c>
      <c r="I1304" s="35">
        <f>VENTAS[[#This Row],[Cantidad]]*VENTAS[[#This Row],[Precio Venta]]</f>
        <v>22</v>
      </c>
      <c r="J1304" s="35">
        <f>IF(VENTAS[[#This Row],[Nombre del Gestor]]&gt;1,VENTAS[[#This Row],[Total]]*10%,0)</f>
        <v>2.2</v>
      </c>
      <c r="K1304" s="35">
        <f>IFERROR(VLOOKUP(VENTAS[[#This Row],[Código del producto Vendido]],STOCK[],16,FALSE)*VENTAS[[#This Row],[Cantidad]]+VLOOKUP(VENTAS[[#This Row],[Código del producto Vendido]],STOCK[],19,FALSE)*VENTAS[[#This Row],[Cantidad]],VENTAS[[#This Row],[Total]])</f>
        <v>11.3</v>
      </c>
      <c r="L1304" s="35">
        <f>VENTAS[[#This Row],[Total]]-VENTAS[[#This Row],[Comisión 10%]]-VENTAS[[#This Row],[Costo SIN Comision]]</f>
        <v>8.5</v>
      </c>
      <c r="M1304" s="35"/>
    </row>
    <row r="1305" ht="20" customHeight="1" spans="1:13">
      <c r="A1305" s="29">
        <v>45511</v>
      </c>
      <c r="B1305" s="30"/>
      <c r="C1305" s="30" t="s">
        <v>3622</v>
      </c>
      <c r="D1305" s="30" t="s">
        <v>3623</v>
      </c>
      <c r="E1305" s="30" t="s">
        <v>2542</v>
      </c>
      <c r="F1305" s="34" t="str">
        <f>IFERROR(VLOOKUP(VENTAS[[#This Row],[Código del producto Vendido]],STOCK[],5,FALSE),"-")</f>
        <v>Pullover largo unicolor tela traslúcida negro</v>
      </c>
      <c r="G1305" s="34">
        <v>1</v>
      </c>
      <c r="H1305" s="35">
        <v>10</v>
      </c>
      <c r="I1305" s="35">
        <f>VENTAS[[#This Row],[Cantidad]]*VENTAS[[#This Row],[Precio Venta]]</f>
        <v>10</v>
      </c>
      <c r="J1305" s="35">
        <f>IF(VENTAS[[#This Row],[Nombre del Gestor]]&gt;1,VENTAS[[#This Row],[Total]]*10%,0)</f>
        <v>1</v>
      </c>
      <c r="K1305" s="35">
        <f>IFERROR(VLOOKUP(VENTAS[[#This Row],[Código del producto Vendido]],STOCK[],16,FALSE)*VENTAS[[#This Row],[Cantidad]]+VLOOKUP(VENTAS[[#This Row],[Código del producto Vendido]],STOCK[],19,FALSE)*VENTAS[[#This Row],[Cantidad]],VENTAS[[#This Row],[Total]])</f>
        <v>4.32</v>
      </c>
      <c r="L1305" s="35">
        <f>VENTAS[[#This Row],[Total]]-VENTAS[[#This Row],[Comisión 10%]]-VENTAS[[#This Row],[Costo SIN Comision]]</f>
        <v>4.68</v>
      </c>
      <c r="M1305" s="35"/>
    </row>
    <row r="1306" ht="20" customHeight="1" spans="1:13">
      <c r="A1306" s="29">
        <v>45511</v>
      </c>
      <c r="B1306" s="30"/>
      <c r="C1306" s="30" t="s">
        <v>3624</v>
      </c>
      <c r="D1306" s="30" t="s">
        <v>3623</v>
      </c>
      <c r="E1306" s="30" t="s">
        <v>2496</v>
      </c>
      <c r="F1306" s="34" t="str">
        <f>IFERROR(VLOOKUP(VENTAS[[#This Row],[Código del producto Vendido]],STOCK[],5,FALSE),"-")</f>
        <v>Bolso tejido redondo de gran capidad </v>
      </c>
      <c r="G1306" s="34">
        <v>1</v>
      </c>
      <c r="H1306" s="35">
        <v>25</v>
      </c>
      <c r="I1306" s="35">
        <f>VENTAS[[#This Row],[Cantidad]]*VENTAS[[#This Row],[Precio Venta]]</f>
        <v>25</v>
      </c>
      <c r="J1306" s="35">
        <f>IF(VENTAS[[#This Row],[Nombre del Gestor]]&gt;1,VENTAS[[#This Row],[Total]]*10%,0)</f>
        <v>2.5</v>
      </c>
      <c r="K1306" s="35">
        <f>IFERROR(VLOOKUP(VENTAS[[#This Row],[Código del producto Vendido]],STOCK[],16,FALSE)*VENTAS[[#This Row],[Cantidad]]+VLOOKUP(VENTAS[[#This Row],[Código del producto Vendido]],STOCK[],19,FALSE)*VENTAS[[#This Row],[Cantidad]],VENTAS[[#This Row],[Total]])</f>
        <v>11.67</v>
      </c>
      <c r="L1306" s="35">
        <f>VENTAS[[#This Row],[Total]]-VENTAS[[#This Row],[Comisión 10%]]-VENTAS[[#This Row],[Costo SIN Comision]]</f>
        <v>10.83</v>
      </c>
      <c r="M1306" s="35"/>
    </row>
    <row r="1307" ht="20" customHeight="1" spans="1:13">
      <c r="A1307" s="29">
        <v>45511</v>
      </c>
      <c r="B1307" s="30"/>
      <c r="C1307" s="30" t="s">
        <v>3624</v>
      </c>
      <c r="D1307" s="30" t="s">
        <v>3459</v>
      </c>
      <c r="E1307" s="30" t="s">
        <v>1209</v>
      </c>
      <c r="F1307" s="34" t="str">
        <f>IFERROR(VLOOKUP(VENTAS[[#This Row],[Código del producto Vendido]],STOCK[],5,FALSE),"-")</f>
        <v>Falda negra con flores y abertura</v>
      </c>
      <c r="G1307" s="34">
        <v>1</v>
      </c>
      <c r="H1307" s="35">
        <v>18</v>
      </c>
      <c r="I1307" s="35">
        <f>VENTAS[[#This Row],[Cantidad]]*VENTAS[[#This Row],[Precio Venta]]</f>
        <v>18</v>
      </c>
      <c r="J1307" s="35">
        <f>IF(VENTAS[[#This Row],[Nombre del Gestor]]&gt;1,VENTAS[[#This Row],[Total]]*10%,0)</f>
        <v>1.8</v>
      </c>
      <c r="K1307" s="35">
        <f>IFERROR(VLOOKUP(VENTAS[[#This Row],[Código del producto Vendido]],STOCK[],16,FALSE)*VENTAS[[#This Row],[Cantidad]]+VLOOKUP(VENTAS[[#This Row],[Código del producto Vendido]],STOCK[],19,FALSE)*VENTAS[[#This Row],[Cantidad]],VENTAS[[#This Row],[Total]])</f>
        <v>10.77</v>
      </c>
      <c r="L1307" s="35">
        <f>VENTAS[[#This Row],[Total]]-VENTAS[[#This Row],[Comisión 10%]]-VENTAS[[#This Row],[Costo SIN Comision]]</f>
        <v>5.43</v>
      </c>
      <c r="M1307" s="35"/>
    </row>
    <row r="1308" ht="20" customHeight="1" spans="1:13">
      <c r="A1308" s="29">
        <v>45514</v>
      </c>
      <c r="B1308" s="30"/>
      <c r="C1308" s="30" t="s">
        <v>3583</v>
      </c>
      <c r="D1308" s="30" t="s">
        <v>3459</v>
      </c>
      <c r="E1308" s="30" t="s">
        <v>2492</v>
      </c>
      <c r="F1308" s="34" t="str">
        <f>IFERROR(VLOOKUP(VENTAS[[#This Row],[Código del producto Vendido]],STOCK[],5,FALSE),"-")</f>
        <v>Blusa blanca de lazos y manga abullonada</v>
      </c>
      <c r="G1308" s="34">
        <v>1</v>
      </c>
      <c r="H1308" s="35">
        <v>18</v>
      </c>
      <c r="I1308" s="35">
        <f>VENTAS[[#This Row],[Cantidad]]*VENTAS[[#This Row],[Precio Venta]]</f>
        <v>18</v>
      </c>
      <c r="J1308" s="35">
        <f>IF(VENTAS[[#This Row],[Nombre del Gestor]]&gt;1,VENTAS[[#This Row],[Total]]*10%,0)</f>
        <v>1.8</v>
      </c>
      <c r="K1308" s="35">
        <f>IFERROR(VLOOKUP(VENTAS[[#This Row],[Código del producto Vendido]],STOCK[],16,FALSE)*VENTAS[[#This Row],[Cantidad]]+VLOOKUP(VENTAS[[#This Row],[Código del producto Vendido]],STOCK[],19,FALSE)*VENTAS[[#This Row],[Cantidad]],VENTAS[[#This Row],[Total]])</f>
        <v>10.94</v>
      </c>
      <c r="L1308" s="35">
        <f>VENTAS[[#This Row],[Total]]-VENTAS[[#This Row],[Comisión 10%]]-VENTAS[[#This Row],[Costo SIN Comision]]</f>
        <v>5.26</v>
      </c>
      <c r="M1308" s="35"/>
    </row>
    <row r="1309" ht="20" customHeight="1" spans="1:13">
      <c r="A1309" s="29">
        <v>45514</v>
      </c>
      <c r="B1309" s="30"/>
      <c r="C1309" s="30" t="s">
        <v>3625</v>
      </c>
      <c r="D1309" s="30" t="s">
        <v>3459</v>
      </c>
      <c r="E1309" s="30" t="s">
        <v>2470</v>
      </c>
      <c r="F1309" s="34" t="str">
        <f>IFERROR(VLOOKUP(VENTAS[[#This Row],[Código del producto Vendido]],STOCK[],5,FALSE),"-")</f>
        <v>Sandalias de plataforma de tacón grueso</v>
      </c>
      <c r="G1309" s="34">
        <v>1</v>
      </c>
      <c r="H1309" s="35">
        <v>50</v>
      </c>
      <c r="I1309" s="35">
        <f>VENTAS[[#This Row],[Cantidad]]*VENTAS[[#This Row],[Precio Venta]]</f>
        <v>50</v>
      </c>
      <c r="J1309" s="35">
        <f>IF(VENTAS[[#This Row],[Nombre del Gestor]]&gt;1,VENTAS[[#This Row],[Total]]*10%,0)</f>
        <v>5</v>
      </c>
      <c r="K1309" s="35">
        <f>IFERROR(VLOOKUP(VENTAS[[#This Row],[Código del producto Vendido]],STOCK[],16,FALSE)*VENTAS[[#This Row],[Cantidad]]+VLOOKUP(VENTAS[[#This Row],[Código del producto Vendido]],STOCK[],19,FALSE)*VENTAS[[#This Row],[Cantidad]],VENTAS[[#This Row],[Total]])</f>
        <v>29.47</v>
      </c>
      <c r="L1309" s="35">
        <f>VENTAS[[#This Row],[Total]]-VENTAS[[#This Row],[Comisión 10%]]-VENTAS[[#This Row],[Costo SIN Comision]]</f>
        <v>15.53</v>
      </c>
      <c r="M1309" s="35"/>
    </row>
    <row r="1310" ht="20" customHeight="1" spans="1:13">
      <c r="A1310" s="29">
        <v>45514</v>
      </c>
      <c r="B1310" s="30"/>
      <c r="C1310" s="30" t="s">
        <v>3539</v>
      </c>
      <c r="D1310" s="30" t="s">
        <v>3459</v>
      </c>
      <c r="E1310" s="30" t="s">
        <v>1427</v>
      </c>
      <c r="F1310" s="34" t="str">
        <f>IFERROR(VLOOKUP(VENTAS[[#This Row],[Código del producto Vendido]],STOCK[],5,FALSE),"-")</f>
        <v>Sandalias blancas cruzadas</v>
      </c>
      <c r="G1310" s="34">
        <v>1</v>
      </c>
      <c r="H1310" s="35">
        <v>18</v>
      </c>
      <c r="I1310" s="35">
        <f>VENTAS[[#This Row],[Cantidad]]*VENTAS[[#This Row],[Precio Venta]]</f>
        <v>18</v>
      </c>
      <c r="J1310" s="35">
        <f>IF(VENTAS[[#This Row],[Nombre del Gestor]]&gt;1,VENTAS[[#This Row],[Total]]*10%,0)</f>
        <v>1.8</v>
      </c>
      <c r="K1310" s="35">
        <f>IFERROR(VLOOKUP(VENTAS[[#This Row],[Código del producto Vendido]],STOCK[],16,FALSE)*VENTAS[[#This Row],[Cantidad]]+VLOOKUP(VENTAS[[#This Row],[Código del producto Vendido]],STOCK[],19,FALSE)*VENTAS[[#This Row],[Cantidad]],VENTAS[[#This Row],[Total]])</f>
        <v>11.49</v>
      </c>
      <c r="L1310" s="35">
        <f>VENTAS[[#This Row],[Total]]-VENTAS[[#This Row],[Comisión 10%]]-VENTAS[[#This Row],[Costo SIN Comision]]</f>
        <v>4.71</v>
      </c>
      <c r="M1310" s="35"/>
    </row>
    <row r="1311" ht="20" customHeight="1" spans="1:13">
      <c r="A1311" s="29">
        <v>45518</v>
      </c>
      <c r="B1311" s="30"/>
      <c r="C1311" s="30" t="s">
        <v>3626</v>
      </c>
      <c r="D1311" s="30" t="s">
        <v>3459</v>
      </c>
      <c r="E1311" s="30" t="s">
        <v>2526</v>
      </c>
      <c r="F1311" s="34" t="str">
        <f>IFERROR(VLOOKUP(VENTAS[[#This Row],[Código del producto Vendido]],STOCK[],5,FALSE),"-")</f>
        <v>Blusa de lazos color negro</v>
      </c>
      <c r="G1311" s="34">
        <v>1</v>
      </c>
      <c r="H1311" s="35">
        <v>18</v>
      </c>
      <c r="I1311" s="35">
        <f>VENTAS[[#This Row],[Cantidad]]*VENTAS[[#This Row],[Precio Venta]]</f>
        <v>18</v>
      </c>
      <c r="J1311" s="35">
        <f>IF(VENTAS[[#This Row],[Nombre del Gestor]]&gt;1,VENTAS[[#This Row],[Total]]*10%,0)</f>
        <v>1.8</v>
      </c>
      <c r="K1311" s="35">
        <f>IFERROR(VLOOKUP(VENTAS[[#This Row],[Código del producto Vendido]],STOCK[],16,FALSE)*VENTAS[[#This Row],[Cantidad]]+VLOOKUP(VENTAS[[#This Row],[Código del producto Vendido]],STOCK[],19,FALSE)*VENTAS[[#This Row],[Cantidad]],VENTAS[[#This Row],[Total]])</f>
        <v>10.22</v>
      </c>
      <c r="L1311" s="35">
        <f>VENTAS[[#This Row],[Total]]-VENTAS[[#This Row],[Comisión 10%]]-VENTAS[[#This Row],[Costo SIN Comision]]</f>
        <v>5.98</v>
      </c>
      <c r="M1311" s="35"/>
    </row>
    <row r="1312" ht="20" customHeight="1" spans="1:13">
      <c r="A1312" s="29">
        <v>45519</v>
      </c>
      <c r="B1312" s="30"/>
      <c r="C1312" s="30" t="s">
        <v>3627</v>
      </c>
      <c r="D1312" s="30" t="s">
        <v>3459</v>
      </c>
      <c r="E1312" s="30" t="s">
        <v>2710</v>
      </c>
      <c r="F1312" s="34" t="str">
        <f>IFERROR(VLOOKUP(VENTAS[[#This Row],[Código del producto Vendido]],STOCK[],5,FALSE),"-")</f>
        <v>Set de Splash y crema de Victoria Secret (Original) Midnigth Bloom</v>
      </c>
      <c r="G1312" s="34">
        <v>1</v>
      </c>
      <c r="H1312" s="35">
        <v>40</v>
      </c>
      <c r="I1312" s="35">
        <f>VENTAS[[#This Row],[Cantidad]]*VENTAS[[#This Row],[Precio Venta]]</f>
        <v>40</v>
      </c>
      <c r="J1312" s="35">
        <f>IF(VENTAS[[#This Row],[Nombre del Gestor]]&gt;1,VENTAS[[#This Row],[Total]]*10%,0)</f>
        <v>4</v>
      </c>
      <c r="K1312" s="35">
        <f>IFERROR(VLOOKUP(VENTAS[[#This Row],[Código del producto Vendido]],STOCK[],16,FALSE)*VENTAS[[#This Row],[Cantidad]]+VLOOKUP(VENTAS[[#This Row],[Código del producto Vendido]],STOCK[],19,FALSE)*VENTAS[[#This Row],[Cantidad]],VENTAS[[#This Row],[Total]])</f>
        <v>16.37</v>
      </c>
      <c r="L1312" s="35">
        <f>VENTAS[[#This Row],[Total]]-VENTAS[[#This Row],[Comisión 10%]]-VENTAS[[#This Row],[Costo SIN Comision]]</f>
        <v>19.63</v>
      </c>
      <c r="M1312" s="35"/>
    </row>
    <row r="1313" ht="20" customHeight="1" spans="1:13">
      <c r="A1313" s="29">
        <v>45512</v>
      </c>
      <c r="B1313" s="30"/>
      <c r="C1313" s="30" t="s">
        <v>3628</v>
      </c>
      <c r="D1313" s="30" t="s">
        <v>3507</v>
      </c>
      <c r="E1313" s="30" t="s">
        <v>2182</v>
      </c>
      <c r="F1313" s="34" t="str">
        <f>IFERROR(VLOOKUP(VENTAS[[#This Row],[Código del producto Vendido]],STOCK[],5,FALSE),"-")</f>
        <v>Bikini sexy de pierna alta en tendencia</v>
      </c>
      <c r="G1313" s="34">
        <v>1</v>
      </c>
      <c r="H1313" s="35">
        <v>20</v>
      </c>
      <c r="I1313" s="35">
        <f>VENTAS[[#This Row],[Cantidad]]*VENTAS[[#This Row],[Precio Venta]]</f>
        <v>20</v>
      </c>
      <c r="J1313" s="35">
        <f>IF(VENTAS[[#This Row],[Nombre del Gestor]]&gt;1,VENTAS[[#This Row],[Total]]*10%,0)</f>
        <v>2</v>
      </c>
      <c r="K1313" s="35">
        <f>IFERROR(VLOOKUP(VENTAS[[#This Row],[Código del producto Vendido]],STOCK[],16,FALSE)*VENTAS[[#This Row],[Cantidad]]+VLOOKUP(VENTAS[[#This Row],[Código del producto Vendido]],STOCK[],19,FALSE)*VENTAS[[#This Row],[Cantidad]],VENTAS[[#This Row],[Total]])</f>
        <v>6.62</v>
      </c>
      <c r="L1313" s="35">
        <f>VENTAS[[#This Row],[Total]]-VENTAS[[#This Row],[Comisión 10%]]-VENTAS[[#This Row],[Costo SIN Comision]]</f>
        <v>11.38</v>
      </c>
      <c r="M1313" s="35"/>
    </row>
    <row r="1314" ht="20" customHeight="1" spans="1:13">
      <c r="A1314" s="29">
        <v>45512</v>
      </c>
      <c r="B1314" s="30"/>
      <c r="C1314" s="30"/>
      <c r="D1314" s="30" t="s">
        <v>3453</v>
      </c>
      <c r="E1314" s="30" t="s">
        <v>2186</v>
      </c>
      <c r="F1314" s="34" t="str">
        <f>IFERROR(VLOOKUP(VENTAS[[#This Row],[Código del producto Vendido]],STOCK[],5,FALSE),"-")</f>
        <v>Conjunto Playero color verde 2 piezas</v>
      </c>
      <c r="G1314" s="34">
        <v>1</v>
      </c>
      <c r="H1314" s="35">
        <v>25</v>
      </c>
      <c r="I1314" s="35">
        <f>VENTAS[[#This Row],[Cantidad]]*VENTAS[[#This Row],[Precio Venta]]</f>
        <v>25</v>
      </c>
      <c r="J1314" s="35">
        <f>IF(VENTAS[[#This Row],[Nombre del Gestor]]&gt;1,VENTAS[[#This Row],[Total]]*10%,0)</f>
        <v>2.5</v>
      </c>
      <c r="K1314" s="35">
        <f>IFERROR(VLOOKUP(VENTAS[[#This Row],[Código del producto Vendido]],STOCK[],16,FALSE)*VENTAS[[#This Row],[Cantidad]]+VLOOKUP(VENTAS[[#This Row],[Código del producto Vendido]],STOCK[],19,FALSE)*VENTAS[[#This Row],[Cantidad]],VENTAS[[#This Row],[Total]])</f>
        <v>12.48</v>
      </c>
      <c r="L1314" s="35">
        <f>VENTAS[[#This Row],[Total]]-VENTAS[[#This Row],[Comisión 10%]]-VENTAS[[#This Row],[Costo SIN Comision]]</f>
        <v>10.02</v>
      </c>
      <c r="M1314" s="35"/>
    </row>
    <row r="1315" ht="20" customHeight="1" spans="1:13">
      <c r="A1315" s="29">
        <v>45512</v>
      </c>
      <c r="B1315" s="30"/>
      <c r="C1315" s="30"/>
      <c r="D1315" s="30" t="s">
        <v>3453</v>
      </c>
      <c r="E1315" s="30" t="s">
        <v>1170</v>
      </c>
      <c r="F1315" s="34" t="str">
        <f>IFERROR(VLOOKUP(VENTAS[[#This Row],[Código del producto Vendido]],STOCK[],5,FALSE),"-")</f>
        <v>Pullover Dazy cuello redondo Blanco</v>
      </c>
      <c r="G1315" s="34">
        <v>1</v>
      </c>
      <c r="H1315" s="35">
        <v>13</v>
      </c>
      <c r="I1315" s="35">
        <f>VENTAS[[#This Row],[Cantidad]]*VENTAS[[#This Row],[Precio Venta]]</f>
        <v>13</v>
      </c>
      <c r="J1315" s="35">
        <f>IF(VENTAS[[#This Row],[Nombre del Gestor]]&gt;1,VENTAS[[#This Row],[Total]]*10%,0)</f>
        <v>1.3</v>
      </c>
      <c r="K1315" s="35">
        <f>IFERROR(VLOOKUP(VENTAS[[#This Row],[Código del producto Vendido]],STOCK[],16,FALSE)*VENTAS[[#This Row],[Cantidad]]+VLOOKUP(VENTAS[[#This Row],[Código del producto Vendido]],STOCK[],19,FALSE)*VENTAS[[#This Row],[Cantidad]],VENTAS[[#This Row],[Total]])</f>
        <v>8.61</v>
      </c>
      <c r="L1315" s="35">
        <f>VENTAS[[#This Row],[Total]]-VENTAS[[#This Row],[Comisión 10%]]-VENTAS[[#This Row],[Costo SIN Comision]]</f>
        <v>3.09</v>
      </c>
      <c r="M1315" s="35"/>
    </row>
    <row r="1316" ht="20" customHeight="1" spans="1:13">
      <c r="A1316" s="29">
        <v>45507</v>
      </c>
      <c r="B1316" s="30"/>
      <c r="C1316" s="30" t="s">
        <v>3629</v>
      </c>
      <c r="D1316" s="30" t="s">
        <v>3312</v>
      </c>
      <c r="E1316" s="30" t="s">
        <v>2359</v>
      </c>
      <c r="F1316" s="34" t="str">
        <f>IFERROR(VLOOKUP(VENTAS[[#This Row],[Código del producto Vendido]],STOCK[],5,FALSE),"-")</f>
        <v>Espejuelos estilo cat eye</v>
      </c>
      <c r="G1316" s="34">
        <v>1</v>
      </c>
      <c r="H1316" s="35">
        <v>10</v>
      </c>
      <c r="I1316" s="35">
        <f>VENTAS[[#This Row],[Cantidad]]*VENTAS[[#This Row],[Precio Venta]]</f>
        <v>10</v>
      </c>
      <c r="J1316" s="35">
        <f>IF(VENTAS[[#This Row],[Nombre del Gestor]]&gt;1,VENTAS[[#This Row],[Total]]*10%,0)</f>
        <v>1</v>
      </c>
      <c r="K1316" s="35">
        <f>IFERROR(VLOOKUP(VENTAS[[#This Row],[Código del producto Vendido]],STOCK[],16,FALSE)*VENTAS[[#This Row],[Cantidad]]+VLOOKUP(VENTAS[[#This Row],[Código del producto Vendido]],STOCK[],19,FALSE)*VENTAS[[#This Row],[Cantidad]],VENTAS[[#This Row],[Total]])</f>
        <v>5.121875</v>
      </c>
      <c r="L1316" s="35">
        <f>VENTAS[[#This Row],[Total]]-VENTAS[[#This Row],[Comisión 10%]]-VENTAS[[#This Row],[Costo SIN Comision]]</f>
        <v>3.878125</v>
      </c>
      <c r="M1316" s="35"/>
    </row>
    <row r="1317" ht="20" customHeight="1" spans="1:13">
      <c r="A1317" s="29">
        <v>45509</v>
      </c>
      <c r="B1317" s="30"/>
      <c r="C1317" s="30" t="s">
        <v>3575</v>
      </c>
      <c r="D1317" s="30" t="s">
        <v>3312</v>
      </c>
      <c r="E1317" s="30" t="s">
        <v>2598</v>
      </c>
      <c r="F1317" s="34" t="str">
        <f>IFERROR(VLOOKUP(VENTAS[[#This Row],[Código del producto Vendido]],STOCK[],5,FALSE),"-")</f>
        <v>Bolso verano de rafia en bloque de color</v>
      </c>
      <c r="G1317" s="34">
        <v>1</v>
      </c>
      <c r="H1317" s="35">
        <v>22</v>
      </c>
      <c r="I1317" s="35">
        <f>VENTAS[[#This Row],[Cantidad]]*VENTAS[[#This Row],[Precio Venta]]</f>
        <v>22</v>
      </c>
      <c r="J1317" s="35">
        <f>IF(VENTAS[[#This Row],[Nombre del Gestor]]&gt;1,VENTAS[[#This Row],[Total]]*10%,0)</f>
        <v>2.2</v>
      </c>
      <c r="K1317" s="35">
        <f>IFERROR(VLOOKUP(VENTAS[[#This Row],[Código del producto Vendido]],STOCK[],16,FALSE)*VENTAS[[#This Row],[Cantidad]]+VLOOKUP(VENTAS[[#This Row],[Código del producto Vendido]],STOCK[],19,FALSE)*VENTAS[[#This Row],[Cantidad]],VENTAS[[#This Row],[Total]])</f>
        <v>5.96</v>
      </c>
      <c r="L1317" s="35">
        <f>VENTAS[[#This Row],[Total]]-VENTAS[[#This Row],[Comisión 10%]]-VENTAS[[#This Row],[Costo SIN Comision]]</f>
        <v>13.84</v>
      </c>
      <c r="M1317" s="35"/>
    </row>
    <row r="1318" ht="20" customHeight="1" spans="1:13">
      <c r="A1318" s="29">
        <v>45516</v>
      </c>
      <c r="B1318" s="30"/>
      <c r="C1318" s="30" t="s">
        <v>3630</v>
      </c>
      <c r="D1318" s="30" t="s">
        <v>3312</v>
      </c>
      <c r="E1318" s="30" t="s">
        <v>486</v>
      </c>
      <c r="F1318" s="34" t="str">
        <f>IFERROR(VLOOKUP(VENTAS[[#This Row],[Código del producto Vendido]],STOCK[],5,FALSE),"-")</f>
        <v>Bolsa bandolera</v>
      </c>
      <c r="G1318" s="34">
        <v>1</v>
      </c>
      <c r="H1318" s="35">
        <v>12</v>
      </c>
      <c r="I1318" s="35">
        <f>VENTAS[[#This Row],[Cantidad]]*VENTAS[[#This Row],[Precio Venta]]</f>
        <v>12</v>
      </c>
      <c r="J1318" s="35">
        <f>IF(VENTAS[[#This Row],[Nombre del Gestor]]&gt;1,VENTAS[[#This Row],[Total]]*10%,0)</f>
        <v>1.2</v>
      </c>
      <c r="K1318" s="35">
        <f>IFERROR(VLOOKUP(VENTAS[[#This Row],[Código del producto Vendido]],STOCK[],16,FALSE)*VENTAS[[#This Row],[Cantidad]]+VLOOKUP(VENTAS[[#This Row],[Código del producto Vendido]],STOCK[],19,FALSE)*VENTAS[[#This Row],[Cantidad]],VENTAS[[#This Row],[Total]])</f>
        <v>8.94444444444444</v>
      </c>
      <c r="L1318" s="35">
        <f>VENTAS[[#This Row],[Total]]-VENTAS[[#This Row],[Comisión 10%]]-VENTAS[[#This Row],[Costo SIN Comision]]</f>
        <v>1.85555555555556</v>
      </c>
      <c r="M1318" s="35"/>
    </row>
    <row r="1319" ht="20" customHeight="1" spans="1:13">
      <c r="A1319" s="29">
        <v>45518</v>
      </c>
      <c r="B1319" s="30"/>
      <c r="C1319" s="30" t="s">
        <v>3631</v>
      </c>
      <c r="D1319" s="30" t="s">
        <v>3312</v>
      </c>
      <c r="E1319" s="30" t="s">
        <v>1979</v>
      </c>
      <c r="F1319" s="34" t="str">
        <f>IFERROR(VLOOKUP(VENTAS[[#This Row],[Código del producto Vendido]],STOCK[],5,FALSE),"-")</f>
        <v>Bermuda denim curvy</v>
      </c>
      <c r="G1319" s="34">
        <v>1</v>
      </c>
      <c r="H1319" s="35">
        <v>7.5</v>
      </c>
      <c r="I1319" s="35">
        <f>VENTAS[[#This Row],[Cantidad]]*VENTAS[[#This Row],[Precio Venta]]</f>
        <v>7.5</v>
      </c>
      <c r="J1319" s="35">
        <f>IF(VENTAS[[#This Row],[Nombre del Gestor]]&gt;1,VENTAS[[#This Row],[Total]]*10%,0)</f>
        <v>0.75</v>
      </c>
      <c r="K1319" s="35">
        <f>IFERROR(VLOOKUP(VENTAS[[#This Row],[Código del producto Vendido]],STOCK[],16,FALSE)*VENTAS[[#This Row],[Cantidad]]+VLOOKUP(VENTAS[[#This Row],[Código del producto Vendido]],STOCK[],19,FALSE)*VENTAS[[#This Row],[Cantidad]],VENTAS[[#This Row],[Total]])</f>
        <v>5</v>
      </c>
      <c r="L1319" s="35">
        <f>VENTAS[[#This Row],[Total]]-VENTAS[[#This Row],[Comisión 10%]]-VENTAS[[#This Row],[Costo SIN Comision]]</f>
        <v>1.75</v>
      </c>
      <c r="M1319" s="35"/>
    </row>
    <row r="1320" ht="20" customHeight="1" spans="1:13">
      <c r="A1320" s="29">
        <v>45511</v>
      </c>
      <c r="B1320" s="30"/>
      <c r="C1320" s="30" t="s">
        <v>3558</v>
      </c>
      <c r="D1320" s="30" t="s">
        <v>3365</v>
      </c>
      <c r="E1320" s="30" t="s">
        <v>2512</v>
      </c>
      <c r="F1320" s="34" t="str">
        <f>IFERROR(VLOOKUP(VENTAS[[#This Row],[Código del producto Vendido]],STOCK[],5,FALSE),"-")</f>
        <v>Bolso pequeño estilo old money</v>
      </c>
      <c r="G1320" s="34">
        <v>1</v>
      </c>
      <c r="H1320" s="35">
        <v>20</v>
      </c>
      <c r="I1320" s="35">
        <f>VENTAS[[#This Row],[Cantidad]]*VENTAS[[#This Row],[Precio Venta]]</f>
        <v>20</v>
      </c>
      <c r="J1320" s="35">
        <f>IF(VENTAS[[#This Row],[Nombre del Gestor]]&gt;1,VENTAS[[#This Row],[Total]]*10%,0)</f>
        <v>2</v>
      </c>
      <c r="K1320" s="35">
        <f>IFERROR(VLOOKUP(VENTAS[[#This Row],[Código del producto Vendido]],STOCK[],16,FALSE)*VENTAS[[#This Row],[Cantidad]]+VLOOKUP(VENTAS[[#This Row],[Código del producto Vendido]],STOCK[],19,FALSE)*VENTAS[[#This Row],[Cantidad]],VENTAS[[#This Row],[Total]])</f>
        <v>11.49</v>
      </c>
      <c r="L1320" s="35">
        <f>VENTAS[[#This Row],[Total]]-VENTAS[[#This Row],[Comisión 10%]]-VENTAS[[#This Row],[Costo SIN Comision]]</f>
        <v>6.51</v>
      </c>
      <c r="M1320" s="35"/>
    </row>
    <row r="1321" ht="20" customHeight="1" spans="1:13">
      <c r="A1321" s="29">
        <v>45505</v>
      </c>
      <c r="B1321" s="30"/>
      <c r="C1321" s="30"/>
      <c r="D1321" s="30"/>
      <c r="E1321" s="30"/>
      <c r="F1321" s="34" t="str">
        <f>IFERROR(VLOOKUP(VENTAS[[#This Row],[Código del producto Vendido]],STOCK[],5,FALSE),"-")</f>
        <v>-</v>
      </c>
      <c r="G1321" s="34">
        <v>1</v>
      </c>
      <c r="H1321" s="35">
        <v>13</v>
      </c>
      <c r="I1321" s="35">
        <f>VENTAS[[#This Row],[Cantidad]]*VENTAS[[#This Row],[Precio Venta]]</f>
        <v>13</v>
      </c>
      <c r="J1321" s="35">
        <f>IF(VENTAS[[#This Row],[Nombre del Gestor]]&gt;1,VENTAS[[#This Row],[Total]]*10%,0)</f>
        <v>0</v>
      </c>
      <c r="K1321" s="35">
        <f>IFERROR(VLOOKUP(VENTAS[[#This Row],[Código del producto Vendido]],STOCK[],16,FALSE)*VENTAS[[#This Row],[Cantidad]]+VLOOKUP(VENTAS[[#This Row],[Código del producto Vendido]],STOCK[],19,FALSE)*VENTAS[[#This Row],[Cantidad]],VENTAS[[#This Row],[Total]])</f>
        <v>13</v>
      </c>
      <c r="L1321" s="35">
        <f>VENTAS[[#This Row],[Total]]-VENTAS[[#This Row],[Comisión 10%]]-VENTAS[[#This Row],[Costo SIN Comision]]</f>
        <v>0</v>
      </c>
      <c r="M1321" s="35"/>
    </row>
    <row r="1322" ht="20" customHeight="1" spans="1:13">
      <c r="A1322" s="29">
        <v>45512</v>
      </c>
      <c r="B1322" s="30"/>
      <c r="C1322" s="30"/>
      <c r="D1322" s="30" t="s">
        <v>3478</v>
      </c>
      <c r="E1322" s="30" t="s">
        <v>2464</v>
      </c>
      <c r="F1322" s="34" t="str">
        <f>IFERROR(VLOOKUP(VENTAS[[#This Row],[Código del producto Vendido]],STOCK[],5,FALSE),"-")</f>
        <v>Sandalias de plataforma en bloque de color</v>
      </c>
      <c r="G1322" s="34">
        <v>1</v>
      </c>
      <c r="H1322" s="35">
        <v>35</v>
      </c>
      <c r="I1322" s="35">
        <f>VENTAS[[#This Row],[Cantidad]]*VENTAS[[#This Row],[Precio Venta]]</f>
        <v>35</v>
      </c>
      <c r="J1322" s="35">
        <f>IF(VENTAS[[#This Row],[Nombre del Gestor]]&gt;1,VENTAS[[#This Row],[Total]]*10%,0)</f>
        <v>3.5</v>
      </c>
      <c r="K1322" s="35">
        <f>IFERROR(VLOOKUP(VENTAS[[#This Row],[Código del producto Vendido]],STOCK[],16,FALSE)*VENTAS[[#This Row],[Cantidad]]+VLOOKUP(VENTAS[[#This Row],[Código del producto Vendido]],STOCK[],19,FALSE)*VENTAS[[#This Row],[Cantidad]],VENTAS[[#This Row],[Total]])</f>
        <v>21.97</v>
      </c>
      <c r="L1322" s="35">
        <f>VENTAS[[#This Row],[Total]]-VENTAS[[#This Row],[Comisión 10%]]-VENTAS[[#This Row],[Costo SIN Comision]]</f>
        <v>9.53</v>
      </c>
      <c r="M1322" s="35"/>
    </row>
    <row r="1323" ht="20" customHeight="1" spans="1:13">
      <c r="A1323" s="29">
        <v>45512</v>
      </c>
      <c r="B1323" s="30" t="s">
        <v>3632</v>
      </c>
      <c r="C1323" s="30"/>
      <c r="D1323" s="30"/>
      <c r="E1323" s="30" t="s">
        <v>2493</v>
      </c>
      <c r="F1323" s="34" t="str">
        <f>IFERROR(VLOOKUP(VENTAS[[#This Row],[Código del producto Vendido]],STOCK[],5,FALSE),"-")</f>
        <v>Bolso bandolera de rafia rígido de tamaño pequeño</v>
      </c>
      <c r="G1323" s="34">
        <v>1</v>
      </c>
      <c r="H1323" s="35">
        <v>12</v>
      </c>
      <c r="I1323" s="35">
        <f>VENTAS[[#This Row],[Cantidad]]*VENTAS[[#This Row],[Precio Venta]]</f>
        <v>12</v>
      </c>
      <c r="J1323" s="35">
        <f>IF(VENTAS[[#This Row],[Nombre del Gestor]]&gt;1,VENTAS[[#This Row],[Total]]*10%,0)</f>
        <v>0</v>
      </c>
      <c r="K1323" s="35">
        <f>IFERROR(VLOOKUP(VENTAS[[#This Row],[Código del producto Vendido]],STOCK[],16,FALSE)*VENTAS[[#This Row],[Cantidad]]+VLOOKUP(VENTAS[[#This Row],[Código del producto Vendido]],STOCK[],19,FALSE)*VENTAS[[#This Row],[Cantidad]],VENTAS[[#This Row],[Total]])</f>
        <v>11.39</v>
      </c>
      <c r="L1323" s="35">
        <f>VENTAS[[#This Row],[Total]]-VENTAS[[#This Row],[Comisión 10%]]-VENTAS[[#This Row],[Costo SIN Comision]]</f>
        <v>0.609999999999999</v>
      </c>
      <c r="M1323" s="35"/>
    </row>
    <row r="1324" ht="20" customHeight="1" spans="1:13">
      <c r="A1324" s="29">
        <v>45518</v>
      </c>
      <c r="B1324" s="30"/>
      <c r="C1324" s="30" t="s">
        <v>3633</v>
      </c>
      <c r="D1324" s="30" t="s">
        <v>3537</v>
      </c>
      <c r="E1324" s="30" t="s">
        <v>2514</v>
      </c>
      <c r="F1324" s="34" t="str">
        <f>IFERROR(VLOOKUP(VENTAS[[#This Row],[Código del producto Vendido]],STOCK[],5,FALSE),"-")</f>
        <v>Bolso media luna de rafia de tamaño medio</v>
      </c>
      <c r="G1324" s="34">
        <v>1</v>
      </c>
      <c r="H1324" s="35">
        <v>22</v>
      </c>
      <c r="I1324" s="35">
        <f>VENTAS[[#This Row],[Cantidad]]*VENTAS[[#This Row],[Precio Venta]]</f>
        <v>22</v>
      </c>
      <c r="J1324" s="35">
        <f>IF(VENTAS[[#This Row],[Nombre del Gestor]]&gt;1,VENTAS[[#This Row],[Total]]*10%,0)</f>
        <v>2.2</v>
      </c>
      <c r="K1324" s="35">
        <f>IFERROR(VLOOKUP(VENTAS[[#This Row],[Código del producto Vendido]],STOCK[],16,FALSE)*VENTAS[[#This Row],[Cantidad]]+VLOOKUP(VENTAS[[#This Row],[Código del producto Vendido]],STOCK[],19,FALSE)*VENTAS[[#This Row],[Cantidad]],VENTAS[[#This Row],[Total]])</f>
        <v>12.83</v>
      </c>
      <c r="L1324" s="35">
        <f>VENTAS[[#This Row],[Total]]-VENTAS[[#This Row],[Comisión 10%]]-VENTAS[[#This Row],[Costo SIN Comision]]</f>
        <v>6.97</v>
      </c>
      <c r="M1324" s="35"/>
    </row>
    <row r="1325" ht="20" customHeight="1" spans="1:13">
      <c r="A1325" s="29">
        <v>45512</v>
      </c>
      <c r="B1325" s="30"/>
      <c r="C1325" s="30"/>
      <c r="D1325" s="30" t="s">
        <v>3478</v>
      </c>
      <c r="E1325" s="30" t="s">
        <v>3547</v>
      </c>
      <c r="F1325" s="34" t="str">
        <f>IFERROR(VLOOKUP(VENTAS[[#This Row],[Código del producto Vendido]],STOCK[],5,FALSE),"-")</f>
        <v>-</v>
      </c>
      <c r="G1325" s="34">
        <v>1</v>
      </c>
      <c r="H1325" s="35">
        <v>45</v>
      </c>
      <c r="I1325" s="35">
        <f>VENTAS[[#This Row],[Cantidad]]*VENTAS[[#This Row],[Precio Venta]]</f>
        <v>45</v>
      </c>
      <c r="J1325" s="35">
        <f>IF(VENTAS[[#This Row],[Nombre del Gestor]]&gt;1,VENTAS[[#This Row],[Total]]*10%,0)</f>
        <v>4.5</v>
      </c>
      <c r="K1325" s="35">
        <f>IFERROR(VLOOKUP(VENTAS[[#This Row],[Código del producto Vendido]],STOCK[],16,FALSE)*VENTAS[[#This Row],[Cantidad]]+VLOOKUP(VENTAS[[#This Row],[Código del producto Vendido]],STOCK[],19,FALSE)*VENTAS[[#This Row],[Cantidad]],VENTAS[[#This Row],[Total]])</f>
        <v>45</v>
      </c>
      <c r="L1325" s="35">
        <f>VENTAS[[#This Row],[Total]]-VENTAS[[#This Row],[Comisión 10%]]-VENTAS[[#This Row],[Costo SIN Comision]]</f>
        <v>-4.5</v>
      </c>
      <c r="M1325" s="35"/>
    </row>
    <row r="1326" ht="20" customHeight="1" spans="1:13">
      <c r="A1326" s="29">
        <v>45512</v>
      </c>
      <c r="B1326" s="30"/>
      <c r="C1326" s="30"/>
      <c r="D1326" s="30"/>
      <c r="E1326" s="30" t="s">
        <v>2487</v>
      </c>
      <c r="F1326" s="34" t="str">
        <f>IFERROR(VLOOKUP(VENTAS[[#This Row],[Código del producto Vendido]],STOCK[],5,FALSE),"-")</f>
        <v>Sandalias prácticas chunky blanco crema</v>
      </c>
      <c r="G1326" s="34">
        <v>1</v>
      </c>
      <c r="H1326" s="35"/>
      <c r="I1326" s="35">
        <f>VENTAS[[#This Row],[Cantidad]]*VENTAS[[#This Row],[Precio Venta]]</f>
        <v>0</v>
      </c>
      <c r="J1326" s="35">
        <f>IF(VENTAS[[#This Row],[Nombre del Gestor]]&gt;1,VENTAS[[#This Row],[Total]]*10%,0)</f>
        <v>0</v>
      </c>
      <c r="K1326" s="35">
        <f>IFERROR(VLOOKUP(VENTAS[[#This Row],[Código del producto Vendido]],STOCK[],16,FALSE)*VENTAS[[#This Row],[Cantidad]]+VLOOKUP(VENTAS[[#This Row],[Código del producto Vendido]],STOCK[],19,FALSE)*VENTAS[[#This Row],[Cantidad]],VENTAS[[#This Row],[Total]])</f>
        <v>24.2174</v>
      </c>
      <c r="L1326" s="35">
        <f>VENTAS[[#This Row],[Total]]-VENTAS[[#This Row],[Comisión 10%]]-VENTAS[[#This Row],[Costo SIN Comision]]</f>
        <v>-24.2174</v>
      </c>
      <c r="M1326" s="35"/>
    </row>
    <row r="1327" ht="20" customHeight="1" spans="1:13">
      <c r="A1327" s="29">
        <v>45512</v>
      </c>
      <c r="B1327" s="30"/>
      <c r="C1327" s="30" t="s">
        <v>3634</v>
      </c>
      <c r="D1327" s="30"/>
      <c r="E1327" s="30" t="s">
        <v>2653</v>
      </c>
      <c r="F1327" s="34" t="str">
        <f>IFERROR(VLOOKUP(VENTAS[[#This Row],[Código del producto Vendido]],STOCK[],5,FALSE),"-")</f>
        <v>Sandalias Pull&amp;Bear (encargo mónica)</v>
      </c>
      <c r="G1327" s="34">
        <v>1</v>
      </c>
      <c r="H1327" s="35">
        <v>35</v>
      </c>
      <c r="I1327" s="35">
        <f>VENTAS[[#This Row],[Cantidad]]*VENTAS[[#This Row],[Precio Venta]]</f>
        <v>35</v>
      </c>
      <c r="J1327" s="35">
        <f>IF(VENTAS[[#This Row],[Nombre del Gestor]]&gt;1,VENTAS[[#This Row],[Total]]*10%,0)</f>
        <v>0</v>
      </c>
      <c r="K1327" s="35">
        <f>IFERROR(VLOOKUP(VENTAS[[#This Row],[Código del producto Vendido]],STOCK[],16,FALSE)*VENTAS[[#This Row],[Cantidad]]+VLOOKUP(VENTAS[[#This Row],[Código del producto Vendido]],STOCK[],19,FALSE)*VENTAS[[#This Row],[Cantidad]],VENTAS[[#This Row],[Total]])</f>
        <v>21</v>
      </c>
      <c r="L1327" s="35">
        <f>VENTAS[[#This Row],[Total]]-VENTAS[[#This Row],[Comisión 10%]]-VENTAS[[#This Row],[Costo SIN Comision]]</f>
        <v>14</v>
      </c>
      <c r="M1327" s="35"/>
    </row>
    <row r="1328" ht="20" customHeight="1" spans="1:13">
      <c r="A1328" s="29">
        <v>45512</v>
      </c>
      <c r="B1328" s="30"/>
      <c r="C1328" s="30"/>
      <c r="D1328" s="30"/>
      <c r="E1328" s="30" t="s">
        <v>626</v>
      </c>
      <c r="F1328" s="34" t="str">
        <f>IFERROR(VLOOKUP(VENTAS[[#This Row],[Código del producto Vendido]],STOCK[],5,FALSE),"-")</f>
        <v>Vestido vaporoso</v>
      </c>
      <c r="G1328" s="34">
        <v>1</v>
      </c>
      <c r="H1328" s="35"/>
      <c r="I1328" s="35">
        <f>VENTAS[[#This Row],[Cantidad]]*VENTAS[[#This Row],[Precio Venta]]</f>
        <v>0</v>
      </c>
      <c r="J1328" s="35">
        <f>IF(VENTAS[[#This Row],[Nombre del Gestor]]&gt;1,VENTAS[[#This Row],[Total]]*10%,0)</f>
        <v>0</v>
      </c>
      <c r="K1328" s="35">
        <f>IFERROR(VLOOKUP(VENTAS[[#This Row],[Código del producto Vendido]],STOCK[],16,FALSE)*VENTAS[[#This Row],[Cantidad]]+VLOOKUP(VENTAS[[#This Row],[Código del producto Vendido]],STOCK[],19,FALSE)*VENTAS[[#This Row],[Cantidad]],VENTAS[[#This Row],[Total]])</f>
        <v>10.7222222222222</v>
      </c>
      <c r="L1328" s="35">
        <f>VENTAS[[#This Row],[Total]]-VENTAS[[#This Row],[Comisión 10%]]-VENTAS[[#This Row],[Costo SIN Comision]]</f>
        <v>-10.7222222222222</v>
      </c>
      <c r="M1328" s="35"/>
    </row>
    <row r="1329" ht="20" customHeight="1" spans="1:13">
      <c r="A1329" s="29">
        <v>45512</v>
      </c>
      <c r="B1329" s="30"/>
      <c r="C1329" s="30" t="s">
        <v>3635</v>
      </c>
      <c r="D1329" s="30" t="s">
        <v>3448</v>
      </c>
      <c r="E1329" s="30" t="s">
        <v>1257</v>
      </c>
      <c r="F1329" s="34" t="str">
        <f>IFERROR(VLOOKUP(VENTAS[[#This Row],[Código del producto Vendido]],STOCK[],5,FALSE),"-")</f>
        <v>Maxi vestido de espalda cruzada</v>
      </c>
      <c r="G1329" s="34">
        <v>1</v>
      </c>
      <c r="H1329" s="35">
        <v>30</v>
      </c>
      <c r="I1329" s="35">
        <f>VENTAS[[#This Row],[Cantidad]]*VENTAS[[#This Row],[Precio Venta]]</f>
        <v>30</v>
      </c>
      <c r="J1329" s="35">
        <f>IF(VENTAS[[#This Row],[Nombre del Gestor]]&gt;1,VENTAS[[#This Row],[Total]]*10%,0)</f>
        <v>3</v>
      </c>
      <c r="K1329" s="35">
        <f>IFERROR(VLOOKUP(VENTAS[[#This Row],[Código del producto Vendido]],STOCK[],16,FALSE)*VENTAS[[#This Row],[Cantidad]]+VLOOKUP(VENTAS[[#This Row],[Código del producto Vendido]],STOCK[],19,FALSE)*VENTAS[[#This Row],[Cantidad]],VENTAS[[#This Row],[Total]])</f>
        <v>23.95</v>
      </c>
      <c r="L1329" s="35">
        <f>VENTAS[[#This Row],[Total]]-VENTAS[[#This Row],[Comisión 10%]]-VENTAS[[#This Row],[Costo SIN Comision]]</f>
        <v>3.05</v>
      </c>
      <c r="M1329" s="35"/>
    </row>
    <row r="1330" ht="20" customHeight="1" spans="1:13">
      <c r="A1330" s="29">
        <v>45512</v>
      </c>
      <c r="B1330" s="30"/>
      <c r="C1330" s="30"/>
      <c r="D1330" s="30"/>
      <c r="E1330" s="30" t="s">
        <v>1619</v>
      </c>
      <c r="F1330" s="34" t="str">
        <f>IFERROR(VLOOKUP(VENTAS[[#This Row],[Código del producto Vendido]],STOCK[],5,FALSE),"-")</f>
        <v>Vestido Becka</v>
      </c>
      <c r="G1330" s="34">
        <v>1</v>
      </c>
      <c r="H1330" s="35">
        <v>30</v>
      </c>
      <c r="I1330" s="35">
        <f>VENTAS[[#This Row],[Cantidad]]*VENTAS[[#This Row],[Precio Venta]]</f>
        <v>30</v>
      </c>
      <c r="J1330" s="35">
        <f>IF(VENTAS[[#This Row],[Nombre del Gestor]]&gt;1,VENTAS[[#This Row],[Total]]*10%,0)</f>
        <v>0</v>
      </c>
      <c r="K1330" s="35">
        <f>IFERROR(VLOOKUP(VENTAS[[#This Row],[Código del producto Vendido]],STOCK[],16,FALSE)*VENTAS[[#This Row],[Cantidad]]+VLOOKUP(VENTAS[[#This Row],[Código del producto Vendido]],STOCK[],19,FALSE)*VENTAS[[#This Row],[Cantidad]],VENTAS[[#This Row],[Total]])</f>
        <v>12.4</v>
      </c>
      <c r="L1330" s="35">
        <f>VENTAS[[#This Row],[Total]]-VENTAS[[#This Row],[Comisión 10%]]-VENTAS[[#This Row],[Costo SIN Comision]]</f>
        <v>17.6</v>
      </c>
      <c r="M1330" s="35"/>
    </row>
    <row r="1331" ht="20" customHeight="1" spans="1:13">
      <c r="A1331" s="29">
        <v>45512</v>
      </c>
      <c r="B1331" s="30"/>
      <c r="C1331" s="30"/>
      <c r="D1331" s="30"/>
      <c r="E1331" s="30" t="s">
        <v>1656</v>
      </c>
      <c r="F1331" s="34" t="str">
        <f>IFERROR(VLOOKUP(VENTAS[[#This Row],[Código del producto Vendido]],STOCK[],5,FALSE),"-")</f>
        <v>Suéter cuello de Cisne</v>
      </c>
      <c r="G1331" s="34">
        <v>1</v>
      </c>
      <c r="H1331" s="35">
        <v>18</v>
      </c>
      <c r="I1331" s="35">
        <f>VENTAS[[#This Row],[Cantidad]]*VENTAS[[#This Row],[Precio Venta]]</f>
        <v>18</v>
      </c>
      <c r="J1331" s="35">
        <f>IF(VENTAS[[#This Row],[Nombre del Gestor]]&gt;1,VENTAS[[#This Row],[Total]]*10%,0)</f>
        <v>0</v>
      </c>
      <c r="K1331" s="35">
        <f>IFERROR(VLOOKUP(VENTAS[[#This Row],[Código del producto Vendido]],STOCK[],16,FALSE)*VENTAS[[#This Row],[Cantidad]]+VLOOKUP(VENTAS[[#This Row],[Código del producto Vendido]],STOCK[],19,FALSE)*VENTAS[[#This Row],[Cantidad]],VENTAS[[#This Row],[Total]])</f>
        <v>5.78</v>
      </c>
      <c r="L1331" s="35">
        <f>VENTAS[[#This Row],[Total]]-VENTAS[[#This Row],[Comisión 10%]]-VENTAS[[#This Row],[Costo SIN Comision]]</f>
        <v>12.22</v>
      </c>
      <c r="M1331" s="35"/>
    </row>
    <row r="1332" ht="20" customHeight="1" spans="1:13">
      <c r="A1332" s="29">
        <v>45512</v>
      </c>
      <c r="B1332" s="30"/>
      <c r="C1332" s="30" t="s">
        <v>3636</v>
      </c>
      <c r="D1332" s="30" t="s">
        <v>3448</v>
      </c>
      <c r="E1332" s="30" t="s">
        <v>2438</v>
      </c>
      <c r="F1332" s="34" t="str">
        <f>IFERROR(VLOOKUP(VENTAS[[#This Row],[Código del producto Vendido]],STOCK[],5,FALSE),"-")</f>
        <v>Pantalón de vestir de viscosa y lino negro</v>
      </c>
      <c r="G1332" s="34">
        <v>1</v>
      </c>
      <c r="H1332" s="35">
        <v>35</v>
      </c>
      <c r="I1332" s="35">
        <f>VENTAS[[#This Row],[Cantidad]]*VENTAS[[#This Row],[Precio Venta]]</f>
        <v>35</v>
      </c>
      <c r="J1332" s="35">
        <f>IF(VENTAS[[#This Row],[Nombre del Gestor]]&gt;1,VENTAS[[#This Row],[Total]]*10%,0)</f>
        <v>3.5</v>
      </c>
      <c r="K1332" s="35">
        <f>IFERROR(VLOOKUP(VENTAS[[#This Row],[Código del producto Vendido]],STOCK[],16,FALSE)*VENTAS[[#This Row],[Cantidad]]+VLOOKUP(VENTAS[[#This Row],[Código del producto Vendido]],STOCK[],19,FALSE)*VENTAS[[#This Row],[Cantidad]],VENTAS[[#This Row],[Total]])</f>
        <v>15.2820211515864</v>
      </c>
      <c r="L1332" s="35">
        <f>VENTAS[[#This Row],[Total]]-VENTAS[[#This Row],[Comisión 10%]]-VENTAS[[#This Row],[Costo SIN Comision]]</f>
        <v>16.2179788484136</v>
      </c>
      <c r="M1332" s="35"/>
    </row>
    <row r="1333" ht="20" customHeight="1" spans="1:13">
      <c r="A1333" s="29">
        <v>45512</v>
      </c>
      <c r="B1333" s="30"/>
      <c r="C1333" s="30" t="s">
        <v>3634</v>
      </c>
      <c r="D1333" s="30"/>
      <c r="E1333" s="30" t="s">
        <v>2649</v>
      </c>
      <c r="F1333" s="34" t="str">
        <f>IFERROR(VLOOKUP(VENTAS[[#This Row],[Código del producto Vendido]],STOCK[],5,FALSE),"-")</f>
        <v>Cinto de piel (encargo mónica)</v>
      </c>
      <c r="G1333" s="34">
        <v>1</v>
      </c>
      <c r="H1333" s="35">
        <v>19</v>
      </c>
      <c r="I1333" s="35">
        <f>VENTAS[[#This Row],[Cantidad]]*VENTAS[[#This Row],[Precio Venta]]</f>
        <v>19</v>
      </c>
      <c r="J1333" s="35">
        <f>IF(VENTAS[[#This Row],[Nombre del Gestor]]&gt;1,VENTAS[[#This Row],[Total]]*10%,0)</f>
        <v>0</v>
      </c>
      <c r="K1333" s="35">
        <f>IFERROR(VLOOKUP(VENTAS[[#This Row],[Código del producto Vendido]],STOCK[],16,FALSE)*VENTAS[[#This Row],[Cantidad]]+VLOOKUP(VENTAS[[#This Row],[Código del producto Vendido]],STOCK[],19,FALSE)*VENTAS[[#This Row],[Cantidad]],VENTAS[[#This Row],[Total]])</f>
        <v>14.96</v>
      </c>
      <c r="L1333" s="35">
        <f>VENTAS[[#This Row],[Total]]-VENTAS[[#This Row],[Comisión 10%]]-VENTAS[[#This Row],[Costo SIN Comision]]</f>
        <v>4.04</v>
      </c>
      <c r="M1333" s="35"/>
    </row>
    <row r="1334" ht="20" customHeight="1" spans="1:13">
      <c r="A1334" s="29">
        <v>45512</v>
      </c>
      <c r="B1334" s="30"/>
      <c r="C1334" s="30"/>
      <c r="D1334" s="30" t="s">
        <v>3478</v>
      </c>
      <c r="E1334" s="30" t="s">
        <v>2558</v>
      </c>
      <c r="F1334" s="34" t="str">
        <f>IFERROR(VLOOKUP(VENTAS[[#This Row],[Código del producto Vendido]],STOCK[],5,FALSE),"-")</f>
        <v>Sombrero Visera de Verano</v>
      </c>
      <c r="G1334" s="34">
        <v>1</v>
      </c>
      <c r="H1334" s="35">
        <v>15</v>
      </c>
      <c r="I1334" s="35">
        <f>VENTAS[[#This Row],[Cantidad]]*VENTAS[[#This Row],[Precio Venta]]</f>
        <v>15</v>
      </c>
      <c r="J1334" s="35">
        <f>IF(VENTAS[[#This Row],[Nombre del Gestor]]&gt;1,VENTAS[[#This Row],[Total]]*10%,0)</f>
        <v>1.5</v>
      </c>
      <c r="K1334" s="35">
        <f>IFERROR(VLOOKUP(VENTAS[[#This Row],[Código del producto Vendido]],STOCK[],16,FALSE)*VENTAS[[#This Row],[Cantidad]]+VLOOKUP(VENTAS[[#This Row],[Código del producto Vendido]],STOCK[],19,FALSE)*VENTAS[[#This Row],[Cantidad]],VENTAS[[#This Row],[Total]])</f>
        <v>6.36</v>
      </c>
      <c r="L1334" s="35">
        <f>VENTAS[[#This Row],[Total]]-VENTAS[[#This Row],[Comisión 10%]]-VENTAS[[#This Row],[Costo SIN Comision]]</f>
        <v>7.14</v>
      </c>
      <c r="M1334" s="35"/>
    </row>
    <row r="1335" ht="20" customHeight="1" spans="1:13">
      <c r="A1335" s="29">
        <v>45512</v>
      </c>
      <c r="B1335" s="30"/>
      <c r="C1335" s="30"/>
      <c r="D1335" s="30"/>
      <c r="E1335" s="30" t="s">
        <v>2522</v>
      </c>
      <c r="F1335" s="34" t="str">
        <f>IFERROR(VLOOKUP(VENTAS[[#This Row],[Código del producto Vendido]],STOCK[],5,FALSE),"-")</f>
        <v>Cinturón fino de hebilla de estilo elegante carmelita</v>
      </c>
      <c r="G1335" s="34">
        <v>1</v>
      </c>
      <c r="H1335" s="35">
        <v>12</v>
      </c>
      <c r="I1335" s="35">
        <f>VENTAS[[#This Row],[Cantidad]]*VENTAS[[#This Row],[Precio Venta]]</f>
        <v>12</v>
      </c>
      <c r="J1335" s="35">
        <f>IF(VENTAS[[#This Row],[Nombre del Gestor]]&gt;1,VENTAS[[#This Row],[Total]]*10%,0)</f>
        <v>0</v>
      </c>
      <c r="K1335" s="35">
        <f>IFERROR(VLOOKUP(VENTAS[[#This Row],[Código del producto Vendido]],STOCK[],16,FALSE)*VENTAS[[#This Row],[Cantidad]]+VLOOKUP(VENTAS[[#This Row],[Código del producto Vendido]],STOCK[],19,FALSE)*VENTAS[[#This Row],[Cantidad]],VENTAS[[#This Row],[Total]])</f>
        <v>5.13</v>
      </c>
      <c r="L1335" s="35">
        <f>VENTAS[[#This Row],[Total]]-VENTAS[[#This Row],[Comisión 10%]]-VENTAS[[#This Row],[Costo SIN Comision]]</f>
        <v>6.87</v>
      </c>
      <c r="M1335" s="35"/>
    </row>
    <row r="1336" ht="20" customHeight="1" spans="1:13">
      <c r="A1336" s="29">
        <v>45512</v>
      </c>
      <c r="B1336" s="30"/>
      <c r="C1336" s="30"/>
      <c r="D1336" s="30"/>
      <c r="E1336" s="30" t="s">
        <v>2206</v>
      </c>
      <c r="F1336" s="34" t="str">
        <f>IFERROR(VLOOKUP(VENTAS[[#This Row],[Código del producto Vendido]],STOCK[],5,FALSE),"-")</f>
        <v>Bolso TOTE arcoíris trending </v>
      </c>
      <c r="G1336" s="34">
        <v>1</v>
      </c>
      <c r="H1336" s="35">
        <v>12</v>
      </c>
      <c r="I1336" s="35">
        <f>VENTAS[[#This Row],[Cantidad]]*VENTAS[[#This Row],[Precio Venta]]</f>
        <v>12</v>
      </c>
      <c r="J1336" s="35">
        <f>IF(VENTAS[[#This Row],[Nombre del Gestor]]&gt;1,VENTAS[[#This Row],[Total]]*10%,0)</f>
        <v>0</v>
      </c>
      <c r="K1336" s="35">
        <f>IFERROR(VLOOKUP(VENTAS[[#This Row],[Código del producto Vendido]],STOCK[],16,FALSE)*VENTAS[[#This Row],[Cantidad]]+VLOOKUP(VENTAS[[#This Row],[Código del producto Vendido]],STOCK[],19,FALSE)*VENTAS[[#This Row],[Cantidad]],VENTAS[[#This Row],[Total]])</f>
        <v>5.84</v>
      </c>
      <c r="L1336" s="35">
        <f>VENTAS[[#This Row],[Total]]-VENTAS[[#This Row],[Comisión 10%]]-VENTAS[[#This Row],[Costo SIN Comision]]</f>
        <v>6.16</v>
      </c>
      <c r="M1336" s="35"/>
    </row>
    <row r="1337" ht="20" customHeight="1" spans="1:13">
      <c r="A1337" s="29">
        <v>45512</v>
      </c>
      <c r="B1337" s="30"/>
      <c r="C1337" s="30"/>
      <c r="D1337" s="30" t="s">
        <v>3478</v>
      </c>
      <c r="E1337" s="30" t="s">
        <v>1825</v>
      </c>
      <c r="F1337" s="34" t="str">
        <f>IFERROR(VLOOKUP(VENTAS[[#This Row],[Código del producto Vendido]],STOCK[],5,FALSE),"-")</f>
        <v>Bolso Crossbody en detalle de cocodrilo</v>
      </c>
      <c r="G1337" s="34">
        <v>1</v>
      </c>
      <c r="H1337" s="35">
        <v>25</v>
      </c>
      <c r="I1337" s="35">
        <f>VENTAS[[#This Row],[Cantidad]]*VENTAS[[#This Row],[Precio Venta]]</f>
        <v>25</v>
      </c>
      <c r="J1337" s="35">
        <f>IF(VENTAS[[#This Row],[Nombre del Gestor]]&gt;1,VENTAS[[#This Row],[Total]]*10%,0)</f>
        <v>2.5</v>
      </c>
      <c r="K1337" s="35">
        <f>IFERROR(VLOOKUP(VENTAS[[#This Row],[Código del producto Vendido]],STOCK[],16,FALSE)*VENTAS[[#This Row],[Cantidad]]+VLOOKUP(VENTAS[[#This Row],[Código del producto Vendido]],STOCK[],19,FALSE)*VENTAS[[#This Row],[Cantidad]],VENTAS[[#This Row],[Total]])</f>
        <v>11.79</v>
      </c>
      <c r="L1337" s="35">
        <f>VENTAS[[#This Row],[Total]]-VENTAS[[#This Row],[Comisión 10%]]-VENTAS[[#This Row],[Costo SIN Comision]]</f>
        <v>10.71</v>
      </c>
      <c r="M1337" s="35"/>
    </row>
    <row r="1338" ht="20" customHeight="1" spans="1:13">
      <c r="A1338" s="29">
        <v>45512</v>
      </c>
      <c r="B1338" s="30"/>
      <c r="C1338" s="30"/>
      <c r="D1338" s="30" t="s">
        <v>3503</v>
      </c>
      <c r="E1338" s="30" t="s">
        <v>492</v>
      </c>
      <c r="F1338" s="34" t="str">
        <f>IFERROR(VLOOKUP(VENTAS[[#This Row],[Código del producto Vendido]],STOCK[],5,FALSE),"-")</f>
        <v>Bañador de talle alto con vuelos</v>
      </c>
      <c r="G1338" s="34">
        <v>1</v>
      </c>
      <c r="H1338" s="35">
        <v>25</v>
      </c>
      <c r="I1338" s="35">
        <f>VENTAS[[#This Row],[Cantidad]]*VENTAS[[#This Row],[Precio Venta]]</f>
        <v>25</v>
      </c>
      <c r="J1338" s="35">
        <f>IF(VENTAS[[#This Row],[Nombre del Gestor]]&gt;1,VENTAS[[#This Row],[Total]]*10%,0)</f>
        <v>2.5</v>
      </c>
      <c r="K1338" s="35">
        <f>IFERROR(VLOOKUP(VENTAS[[#This Row],[Código del producto Vendido]],STOCK[],16,FALSE)*VENTAS[[#This Row],[Cantidad]]+VLOOKUP(VENTAS[[#This Row],[Código del producto Vendido]],STOCK[],19,FALSE)*VENTAS[[#This Row],[Cantidad]],VENTAS[[#This Row],[Total]])</f>
        <v>12.4805555555556</v>
      </c>
      <c r="L1338" s="35">
        <f>VENTAS[[#This Row],[Total]]-VENTAS[[#This Row],[Comisión 10%]]-VENTAS[[#This Row],[Costo SIN Comision]]</f>
        <v>10.0194444444444</v>
      </c>
      <c r="M1338" s="35"/>
    </row>
    <row r="1339" ht="20" customHeight="1" spans="1:13">
      <c r="A1339" s="29">
        <v>45512</v>
      </c>
      <c r="B1339" s="30"/>
      <c r="C1339" s="30"/>
      <c r="D1339" s="30"/>
      <c r="E1339" s="30" t="s">
        <v>2180</v>
      </c>
      <c r="F1339" s="34" t="str">
        <f>IFERROR(VLOOKUP(VENTAS[[#This Row],[Código del producto Vendido]],STOCK[],5,FALSE),"-")</f>
        <v>Bikini sexy de pierna alta en tendencia</v>
      </c>
      <c r="G1339" s="34">
        <v>1</v>
      </c>
      <c r="H1339" s="35">
        <v>20</v>
      </c>
      <c r="I1339" s="35">
        <f>VENTAS[[#This Row],[Cantidad]]*VENTAS[[#This Row],[Precio Venta]]</f>
        <v>20</v>
      </c>
      <c r="J1339" s="35">
        <f>IF(VENTAS[[#This Row],[Nombre del Gestor]]&gt;1,VENTAS[[#This Row],[Total]]*10%,0)</f>
        <v>0</v>
      </c>
      <c r="K1339" s="35">
        <f>IFERROR(VLOOKUP(VENTAS[[#This Row],[Código del producto Vendido]],STOCK[],16,FALSE)*VENTAS[[#This Row],[Cantidad]]+VLOOKUP(VENTAS[[#This Row],[Código del producto Vendido]],STOCK[],19,FALSE)*VENTAS[[#This Row],[Cantidad]],VENTAS[[#This Row],[Total]])</f>
        <v>6.62</v>
      </c>
      <c r="L1339" s="35">
        <f>VENTAS[[#This Row],[Total]]-VENTAS[[#This Row],[Comisión 10%]]-VENTAS[[#This Row],[Costo SIN Comision]]</f>
        <v>13.38</v>
      </c>
      <c r="M1339" s="35"/>
    </row>
    <row r="1340" ht="20" customHeight="1" spans="1:13">
      <c r="A1340" s="29">
        <v>45513</v>
      </c>
      <c r="B1340" s="30"/>
      <c r="C1340" s="30"/>
      <c r="D1340" s="30"/>
      <c r="E1340" s="30" t="s">
        <v>2245</v>
      </c>
      <c r="F1340" s="34" t="str">
        <f>IFERROR(VLOOKUP(VENTAS[[#This Row],[Código del producto Vendido]],STOCK[],5,FALSE),"-")</f>
        <v>Bikini curvy en bloque de color</v>
      </c>
      <c r="G1340" s="34">
        <v>1</v>
      </c>
      <c r="H1340" s="35">
        <v>0</v>
      </c>
      <c r="I1340" s="35">
        <f>VENTAS[[#This Row],[Cantidad]]*VENTAS[[#This Row],[Precio Venta]]</f>
        <v>0</v>
      </c>
      <c r="J1340" s="35">
        <f>IF(VENTAS[[#This Row],[Nombre del Gestor]]&gt;1,VENTAS[[#This Row],[Total]]*10%,0)</f>
        <v>0</v>
      </c>
      <c r="K1340" s="35">
        <f>IFERROR(VLOOKUP(VENTAS[[#This Row],[Código del producto Vendido]],STOCK[],16,FALSE)*VENTAS[[#This Row],[Cantidad]]+VLOOKUP(VENTAS[[#This Row],[Código del producto Vendido]],STOCK[],19,FALSE)*VENTAS[[#This Row],[Cantidad]],VENTAS[[#This Row],[Total]])</f>
        <v>5.99</v>
      </c>
      <c r="L1340" s="35">
        <f>VENTAS[[#This Row],[Total]]-VENTAS[[#This Row],[Comisión 10%]]-VENTAS[[#This Row],[Costo SIN Comision]]</f>
        <v>-5.99</v>
      </c>
      <c r="M1340" s="35"/>
    </row>
    <row r="1341" ht="20" customHeight="1" spans="1:13">
      <c r="A1341" s="29">
        <v>45514</v>
      </c>
      <c r="B1341" s="30"/>
      <c r="C1341" s="30"/>
      <c r="D1341" s="30"/>
      <c r="E1341" s="30" t="s">
        <v>2689</v>
      </c>
      <c r="F1341" s="34" t="str">
        <f>IFERROR(VLOOKUP(VENTAS[[#This Row],[Código del producto Vendido]],STOCK[],5,FALSE),"-")</f>
        <v>Traje de baño clásico en bloque de color de talle alto (encargo)</v>
      </c>
      <c r="G1341" s="34">
        <v>1</v>
      </c>
      <c r="H1341" s="35">
        <v>25</v>
      </c>
      <c r="I1341" s="35">
        <f>VENTAS[[#This Row],[Cantidad]]*VENTAS[[#This Row],[Precio Venta]]</f>
        <v>25</v>
      </c>
      <c r="J1341" s="35">
        <f>IF(VENTAS[[#This Row],[Nombre del Gestor]]&gt;1,VENTAS[[#This Row],[Total]]*10%,0)</f>
        <v>0</v>
      </c>
      <c r="K1341" s="35">
        <f>IFERROR(VLOOKUP(VENTAS[[#This Row],[Código del producto Vendido]],STOCK[],16,FALSE)*VENTAS[[#This Row],[Cantidad]]+VLOOKUP(VENTAS[[#This Row],[Código del producto Vendido]],STOCK[],19,FALSE)*VENTAS[[#This Row],[Cantidad]],VENTAS[[#This Row],[Total]])</f>
        <v>12.28</v>
      </c>
      <c r="L1341" s="35">
        <f>VENTAS[[#This Row],[Total]]-VENTAS[[#This Row],[Comisión 10%]]-VENTAS[[#This Row],[Costo SIN Comision]]</f>
        <v>12.72</v>
      </c>
      <c r="M1341" s="35"/>
    </row>
    <row r="1342" ht="20" customHeight="1" spans="1:13">
      <c r="A1342" s="29">
        <v>45515</v>
      </c>
      <c r="B1342" s="30"/>
      <c r="C1342" s="30"/>
      <c r="D1342" s="30"/>
      <c r="E1342" s="30" t="s">
        <v>729</v>
      </c>
      <c r="F1342" s="34" t="str">
        <f>IFERROR(VLOOKUP(VENTAS[[#This Row],[Código del producto Vendido]],STOCK[],5,FALSE),"-")</f>
        <v>Vestido de un hombro</v>
      </c>
      <c r="G1342" s="34">
        <v>1</v>
      </c>
      <c r="H1342" s="35">
        <v>13</v>
      </c>
      <c r="I1342" s="35">
        <f>VENTAS[[#This Row],[Cantidad]]*VENTAS[[#This Row],[Precio Venta]]</f>
        <v>13</v>
      </c>
      <c r="J1342" s="35">
        <f>IF(VENTAS[[#This Row],[Nombre del Gestor]]&gt;1,VENTAS[[#This Row],[Total]]*10%,0)</f>
        <v>0</v>
      </c>
      <c r="K1342" s="35">
        <f>IFERROR(VLOOKUP(VENTAS[[#This Row],[Código del producto Vendido]],STOCK[],16,FALSE)*VENTAS[[#This Row],[Cantidad]]+VLOOKUP(VENTAS[[#This Row],[Código del producto Vendido]],STOCK[],19,FALSE)*VENTAS[[#This Row],[Cantidad]],VENTAS[[#This Row],[Total]])</f>
        <v>11.9444444444444</v>
      </c>
      <c r="L1342" s="35">
        <f>VENTAS[[#This Row],[Total]]-VENTAS[[#This Row],[Comisión 10%]]-VENTAS[[#This Row],[Costo SIN Comision]]</f>
        <v>1.05555555555556</v>
      </c>
      <c r="M1342" s="35"/>
    </row>
    <row r="1343" ht="20" customHeight="1" spans="1:13">
      <c r="A1343" s="29">
        <v>45516</v>
      </c>
      <c r="B1343" s="30"/>
      <c r="C1343" s="30"/>
      <c r="D1343" s="30"/>
      <c r="E1343" s="30" t="s">
        <v>2585</v>
      </c>
      <c r="F1343" s="34" t="str">
        <f>IFERROR(VLOOKUP(VENTAS[[#This Row],[Código del producto Vendido]],STOCK[],5,FALSE),"-")</f>
        <v>Vestido blanco espalda cruzada</v>
      </c>
      <c r="G1343" s="34">
        <v>1</v>
      </c>
      <c r="H1343" s="35">
        <v>30</v>
      </c>
      <c r="I1343" s="35">
        <f>VENTAS[[#This Row],[Cantidad]]*VENTAS[[#This Row],[Precio Venta]]</f>
        <v>30</v>
      </c>
      <c r="J1343" s="35">
        <f>IF(VENTAS[[#This Row],[Nombre del Gestor]]&gt;1,VENTAS[[#This Row],[Total]]*10%,0)</f>
        <v>0</v>
      </c>
      <c r="K1343" s="35">
        <f>IFERROR(VLOOKUP(VENTAS[[#This Row],[Código del producto Vendido]],STOCK[],16,FALSE)*VENTAS[[#This Row],[Cantidad]]+VLOOKUP(VENTAS[[#This Row],[Código del producto Vendido]],STOCK[],19,FALSE)*VENTAS[[#This Row],[Cantidad]],VENTAS[[#This Row],[Total]])</f>
        <v>15.44</v>
      </c>
      <c r="L1343" s="35">
        <f>VENTAS[[#This Row],[Total]]-VENTAS[[#This Row],[Comisión 10%]]-VENTAS[[#This Row],[Costo SIN Comision]]</f>
        <v>14.56</v>
      </c>
      <c r="M1343" s="35"/>
    </row>
    <row r="1344" ht="20" customHeight="1" spans="1:13">
      <c r="A1344" s="29">
        <v>45515</v>
      </c>
      <c r="B1344" s="30"/>
      <c r="C1344" s="30"/>
      <c r="D1344" s="30" t="s">
        <v>3478</v>
      </c>
      <c r="E1344" s="30" t="s">
        <v>2429</v>
      </c>
      <c r="F1344" s="34" t="str">
        <f>IFERROR(VLOOKUP(VENTAS[[#This Row],[Código del producto Vendido]],STOCK[],5,FALSE),"-")</f>
        <v>Pantalón ancho con cordón ajustable</v>
      </c>
      <c r="G1344" s="34">
        <v>1</v>
      </c>
      <c r="H1344" s="35">
        <v>23</v>
      </c>
      <c r="I1344" s="35">
        <f>VENTAS[[#This Row],[Cantidad]]*VENTAS[[#This Row],[Precio Venta]]</f>
        <v>23</v>
      </c>
      <c r="J1344" s="35">
        <f>IF(VENTAS[[#This Row],[Nombre del Gestor]]&gt;1,VENTAS[[#This Row],[Total]]*10%,0)</f>
        <v>2.3</v>
      </c>
      <c r="K1344" s="35">
        <f>IFERROR(VLOOKUP(VENTAS[[#This Row],[Código del producto Vendido]],STOCK[],16,FALSE)*VENTAS[[#This Row],[Cantidad]]+VLOOKUP(VENTAS[[#This Row],[Código del producto Vendido]],STOCK[],19,FALSE)*VENTAS[[#This Row],[Cantidad]],VENTAS[[#This Row],[Total]])</f>
        <v>11.4353349001175</v>
      </c>
      <c r="L1344" s="35">
        <f>VENTAS[[#This Row],[Total]]-VENTAS[[#This Row],[Comisión 10%]]-VENTAS[[#This Row],[Costo SIN Comision]]</f>
        <v>9.26466509988249</v>
      </c>
      <c r="M1344" s="35"/>
    </row>
    <row r="1345" ht="20" customHeight="1" spans="1:13">
      <c r="A1345" s="29">
        <v>45515</v>
      </c>
      <c r="B1345" s="30"/>
      <c r="C1345" s="30"/>
      <c r="D1345" s="30" t="s">
        <v>3478</v>
      </c>
      <c r="E1345" s="30" t="s">
        <v>2713</v>
      </c>
      <c r="F1345" s="34" t="str">
        <f>IFERROR(VLOOKUP(VENTAS[[#This Row],[Código del producto Vendido]],STOCK[],5,FALSE),"-")</f>
        <v>Sneakers chunky blancos</v>
      </c>
      <c r="G1345" s="34">
        <v>2</v>
      </c>
      <c r="H1345" s="35">
        <v>45</v>
      </c>
      <c r="I1345" s="35">
        <f>VENTAS[[#This Row],[Cantidad]]*VENTAS[[#This Row],[Precio Venta]]</f>
        <v>90</v>
      </c>
      <c r="J1345" s="35">
        <f>IF(VENTAS[[#This Row],[Nombre del Gestor]]&gt;1,VENTAS[[#This Row],[Total]]*10%,0)</f>
        <v>9</v>
      </c>
      <c r="K1345" s="35">
        <f>IFERROR(VLOOKUP(VENTAS[[#This Row],[Código del producto Vendido]],STOCK[],16,FALSE)*VENTAS[[#This Row],[Cantidad]]+VLOOKUP(VENTAS[[#This Row],[Código del producto Vendido]],STOCK[],19,FALSE)*VENTAS[[#This Row],[Cantidad]],VENTAS[[#This Row],[Total]])</f>
        <v>48.94</v>
      </c>
      <c r="L1345" s="35">
        <f>VENTAS[[#This Row],[Total]]-VENTAS[[#This Row],[Comisión 10%]]-VENTAS[[#This Row],[Costo SIN Comision]]</f>
        <v>32.06</v>
      </c>
      <c r="M1345" s="35"/>
    </row>
    <row r="1346" ht="20" customHeight="1" spans="1:13">
      <c r="A1346" s="29">
        <v>45512</v>
      </c>
      <c r="B1346" s="30"/>
      <c r="C1346" s="30"/>
      <c r="D1346" s="30" t="s">
        <v>3478</v>
      </c>
      <c r="E1346" s="30" t="s">
        <v>1011</v>
      </c>
      <c r="F1346" s="34" t="str">
        <f>IFERROR(VLOOKUP(VENTAS[[#This Row],[Código del producto Vendido]],STOCK[],5,FALSE),"-")</f>
        <v>Maxi Vestido con Bolsillo</v>
      </c>
      <c r="G1346" s="34">
        <v>1</v>
      </c>
      <c r="H1346" s="35">
        <v>27</v>
      </c>
      <c r="I1346" s="35">
        <f>VENTAS[[#This Row],[Cantidad]]*VENTAS[[#This Row],[Precio Venta]]</f>
        <v>27</v>
      </c>
      <c r="J1346" s="35">
        <f>IF(VENTAS[[#This Row],[Nombre del Gestor]]&gt;1,VENTAS[[#This Row],[Total]]*10%,0)</f>
        <v>2.7</v>
      </c>
      <c r="K1346" s="35">
        <f>IFERROR(VLOOKUP(VENTAS[[#This Row],[Código del producto Vendido]],STOCK[],16,FALSE)*VENTAS[[#This Row],[Cantidad]]+VLOOKUP(VENTAS[[#This Row],[Código del producto Vendido]],STOCK[],19,FALSE)*VENTAS[[#This Row],[Cantidad]],VENTAS[[#This Row],[Total]])</f>
        <v>22.1920454545455</v>
      </c>
      <c r="L1346" s="35">
        <f>VENTAS[[#This Row],[Total]]-VENTAS[[#This Row],[Comisión 10%]]-VENTAS[[#This Row],[Costo SIN Comision]]</f>
        <v>2.1079545454545</v>
      </c>
      <c r="M1346" s="35"/>
    </row>
    <row r="1347" ht="20" customHeight="1" spans="1:13">
      <c r="A1347" s="29">
        <v>45512</v>
      </c>
      <c r="B1347" s="30"/>
      <c r="C1347" s="30"/>
      <c r="D1347" s="30" t="s">
        <v>3478</v>
      </c>
      <c r="E1347" s="30" t="s">
        <v>1051</v>
      </c>
      <c r="F1347" s="34" t="str">
        <f>IFERROR(VLOOKUP(VENTAS[[#This Row],[Código del producto Vendido]],STOCK[],5,FALSE),"-")</f>
        <v>Vestido en punto Rosa</v>
      </c>
      <c r="G1347" s="34">
        <v>1</v>
      </c>
      <c r="H1347" s="35">
        <v>25</v>
      </c>
      <c r="I1347" s="35">
        <f>VENTAS[[#This Row],[Cantidad]]*VENTAS[[#This Row],[Precio Venta]]</f>
        <v>25</v>
      </c>
      <c r="J1347" s="35">
        <f>IF(VENTAS[[#This Row],[Nombre del Gestor]]&gt;1,VENTAS[[#This Row],[Total]]*10%,0)</f>
        <v>2.5</v>
      </c>
      <c r="K1347" s="35">
        <f>IFERROR(VLOOKUP(VENTAS[[#This Row],[Código del producto Vendido]],STOCK[],16,FALSE)*VENTAS[[#This Row],[Cantidad]]+VLOOKUP(VENTAS[[#This Row],[Código del producto Vendido]],STOCK[],19,FALSE)*VENTAS[[#This Row],[Cantidad]],VENTAS[[#This Row],[Total]])</f>
        <v>21.4704545454545</v>
      </c>
      <c r="L1347" s="35">
        <f>VENTAS[[#This Row],[Total]]-VENTAS[[#This Row],[Comisión 10%]]-VENTAS[[#This Row],[Costo SIN Comision]]</f>
        <v>1.0295454545455</v>
      </c>
      <c r="M1347" s="35"/>
    </row>
    <row r="1348" ht="20" customHeight="1" spans="1:13">
      <c r="A1348" s="29">
        <v>45512</v>
      </c>
      <c r="B1348" s="30"/>
      <c r="C1348" s="30" t="s">
        <v>3637</v>
      </c>
      <c r="D1348" s="30" t="s">
        <v>3478</v>
      </c>
      <c r="E1348" s="30" t="s">
        <v>2602</v>
      </c>
      <c r="F1348" s="34" t="str">
        <f>IFERROR(VLOOKUP(VENTAS[[#This Row],[Código del producto Vendido]],STOCK[],5,FALSE),"-")</f>
        <v>Vestido crema ajustado de hombro torcido</v>
      </c>
      <c r="G1348" s="34">
        <v>1</v>
      </c>
      <c r="H1348" s="35">
        <v>25</v>
      </c>
      <c r="I1348" s="35">
        <f>VENTAS[[#This Row],[Cantidad]]*VENTAS[[#This Row],[Precio Venta]]</f>
        <v>25</v>
      </c>
      <c r="J1348" s="35">
        <f>IF(VENTAS[[#This Row],[Nombre del Gestor]]&gt;1,VENTAS[[#This Row],[Total]]*10%,0)</f>
        <v>2.5</v>
      </c>
      <c r="K1348" s="35">
        <f>IFERROR(VLOOKUP(VENTAS[[#This Row],[Código del producto Vendido]],STOCK[],16,FALSE)*VENTAS[[#This Row],[Cantidad]]+VLOOKUP(VENTAS[[#This Row],[Código del producto Vendido]],STOCK[],19,FALSE)*VENTAS[[#This Row],[Cantidad]],VENTAS[[#This Row],[Total]])</f>
        <v>13.44</v>
      </c>
      <c r="L1348" s="35">
        <f>VENTAS[[#This Row],[Total]]-VENTAS[[#This Row],[Comisión 10%]]-VENTAS[[#This Row],[Costo SIN Comision]]</f>
        <v>9.06</v>
      </c>
      <c r="M1348" s="35"/>
    </row>
    <row r="1349" ht="20" customHeight="1" spans="1:13">
      <c r="A1349" s="29">
        <v>45508</v>
      </c>
      <c r="B1349" s="30"/>
      <c r="C1349" s="30" t="s">
        <v>3548</v>
      </c>
      <c r="D1349" s="30" t="s">
        <v>3478</v>
      </c>
      <c r="E1349" s="30" t="s">
        <v>2574</v>
      </c>
      <c r="F1349" s="34" t="str">
        <f>IFERROR(VLOOKUP(VENTAS[[#This Row],[Código del producto Vendido]],STOCK[],5,FALSE),"-")</f>
        <v>Vestido Largo con cinturón fruncido</v>
      </c>
      <c r="G1349" s="34">
        <v>1</v>
      </c>
      <c r="H1349" s="35">
        <v>30</v>
      </c>
      <c r="I1349" s="35">
        <f>VENTAS[[#This Row],[Cantidad]]*VENTAS[[#This Row],[Precio Venta]]</f>
        <v>30</v>
      </c>
      <c r="J1349" s="35">
        <f>IF(VENTAS[[#This Row],[Nombre del Gestor]]&gt;1,VENTAS[[#This Row],[Total]]*10%,0)</f>
        <v>3</v>
      </c>
      <c r="K1349" s="35">
        <f>IFERROR(VLOOKUP(VENTAS[[#This Row],[Código del producto Vendido]],STOCK[],16,FALSE)*VENTAS[[#This Row],[Cantidad]]+VLOOKUP(VENTAS[[#This Row],[Código del producto Vendido]],STOCK[],19,FALSE)*VENTAS[[#This Row],[Cantidad]],VENTAS[[#This Row],[Total]])</f>
        <v>13.66</v>
      </c>
      <c r="L1349" s="35">
        <f>VENTAS[[#This Row],[Total]]-VENTAS[[#This Row],[Comisión 10%]]-VENTAS[[#This Row],[Costo SIN Comision]]</f>
        <v>13.34</v>
      </c>
      <c r="M1349" s="35"/>
    </row>
    <row r="1350" ht="20" customHeight="1" spans="1:13">
      <c r="A1350" s="29">
        <v>45509</v>
      </c>
      <c r="B1350" s="30"/>
      <c r="C1350" s="30"/>
      <c r="D1350" s="30"/>
      <c r="E1350" s="30" t="s">
        <v>1560</v>
      </c>
      <c r="F1350" s="34" t="str">
        <f>IFERROR(VLOOKUP(VENTAS[[#This Row],[Código del producto Vendido]],STOCK[],5,FALSE),"-")</f>
        <v>Vestido negro ajustado estilo corset</v>
      </c>
      <c r="G1350" s="34">
        <v>1</v>
      </c>
      <c r="H1350" s="35">
        <v>20</v>
      </c>
      <c r="I1350" s="35">
        <f>VENTAS[[#This Row],[Cantidad]]*VENTAS[[#This Row],[Precio Venta]]</f>
        <v>20</v>
      </c>
      <c r="J1350" s="35">
        <f>IF(VENTAS[[#This Row],[Nombre del Gestor]]&gt;1,VENTAS[[#This Row],[Total]]*10%,0)</f>
        <v>0</v>
      </c>
      <c r="K1350" s="35">
        <f>IFERROR(VLOOKUP(VENTAS[[#This Row],[Código del producto Vendido]],STOCK[],16,FALSE)*VENTAS[[#This Row],[Cantidad]]+VLOOKUP(VENTAS[[#This Row],[Código del producto Vendido]],STOCK[],19,FALSE)*VENTAS[[#This Row],[Cantidad]],VENTAS[[#This Row],[Total]])</f>
        <v>24</v>
      </c>
      <c r="L1350" s="35">
        <f>VENTAS[[#This Row],[Total]]-VENTAS[[#This Row],[Comisión 10%]]-VENTAS[[#This Row],[Costo SIN Comision]]</f>
        <v>-4</v>
      </c>
      <c r="M1350" s="35"/>
    </row>
    <row r="1351" ht="20" customHeight="1" spans="1:13">
      <c r="A1351" s="29">
        <v>45510</v>
      </c>
      <c r="B1351" s="30"/>
      <c r="C1351" s="30" t="s">
        <v>3456</v>
      </c>
      <c r="D1351" s="30"/>
      <c r="E1351" s="30" t="s">
        <v>1839</v>
      </c>
      <c r="F1351" s="34" t="str">
        <f>IFERROR(VLOOKUP(VENTAS[[#This Row],[Código del producto Vendido]],STOCK[],5,FALSE),"-")</f>
        <v>Maxi Vestido Bodycon </v>
      </c>
      <c r="G1351" s="34">
        <v>1</v>
      </c>
      <c r="H1351" s="35">
        <v>20</v>
      </c>
      <c r="I1351" s="35">
        <f>VENTAS[[#This Row],[Cantidad]]*VENTAS[[#This Row],[Precio Venta]]</f>
        <v>20</v>
      </c>
      <c r="J1351" s="35">
        <f>IF(VENTAS[[#This Row],[Nombre del Gestor]]&gt;1,VENTAS[[#This Row],[Total]]*10%,0)</f>
        <v>0</v>
      </c>
      <c r="K1351" s="35">
        <f>IFERROR(VLOOKUP(VENTAS[[#This Row],[Código del producto Vendido]],STOCK[],16,FALSE)*VENTAS[[#This Row],[Cantidad]]+VLOOKUP(VENTAS[[#This Row],[Código del producto Vendido]],STOCK[],19,FALSE)*VENTAS[[#This Row],[Cantidad]],VENTAS[[#This Row],[Total]])</f>
        <v>11.79</v>
      </c>
      <c r="L1351" s="35">
        <f>VENTAS[[#This Row],[Total]]-VENTAS[[#This Row],[Comisión 10%]]-VENTAS[[#This Row],[Costo SIN Comision]]</f>
        <v>8.21</v>
      </c>
      <c r="M1351" s="35"/>
    </row>
    <row r="1352" ht="20" customHeight="1" spans="1:13">
      <c r="A1352" s="29">
        <v>45511</v>
      </c>
      <c r="B1352" s="30"/>
      <c r="C1352" s="30" t="s">
        <v>3446</v>
      </c>
      <c r="D1352" s="30"/>
      <c r="E1352" s="30" t="s">
        <v>1836</v>
      </c>
      <c r="F1352" s="34" t="str">
        <f>IFERROR(VLOOKUP(VENTAS[[#This Row],[Código del producto Vendido]],STOCK[],5,FALSE),"-")</f>
        <v>Maxi Vestido Bodycon </v>
      </c>
      <c r="G1352" s="34">
        <v>1</v>
      </c>
      <c r="H1352" s="35">
        <v>0</v>
      </c>
      <c r="I1352" s="35">
        <f>VENTAS[[#This Row],[Cantidad]]*VENTAS[[#This Row],[Precio Venta]]</f>
        <v>0</v>
      </c>
      <c r="J1352" s="35">
        <f>IF(VENTAS[[#This Row],[Nombre del Gestor]]&gt;1,VENTAS[[#This Row],[Total]]*10%,0)</f>
        <v>0</v>
      </c>
      <c r="K1352" s="35">
        <f>IFERROR(VLOOKUP(VENTAS[[#This Row],[Código del producto Vendido]],STOCK[],16,FALSE)*VENTAS[[#This Row],[Cantidad]]+VLOOKUP(VENTAS[[#This Row],[Código del producto Vendido]],STOCK[],19,FALSE)*VENTAS[[#This Row],[Cantidad]],VENTAS[[#This Row],[Total]])</f>
        <v>11.79</v>
      </c>
      <c r="L1352" s="35">
        <f>VENTAS[[#This Row],[Total]]-VENTAS[[#This Row],[Comisión 10%]]-VENTAS[[#This Row],[Costo SIN Comision]]</f>
        <v>-11.79</v>
      </c>
      <c r="M1352" s="35"/>
    </row>
    <row r="1353" ht="20" customHeight="1" spans="1:13">
      <c r="A1353" s="29">
        <v>45512</v>
      </c>
      <c r="B1353" s="30"/>
      <c r="C1353" s="30" t="s">
        <v>3446</v>
      </c>
      <c r="D1353" s="30"/>
      <c r="E1353" s="30" t="s">
        <v>1424</v>
      </c>
      <c r="F1353" s="34" t="str">
        <f>IFERROR(VLOOKUP(VENTAS[[#This Row],[Código del producto Vendido]],STOCK[],5,FALSE),"-")</f>
        <v>Vestido espalda escotada</v>
      </c>
      <c r="G1353" s="34">
        <v>1</v>
      </c>
      <c r="H1353" s="35">
        <v>28</v>
      </c>
      <c r="I1353" s="35">
        <f>VENTAS[[#This Row],[Cantidad]]*VENTAS[[#This Row],[Precio Venta]]</f>
        <v>28</v>
      </c>
      <c r="J1353" s="35">
        <f>IF(VENTAS[[#This Row],[Nombre del Gestor]]&gt;1,VENTAS[[#This Row],[Total]]*10%,0)</f>
        <v>0</v>
      </c>
      <c r="K1353" s="35">
        <f>IFERROR(VLOOKUP(VENTAS[[#This Row],[Código del producto Vendido]],STOCK[],16,FALSE)*VENTAS[[#This Row],[Cantidad]]+VLOOKUP(VENTAS[[#This Row],[Código del producto Vendido]],STOCK[],19,FALSE)*VENTAS[[#This Row],[Cantidad]],VENTAS[[#This Row],[Total]])</f>
        <v>17</v>
      </c>
      <c r="L1353" s="35">
        <f>VENTAS[[#This Row],[Total]]-VENTAS[[#This Row],[Comisión 10%]]-VENTAS[[#This Row],[Costo SIN Comision]]</f>
        <v>11</v>
      </c>
      <c r="M1353" s="35"/>
    </row>
    <row r="1354" ht="20" customHeight="1" spans="1:13">
      <c r="A1354" s="29">
        <v>45513</v>
      </c>
      <c r="B1354" s="30"/>
      <c r="C1354" s="30" t="s">
        <v>3446</v>
      </c>
      <c r="D1354" s="30"/>
      <c r="E1354" s="30" t="s">
        <v>1409</v>
      </c>
      <c r="F1354" s="34" t="str">
        <f>IFERROR(VLOOKUP(VENTAS[[#This Row],[Código del producto Vendido]],STOCK[],5,FALSE),"-")</f>
        <v>Pantaloneta con abertura</v>
      </c>
      <c r="G1354" s="34">
        <v>1</v>
      </c>
      <c r="H1354" s="35">
        <v>23</v>
      </c>
      <c r="I1354" s="35">
        <f>VENTAS[[#This Row],[Cantidad]]*VENTAS[[#This Row],[Precio Venta]]</f>
        <v>23</v>
      </c>
      <c r="J1354" s="35">
        <f>IF(VENTAS[[#This Row],[Nombre del Gestor]]&gt;1,VENTAS[[#This Row],[Total]]*10%,0)</f>
        <v>0</v>
      </c>
      <c r="K1354" s="35">
        <f>IFERROR(VLOOKUP(VENTAS[[#This Row],[Código del producto Vendido]],STOCK[],16,FALSE)*VENTAS[[#This Row],[Cantidad]]+VLOOKUP(VENTAS[[#This Row],[Código del producto Vendido]],STOCK[],19,FALSE)*VENTAS[[#This Row],[Cantidad]],VENTAS[[#This Row],[Total]])</f>
        <v>14.22</v>
      </c>
      <c r="L1354" s="35">
        <f>VENTAS[[#This Row],[Total]]-VENTAS[[#This Row],[Comisión 10%]]-VENTAS[[#This Row],[Costo SIN Comision]]</f>
        <v>8.78</v>
      </c>
      <c r="M1354" s="35"/>
    </row>
    <row r="1355" ht="20" customHeight="1" spans="1:13">
      <c r="A1355" s="29">
        <v>45514</v>
      </c>
      <c r="B1355" s="30"/>
      <c r="C1355" s="30" t="s">
        <v>3446</v>
      </c>
      <c r="D1355" s="30"/>
      <c r="E1355" s="30" t="s">
        <v>1368</v>
      </c>
      <c r="F1355" s="34" t="str">
        <f>IFERROR(VLOOKUP(VENTAS[[#This Row],[Código del producto Vendido]],STOCK[],5,FALSE),"-")</f>
        <v>Falda plisada de cuadros</v>
      </c>
      <c r="G1355" s="34">
        <v>1</v>
      </c>
      <c r="H1355" s="35">
        <v>20</v>
      </c>
      <c r="I1355" s="35">
        <f>VENTAS[[#This Row],[Cantidad]]*VENTAS[[#This Row],[Precio Venta]]</f>
        <v>20</v>
      </c>
      <c r="J1355" s="35">
        <f>IF(VENTAS[[#This Row],[Nombre del Gestor]]&gt;1,VENTAS[[#This Row],[Total]]*10%,0)</f>
        <v>0</v>
      </c>
      <c r="K1355" s="35">
        <f>IFERROR(VLOOKUP(VENTAS[[#This Row],[Código del producto Vendido]],STOCK[],16,FALSE)*VENTAS[[#This Row],[Cantidad]]+VLOOKUP(VENTAS[[#This Row],[Código del producto Vendido]],STOCK[],19,FALSE)*VENTAS[[#This Row],[Cantidad]],VENTAS[[#This Row],[Total]])</f>
        <v>12.74</v>
      </c>
      <c r="L1355" s="35">
        <f>VENTAS[[#This Row],[Total]]-VENTAS[[#This Row],[Comisión 10%]]-VENTAS[[#This Row],[Costo SIN Comision]]</f>
        <v>7.26</v>
      </c>
      <c r="M1355" s="35"/>
    </row>
    <row r="1356" ht="20" customHeight="1" spans="1:13">
      <c r="A1356" s="29">
        <v>45515</v>
      </c>
      <c r="B1356" s="30"/>
      <c r="C1356" s="30" t="s">
        <v>3446</v>
      </c>
      <c r="D1356" s="30"/>
      <c r="E1356" s="30" t="s">
        <v>1291</v>
      </c>
      <c r="F1356" s="34" t="str">
        <f>IFERROR(VLOOKUP(VENTAS[[#This Row],[Código del producto Vendido]],STOCK[],5,FALSE),"-")</f>
        <v>Jean skinny oscuro </v>
      </c>
      <c r="G1356" s="34">
        <v>1</v>
      </c>
      <c r="H1356" s="35">
        <v>32</v>
      </c>
      <c r="I1356" s="35">
        <f>VENTAS[[#This Row],[Cantidad]]*VENTAS[[#This Row],[Precio Venta]]</f>
        <v>32</v>
      </c>
      <c r="J1356" s="35">
        <f>IF(VENTAS[[#This Row],[Nombre del Gestor]]&gt;1,VENTAS[[#This Row],[Total]]*10%,0)</f>
        <v>0</v>
      </c>
      <c r="K1356" s="35">
        <f>IFERROR(VLOOKUP(VENTAS[[#This Row],[Código del producto Vendido]],STOCK[],16,FALSE)*VENTAS[[#This Row],[Cantidad]]+VLOOKUP(VENTAS[[#This Row],[Código del producto Vendido]],STOCK[],19,FALSE)*VENTAS[[#This Row],[Cantidad]],VENTAS[[#This Row],[Total]])</f>
        <v>20.79</v>
      </c>
      <c r="L1356" s="35">
        <f>VENTAS[[#This Row],[Total]]-VENTAS[[#This Row],[Comisión 10%]]-VENTAS[[#This Row],[Costo SIN Comision]]</f>
        <v>11.21</v>
      </c>
      <c r="M1356" s="35"/>
    </row>
    <row r="1357" ht="20" customHeight="1" spans="1:13">
      <c r="A1357" s="29">
        <v>45516</v>
      </c>
      <c r="B1357" s="30"/>
      <c r="C1357" s="30" t="s">
        <v>3446</v>
      </c>
      <c r="D1357" s="30"/>
      <c r="E1357" s="30" t="s">
        <v>1301</v>
      </c>
      <c r="F1357" s="34" t="str">
        <f>IFERROR(VLOOKUP(VENTAS[[#This Row],[Código del producto Vendido]],STOCK[],5,FALSE),"-")</f>
        <v>Jean ajustado Claro</v>
      </c>
      <c r="G1357" s="34">
        <v>1</v>
      </c>
      <c r="H1357" s="35">
        <v>32</v>
      </c>
      <c r="I1357" s="35">
        <f>VENTAS[[#This Row],[Cantidad]]*VENTAS[[#This Row],[Precio Venta]]</f>
        <v>32</v>
      </c>
      <c r="J1357" s="35">
        <f>IF(VENTAS[[#This Row],[Nombre del Gestor]]&gt;1,VENTAS[[#This Row],[Total]]*10%,0)</f>
        <v>0</v>
      </c>
      <c r="K1357" s="35">
        <f>IFERROR(VLOOKUP(VENTAS[[#This Row],[Código del producto Vendido]],STOCK[],16,FALSE)*VENTAS[[#This Row],[Cantidad]]+VLOOKUP(VENTAS[[#This Row],[Código del producto Vendido]],STOCK[],19,FALSE)*VENTAS[[#This Row],[Cantidad]],VENTAS[[#This Row],[Total]])</f>
        <v>23.79</v>
      </c>
      <c r="L1357" s="35">
        <f>VENTAS[[#This Row],[Total]]-VENTAS[[#This Row],[Comisión 10%]]-VENTAS[[#This Row],[Costo SIN Comision]]</f>
        <v>8.21</v>
      </c>
      <c r="M1357" s="35"/>
    </row>
    <row r="1358" ht="20" customHeight="1" spans="1:13">
      <c r="A1358" s="29">
        <v>45517</v>
      </c>
      <c r="B1358" s="30"/>
      <c r="C1358" s="30" t="s">
        <v>3446</v>
      </c>
      <c r="D1358" s="30"/>
      <c r="E1358" s="30" t="s">
        <v>1333</v>
      </c>
      <c r="F1358" s="34" t="str">
        <f>IFERROR(VLOOKUP(VENTAS[[#This Row],[Código del producto Vendido]],STOCK[],5,FALSE),"-")</f>
        <v>Blusa de manga acampanada</v>
      </c>
      <c r="G1358" s="34">
        <v>1</v>
      </c>
      <c r="H1358" s="35">
        <v>22</v>
      </c>
      <c r="I1358" s="35">
        <f>VENTAS[[#This Row],[Cantidad]]*VENTAS[[#This Row],[Precio Venta]]</f>
        <v>22</v>
      </c>
      <c r="J1358" s="35">
        <f>IF(VENTAS[[#This Row],[Nombre del Gestor]]&gt;1,VENTAS[[#This Row],[Total]]*10%,0)</f>
        <v>0</v>
      </c>
      <c r="K1358" s="35">
        <f>IFERROR(VLOOKUP(VENTAS[[#This Row],[Código del producto Vendido]],STOCK[],16,FALSE)*VENTAS[[#This Row],[Cantidad]]+VLOOKUP(VENTAS[[#This Row],[Código del producto Vendido]],STOCK[],19,FALSE)*VENTAS[[#This Row],[Cantidad]],VENTAS[[#This Row],[Total]])</f>
        <v>14.24</v>
      </c>
      <c r="L1358" s="35">
        <f>VENTAS[[#This Row],[Total]]-VENTAS[[#This Row],[Comisión 10%]]-VENTAS[[#This Row],[Costo SIN Comision]]</f>
        <v>7.76</v>
      </c>
      <c r="M1358" s="35"/>
    </row>
    <row r="1359" ht="20" customHeight="1" spans="1:13">
      <c r="A1359" s="29">
        <v>45518</v>
      </c>
      <c r="B1359" s="30"/>
      <c r="C1359" s="30" t="s">
        <v>3446</v>
      </c>
      <c r="D1359" s="30"/>
      <c r="E1359" s="30" t="s">
        <v>2403</v>
      </c>
      <c r="F1359" s="34" t="str">
        <f>IFERROR(VLOOKUP(VENTAS[[#This Row],[Código del producto Vendido]],STOCK[],5,FALSE),"-")</f>
        <v>Pantalón de vestir de viscosa y lino (beige claro)</v>
      </c>
      <c r="G1359" s="34">
        <v>1</v>
      </c>
      <c r="H1359" s="35">
        <v>35</v>
      </c>
      <c r="I1359" s="35">
        <f>VENTAS[[#This Row],[Cantidad]]*VENTAS[[#This Row],[Precio Venta]]</f>
        <v>35</v>
      </c>
      <c r="J1359" s="35">
        <f>IF(VENTAS[[#This Row],[Nombre del Gestor]]&gt;1,VENTAS[[#This Row],[Total]]*10%,0)</f>
        <v>0</v>
      </c>
      <c r="K1359" s="35">
        <f>IFERROR(VLOOKUP(VENTAS[[#This Row],[Código del producto Vendido]],STOCK[],16,FALSE)*VENTAS[[#This Row],[Cantidad]]+VLOOKUP(VENTAS[[#This Row],[Código del producto Vendido]],STOCK[],19,FALSE)*VENTAS[[#This Row],[Cantidad]],VENTAS[[#This Row],[Total]])</f>
        <v>17.2520211515864</v>
      </c>
      <c r="L1359" s="35">
        <f>VENTAS[[#This Row],[Total]]-VENTAS[[#This Row],[Comisión 10%]]-VENTAS[[#This Row],[Costo SIN Comision]]</f>
        <v>17.7479788484136</v>
      </c>
      <c r="M1359" s="35"/>
    </row>
    <row r="1360" ht="20" customHeight="1" spans="1:13">
      <c r="A1360" s="29">
        <v>45519</v>
      </c>
      <c r="B1360" s="30"/>
      <c r="C1360" s="30" t="s">
        <v>3446</v>
      </c>
      <c r="D1360" s="30"/>
      <c r="E1360" s="30" t="s">
        <v>2408</v>
      </c>
      <c r="F1360" s="34" t="str">
        <f>IFERROR(VLOOKUP(VENTAS[[#This Row],[Código del producto Vendido]],STOCK[],5,FALSE),"-")</f>
        <v>Pantalón de vestir de viscosa y lino (beige claro)</v>
      </c>
      <c r="G1360" s="34">
        <v>1</v>
      </c>
      <c r="H1360" s="35">
        <v>35</v>
      </c>
      <c r="I1360" s="35">
        <f>VENTAS[[#This Row],[Cantidad]]*VENTAS[[#This Row],[Precio Venta]]</f>
        <v>35</v>
      </c>
      <c r="J1360" s="35">
        <f>IF(VENTAS[[#This Row],[Nombre del Gestor]]&gt;1,VENTAS[[#This Row],[Total]]*10%,0)</f>
        <v>0</v>
      </c>
      <c r="K1360" s="35">
        <f>IFERROR(VLOOKUP(VENTAS[[#This Row],[Código del producto Vendido]],STOCK[],16,FALSE)*VENTAS[[#This Row],[Cantidad]]+VLOOKUP(VENTAS[[#This Row],[Código del producto Vendido]],STOCK[],19,FALSE)*VENTAS[[#This Row],[Cantidad]],VENTAS[[#This Row],[Total]])</f>
        <v>17.2520211515864</v>
      </c>
      <c r="L1360" s="35">
        <f>VENTAS[[#This Row],[Total]]-VENTAS[[#This Row],[Comisión 10%]]-VENTAS[[#This Row],[Costo SIN Comision]]</f>
        <v>17.7479788484136</v>
      </c>
      <c r="M1360" s="35"/>
    </row>
    <row r="1361" ht="20" customHeight="1" spans="1:13">
      <c r="A1361" s="29">
        <v>45520</v>
      </c>
      <c r="B1361" s="30"/>
      <c r="C1361" s="30" t="s">
        <v>3570</v>
      </c>
      <c r="D1361" s="30"/>
      <c r="E1361" s="30" t="s">
        <v>264</v>
      </c>
      <c r="F1361" s="34" t="str">
        <f>IFERROR(VLOOKUP(VENTAS[[#This Row],[Código del producto Vendido]],STOCK[],5,FALSE),"-")</f>
        <v>Vestido de  lunares de cintura con cordó</v>
      </c>
      <c r="G1361" s="34">
        <v>1</v>
      </c>
      <c r="H1361" s="35">
        <v>0</v>
      </c>
      <c r="I1361" s="35">
        <f>VENTAS[[#This Row],[Cantidad]]*VENTAS[[#This Row],[Precio Venta]]</f>
        <v>0</v>
      </c>
      <c r="J1361" s="35">
        <f>IF(VENTAS[[#This Row],[Nombre del Gestor]]&gt;1,VENTAS[[#This Row],[Total]]*10%,0)</f>
        <v>0</v>
      </c>
      <c r="K1361" s="35">
        <f>IFERROR(VLOOKUP(VENTAS[[#This Row],[Código del producto Vendido]],STOCK[],16,FALSE)*VENTAS[[#This Row],[Cantidad]]+VLOOKUP(VENTAS[[#This Row],[Código del producto Vendido]],STOCK[],19,FALSE)*VENTAS[[#This Row],[Cantidad]],VENTAS[[#This Row],[Total]])</f>
        <v>17.9155555555556</v>
      </c>
      <c r="L1361" s="35">
        <f>VENTAS[[#This Row],[Total]]-VENTAS[[#This Row],[Comisión 10%]]-VENTAS[[#This Row],[Costo SIN Comision]]</f>
        <v>-17.9155555555556</v>
      </c>
      <c r="M1361" s="35"/>
    </row>
    <row r="1362" ht="20" customHeight="1" spans="1:13">
      <c r="A1362" s="29">
        <v>45531</v>
      </c>
      <c r="B1362" s="30"/>
      <c r="C1362" s="30"/>
      <c r="D1362" s="30" t="s">
        <v>3478</v>
      </c>
      <c r="E1362" s="30" t="s">
        <v>1098</v>
      </c>
      <c r="F1362" s="34" t="str">
        <f>IFERROR(VLOOKUP(VENTAS[[#This Row],[Código del producto Vendido]],STOCK[],5,FALSE),"-")</f>
        <v>Sandalias crema</v>
      </c>
      <c r="G1362" s="34">
        <v>1</v>
      </c>
      <c r="H1362" s="35">
        <v>35</v>
      </c>
      <c r="I1362" s="35">
        <f>VENTAS[[#This Row],[Cantidad]]*VENTAS[[#This Row],[Precio Venta]]</f>
        <v>35</v>
      </c>
      <c r="J1362" s="35">
        <f>IF(VENTAS[[#This Row],[Nombre del Gestor]]&gt;1,VENTAS[[#This Row],[Total]]*10%,0)</f>
        <v>3.5</v>
      </c>
      <c r="K1362" s="35">
        <f>IFERROR(VLOOKUP(VENTAS[[#This Row],[Código del producto Vendido]],STOCK[],16,FALSE)*VENTAS[[#This Row],[Cantidad]]+VLOOKUP(VENTAS[[#This Row],[Código del producto Vendido]],STOCK[],19,FALSE)*VENTAS[[#This Row],[Cantidad]],VENTAS[[#This Row],[Total]])</f>
        <v>26.8529411764706</v>
      </c>
      <c r="L1362" s="35">
        <f>VENTAS[[#This Row],[Total]]-VENTAS[[#This Row],[Comisión 10%]]-VENTAS[[#This Row],[Costo SIN Comision]]</f>
        <v>4.6470588235294</v>
      </c>
      <c r="M1362" s="35"/>
    </row>
    <row r="1363" ht="20" customHeight="1" spans="1:13">
      <c r="A1363" s="29"/>
      <c r="B1363" s="30"/>
      <c r="C1363" s="30" t="s">
        <v>3446</v>
      </c>
      <c r="D1363" s="30"/>
      <c r="E1363" s="30" t="s">
        <v>2418</v>
      </c>
      <c r="F1363" s="34" t="str">
        <f>IFERROR(VLOOKUP(VENTAS[[#This Row],[Código del producto Vendido]],STOCK[],5,FALSE),"-")</f>
        <v>Camisa blanca en mezcla de algodón</v>
      </c>
      <c r="G1363" s="34">
        <v>1</v>
      </c>
      <c r="H1363" s="35">
        <v>0</v>
      </c>
      <c r="I1363" s="35">
        <f>VENTAS[[#This Row],[Cantidad]]*VENTAS[[#This Row],[Precio Venta]]</f>
        <v>0</v>
      </c>
      <c r="J1363" s="35">
        <f>IF(VENTAS[[#This Row],[Nombre del Gestor]]&gt;1,VENTAS[[#This Row],[Total]]*10%,0)</f>
        <v>0</v>
      </c>
      <c r="K1363" s="35">
        <f>IFERROR(VLOOKUP(VENTAS[[#This Row],[Código del producto Vendido]],STOCK[],16,FALSE)*VENTAS[[#This Row],[Cantidad]]+VLOOKUP(VENTAS[[#This Row],[Código del producto Vendido]],STOCK[],19,FALSE)*VENTAS[[#This Row],[Cantidad]],VENTAS[[#This Row],[Total]])</f>
        <v>17.7808108108108</v>
      </c>
      <c r="L1363" s="35">
        <f>VENTAS[[#This Row],[Total]]-VENTAS[[#This Row],[Comisión 10%]]-VENTAS[[#This Row],[Costo SIN Comision]]</f>
        <v>-17.7808108108108</v>
      </c>
      <c r="M1363" s="35"/>
    </row>
    <row r="1364" ht="20" customHeight="1" spans="1:13">
      <c r="A1364" s="29">
        <v>45517</v>
      </c>
      <c r="B1364" s="30"/>
      <c r="C1364" s="30" t="s">
        <v>3634</v>
      </c>
      <c r="D1364" s="30"/>
      <c r="E1364" s="30" t="s">
        <v>2645</v>
      </c>
      <c r="F1364" s="34" t="str">
        <f>IFERROR(VLOOKUP(VENTAS[[#This Row],[Código del producto Vendido]],STOCK[],5,FALSE),"-")</f>
        <v>Camisa Oversize blanca en mezcla de lino H&amp;M (encargo mónica)</v>
      </c>
      <c r="G1364" s="34">
        <v>1</v>
      </c>
      <c r="H1364" s="35">
        <v>35</v>
      </c>
      <c r="I1364" s="35">
        <f>VENTAS[[#This Row],[Cantidad]]*VENTAS[[#This Row],[Precio Venta]]</f>
        <v>35</v>
      </c>
      <c r="J1364" s="35">
        <f>IF(VENTAS[[#This Row],[Nombre del Gestor]]&gt;1,VENTAS[[#This Row],[Total]]*10%,0)</f>
        <v>0</v>
      </c>
      <c r="K1364" s="35">
        <f>IFERROR(VLOOKUP(VENTAS[[#This Row],[Código del producto Vendido]],STOCK[],16,FALSE)*VENTAS[[#This Row],[Cantidad]]+VLOOKUP(VENTAS[[#This Row],[Código del producto Vendido]],STOCK[],19,FALSE)*VENTAS[[#This Row],[Cantidad]],VENTAS[[#This Row],[Total]])</f>
        <v>28.22</v>
      </c>
      <c r="L1364" s="35">
        <f>VENTAS[[#This Row],[Total]]-VENTAS[[#This Row],[Comisión 10%]]-VENTAS[[#This Row],[Costo SIN Comision]]</f>
        <v>6.78</v>
      </c>
      <c r="M1364" s="35"/>
    </row>
    <row r="1365" ht="20" customHeight="1" spans="1:13">
      <c r="A1365" s="29">
        <v>45517</v>
      </c>
      <c r="B1365" s="30"/>
      <c r="C1365" s="30" t="s">
        <v>3638</v>
      </c>
      <c r="D1365" s="30"/>
      <c r="E1365" s="30" t="s">
        <v>2677</v>
      </c>
      <c r="F1365" s="34" t="str">
        <f>IFERROR(VLOOKUP(VENTAS[[#This Row],[Código del producto Vendido]],STOCK[],5,FALSE),"-")</f>
        <v>Camisa verde oversize (encargo)</v>
      </c>
      <c r="G1365" s="34">
        <v>1</v>
      </c>
      <c r="H1365" s="35">
        <v>20</v>
      </c>
      <c r="I1365" s="35">
        <f>VENTAS[[#This Row],[Cantidad]]*VENTAS[[#This Row],[Precio Venta]]</f>
        <v>20</v>
      </c>
      <c r="J1365" s="35">
        <f>IF(VENTAS[[#This Row],[Nombre del Gestor]]&gt;1,VENTAS[[#This Row],[Total]]*10%,0)</f>
        <v>0</v>
      </c>
      <c r="K1365" s="35">
        <f>IFERROR(VLOOKUP(VENTAS[[#This Row],[Código del producto Vendido]],STOCK[],16,FALSE)*VENTAS[[#This Row],[Cantidad]]+VLOOKUP(VENTAS[[#This Row],[Código del producto Vendido]],STOCK[],19,FALSE)*VENTAS[[#This Row],[Cantidad]],VENTAS[[#This Row],[Total]])</f>
        <v>13.15</v>
      </c>
      <c r="L1365" s="35">
        <f>VENTAS[[#This Row],[Total]]-VENTAS[[#This Row],[Comisión 10%]]-VENTAS[[#This Row],[Costo SIN Comision]]</f>
        <v>6.85</v>
      </c>
      <c r="M1365" s="35"/>
    </row>
    <row r="1366" ht="20" customHeight="1" spans="1:13">
      <c r="A1366" s="29">
        <v>45517</v>
      </c>
      <c r="B1366" s="30"/>
      <c r="C1366" s="30" t="s">
        <v>3638</v>
      </c>
      <c r="D1366" s="30"/>
      <c r="E1366" s="30" t="s">
        <v>2679</v>
      </c>
      <c r="F1366" s="34" t="str">
        <f>IFERROR(VLOOKUP(VENTAS[[#This Row],[Código del producto Vendido]],STOCK[],5,FALSE),"-")</f>
        <v>Top corto verde de tirantes (encargo)</v>
      </c>
      <c r="G1366" s="34">
        <v>1</v>
      </c>
      <c r="H1366" s="35">
        <v>8</v>
      </c>
      <c r="I1366" s="35">
        <f>VENTAS[[#This Row],[Cantidad]]*VENTAS[[#This Row],[Precio Venta]]</f>
        <v>8</v>
      </c>
      <c r="J1366" s="35">
        <f>IF(VENTAS[[#This Row],[Nombre del Gestor]]&gt;1,VENTAS[[#This Row],[Total]]*10%,0)</f>
        <v>0</v>
      </c>
      <c r="K1366" s="35">
        <f>IFERROR(VLOOKUP(VENTAS[[#This Row],[Código del producto Vendido]],STOCK[],16,FALSE)*VENTAS[[#This Row],[Cantidad]]+VLOOKUP(VENTAS[[#This Row],[Código del producto Vendido]],STOCK[],19,FALSE)*VENTAS[[#This Row],[Cantidad]],VENTAS[[#This Row],[Total]])</f>
        <v>4.58</v>
      </c>
      <c r="L1366" s="35">
        <f>VENTAS[[#This Row],[Total]]-VENTAS[[#This Row],[Comisión 10%]]-VENTAS[[#This Row],[Costo SIN Comision]]</f>
        <v>3.42</v>
      </c>
      <c r="M1366" s="35"/>
    </row>
    <row r="1367" ht="20" customHeight="1" spans="1:13">
      <c r="A1367" s="29">
        <v>45517</v>
      </c>
      <c r="B1367" s="30"/>
      <c r="C1367" s="30" t="s">
        <v>3638</v>
      </c>
      <c r="D1367" s="30"/>
      <c r="E1367" s="30" t="s">
        <v>2687</v>
      </c>
      <c r="F1367" s="34" t="str">
        <f>IFERROR(VLOOKUP(VENTAS[[#This Row],[Código del producto Vendido]],STOCK[],5,FALSE),"-")</f>
        <v>Short blanco de talle alto (encargo)</v>
      </c>
      <c r="G1367" s="34">
        <v>1</v>
      </c>
      <c r="H1367" s="35">
        <v>18</v>
      </c>
      <c r="I1367" s="35">
        <f>VENTAS[[#This Row],[Cantidad]]*VENTAS[[#This Row],[Precio Venta]]</f>
        <v>18</v>
      </c>
      <c r="J1367" s="35">
        <f>IF(VENTAS[[#This Row],[Nombre del Gestor]]&gt;1,VENTAS[[#This Row],[Total]]*10%,0)</f>
        <v>0</v>
      </c>
      <c r="K1367" s="35">
        <f>IFERROR(VLOOKUP(VENTAS[[#This Row],[Código del producto Vendido]],STOCK[],16,FALSE)*VENTAS[[#This Row],[Cantidad]]+VLOOKUP(VENTAS[[#This Row],[Código del producto Vendido]],STOCK[],19,FALSE)*VENTAS[[#This Row],[Cantidad]],VENTAS[[#This Row],[Total]])</f>
        <v>10.12</v>
      </c>
      <c r="L1367" s="35">
        <f>VENTAS[[#This Row],[Total]]-VENTAS[[#This Row],[Comisión 10%]]-VENTAS[[#This Row],[Costo SIN Comision]]</f>
        <v>7.88</v>
      </c>
      <c r="M1367" s="35"/>
    </row>
    <row r="1368" ht="20" customHeight="1" spans="1:13">
      <c r="A1368" s="29"/>
      <c r="B1368" s="30"/>
      <c r="C1368" s="30" t="s">
        <v>3446</v>
      </c>
      <c r="D1368" s="30"/>
      <c r="E1368" s="30" t="s">
        <v>600</v>
      </c>
      <c r="F1368" s="34" t="str">
        <f>IFERROR(VLOOKUP(VENTAS[[#This Row],[Código del producto Vendido]],STOCK[],5,FALSE),"-")</f>
        <v>Top corsetero asimétrico</v>
      </c>
      <c r="G1368" s="34">
        <v>1</v>
      </c>
      <c r="H1368" s="35">
        <v>9</v>
      </c>
      <c r="I1368" s="35">
        <f>VENTAS[[#This Row],[Cantidad]]*VENTAS[[#This Row],[Precio Venta]]</f>
        <v>9</v>
      </c>
      <c r="J1368" s="35">
        <f>IF(VENTAS[[#This Row],[Nombre del Gestor]]&gt;1,VENTAS[[#This Row],[Total]]*10%,0)</f>
        <v>0</v>
      </c>
      <c r="K1368" s="35">
        <f>IFERROR(VLOOKUP(VENTAS[[#This Row],[Código del producto Vendido]],STOCK[],16,FALSE)*VENTAS[[#This Row],[Cantidad]]+VLOOKUP(VENTAS[[#This Row],[Código del producto Vendido]],STOCK[],19,FALSE)*VENTAS[[#This Row],[Cantidad]],VENTAS[[#This Row],[Total]])</f>
        <v>5.56833333333333</v>
      </c>
      <c r="L1368" s="35">
        <f>VENTAS[[#This Row],[Total]]-VENTAS[[#This Row],[Comisión 10%]]-VENTAS[[#This Row],[Costo SIN Comision]]</f>
        <v>3.43166666666667</v>
      </c>
      <c r="M1368" s="35"/>
    </row>
    <row r="1369" ht="20" customHeight="1" spans="1:13">
      <c r="A1369" s="29"/>
      <c r="B1369" s="30"/>
      <c r="C1369" s="30" t="s">
        <v>3446</v>
      </c>
      <c r="D1369" s="30"/>
      <c r="E1369" s="30" t="s">
        <v>664</v>
      </c>
      <c r="F1369" s="34" t="str">
        <f>IFERROR(VLOOKUP(VENTAS[[#This Row],[Código del producto Vendido]],STOCK[],5,FALSE),"-")</f>
        <v>Top Cruzado negro</v>
      </c>
      <c r="G1369" s="34">
        <v>1</v>
      </c>
      <c r="H1369" s="35">
        <v>9</v>
      </c>
      <c r="I1369" s="35">
        <f>VENTAS[[#This Row],[Cantidad]]*VENTAS[[#This Row],[Precio Venta]]</f>
        <v>9</v>
      </c>
      <c r="J1369" s="35">
        <f>IF(VENTAS[[#This Row],[Nombre del Gestor]]&gt;1,VENTAS[[#This Row],[Total]]*10%,0)</f>
        <v>0</v>
      </c>
      <c r="K1369" s="35">
        <f>IFERROR(VLOOKUP(VENTAS[[#This Row],[Código del producto Vendido]],STOCK[],16,FALSE)*VENTAS[[#This Row],[Cantidad]]+VLOOKUP(VENTAS[[#This Row],[Código del producto Vendido]],STOCK[],19,FALSE)*VENTAS[[#This Row],[Cantidad]],VENTAS[[#This Row],[Total]])</f>
        <v>4.90166666666667</v>
      </c>
      <c r="L1369" s="35">
        <f>VENTAS[[#This Row],[Total]]-VENTAS[[#This Row],[Comisión 10%]]-VENTAS[[#This Row],[Costo SIN Comision]]</f>
        <v>4.09833333333333</v>
      </c>
      <c r="M1369" s="35"/>
    </row>
    <row r="1370" ht="20" customHeight="1" spans="1:13">
      <c r="A1370" s="29"/>
      <c r="B1370" s="30"/>
      <c r="C1370" s="30" t="s">
        <v>3446</v>
      </c>
      <c r="D1370" s="30"/>
      <c r="E1370" s="30" t="s">
        <v>673</v>
      </c>
      <c r="F1370" s="34" t="str">
        <f>IFERROR(VLOOKUP(VENTAS[[#This Row],[Código del producto Vendido]],STOCK[],5,FALSE),"-")</f>
        <v>Top Cruzado azul</v>
      </c>
      <c r="G1370" s="34">
        <v>1</v>
      </c>
      <c r="H1370" s="35">
        <v>9</v>
      </c>
      <c r="I1370" s="35">
        <f>VENTAS[[#This Row],[Cantidad]]*VENTAS[[#This Row],[Precio Venta]]</f>
        <v>9</v>
      </c>
      <c r="J1370" s="35">
        <f>IF(VENTAS[[#This Row],[Nombre del Gestor]]&gt;1,VENTAS[[#This Row],[Total]]*10%,0)</f>
        <v>0</v>
      </c>
      <c r="K1370" s="35">
        <f>IFERROR(VLOOKUP(VENTAS[[#This Row],[Código del producto Vendido]],STOCK[],16,FALSE)*VENTAS[[#This Row],[Cantidad]]+VLOOKUP(VENTAS[[#This Row],[Código del producto Vendido]],STOCK[],19,FALSE)*VENTAS[[#This Row],[Cantidad]],VENTAS[[#This Row],[Total]])</f>
        <v>5.26833333333333</v>
      </c>
      <c r="L1370" s="35">
        <f>VENTAS[[#This Row],[Total]]-VENTAS[[#This Row],[Comisión 10%]]-VENTAS[[#This Row],[Costo SIN Comision]]</f>
        <v>3.73166666666667</v>
      </c>
      <c r="M1370" s="35"/>
    </row>
    <row r="1371" ht="20" customHeight="1" spans="1:13">
      <c r="A1371" s="29"/>
      <c r="B1371" s="30"/>
      <c r="C1371" s="30" t="s">
        <v>3446</v>
      </c>
      <c r="D1371" s="30"/>
      <c r="E1371" s="30" t="s">
        <v>678</v>
      </c>
      <c r="F1371" s="34" t="str">
        <f>IFERROR(VLOOKUP(VENTAS[[#This Row],[Código del producto Vendido]],STOCK[],5,FALSE),"-")</f>
        <v>Blusa corta de manga farol</v>
      </c>
      <c r="G1371" s="34">
        <v>1</v>
      </c>
      <c r="H1371" s="35">
        <v>9</v>
      </c>
      <c r="I1371" s="35">
        <f>VENTAS[[#This Row],[Cantidad]]*VENTAS[[#This Row],[Precio Venta]]</f>
        <v>9</v>
      </c>
      <c r="J1371" s="35">
        <f>IF(VENTAS[[#This Row],[Nombre del Gestor]]&gt;1,VENTAS[[#This Row],[Total]]*10%,0)</f>
        <v>0</v>
      </c>
      <c r="K1371" s="35">
        <f>IFERROR(VLOOKUP(VENTAS[[#This Row],[Código del producto Vendido]],STOCK[],16,FALSE)*VENTAS[[#This Row],[Cantidad]]+VLOOKUP(VENTAS[[#This Row],[Código del producto Vendido]],STOCK[],19,FALSE)*VENTAS[[#This Row],[Cantidad]],VENTAS[[#This Row],[Total]])</f>
        <v>7.52666666666667</v>
      </c>
      <c r="L1371" s="35">
        <f>VENTAS[[#This Row],[Total]]-VENTAS[[#This Row],[Comisión 10%]]-VENTAS[[#This Row],[Costo SIN Comision]]</f>
        <v>1.47333333333333</v>
      </c>
      <c r="M1371" s="35"/>
    </row>
    <row r="1372" ht="20" customHeight="1" spans="1:13">
      <c r="A1372" s="29"/>
      <c r="B1372" s="30"/>
      <c r="C1372" s="30" t="s">
        <v>3446</v>
      </c>
      <c r="D1372" s="30"/>
      <c r="E1372" s="30" t="s">
        <v>674</v>
      </c>
      <c r="F1372" s="34" t="str">
        <f>IFERROR(VLOOKUP(VENTAS[[#This Row],[Código del producto Vendido]],STOCK[],5,FALSE),"-")</f>
        <v>SHEIN Frenchy Vestido de leopardo &amp; piel de tigre con estampado de manga mariposa sin cinturón_S</v>
      </c>
      <c r="G1372" s="34">
        <v>1</v>
      </c>
      <c r="H1372" s="35">
        <v>0</v>
      </c>
      <c r="I1372" s="35">
        <f>VENTAS[[#This Row],[Cantidad]]*VENTAS[[#This Row],[Precio Venta]]</f>
        <v>0</v>
      </c>
      <c r="J1372" s="35">
        <f>IF(VENTAS[[#This Row],[Nombre del Gestor]]&gt;1,VENTAS[[#This Row],[Total]]*10%,0)</f>
        <v>0</v>
      </c>
      <c r="K1372" s="35">
        <f>IFERROR(VLOOKUP(VENTAS[[#This Row],[Código del producto Vendido]],STOCK[],16,FALSE)*VENTAS[[#This Row],[Cantidad]]+VLOOKUP(VENTAS[[#This Row],[Código del producto Vendido]],STOCK[],19,FALSE)*VENTAS[[#This Row],[Cantidad]],VENTAS[[#This Row],[Total]])</f>
        <v>10.7222222222222</v>
      </c>
      <c r="L1372" s="35">
        <f>VENTAS[[#This Row],[Total]]-VENTAS[[#This Row],[Comisión 10%]]-VENTAS[[#This Row],[Costo SIN Comision]]</f>
        <v>-10.7222222222222</v>
      </c>
      <c r="M1372" s="35"/>
    </row>
    <row r="1373" ht="20" customHeight="1" spans="1:13">
      <c r="A1373" s="29"/>
      <c r="B1373" s="30"/>
      <c r="C1373" s="30" t="s">
        <v>3639</v>
      </c>
      <c r="D1373" s="30"/>
      <c r="E1373" s="30" t="s">
        <v>743</v>
      </c>
      <c r="F1373" s="34" t="str">
        <f>IFERROR(VLOOKUP(VENTAS[[#This Row],[Código del producto Vendido]],STOCK[],5,FALSE),"-")</f>
        <v>Short denim</v>
      </c>
      <c r="G1373" s="34">
        <v>1</v>
      </c>
      <c r="H1373" s="35">
        <v>29</v>
      </c>
      <c r="I1373" s="35">
        <f>VENTAS[[#This Row],[Cantidad]]*VENTAS[[#This Row],[Precio Venta]]</f>
        <v>29</v>
      </c>
      <c r="J1373" s="35">
        <f>IF(VENTAS[[#This Row],[Nombre del Gestor]]&gt;1,VENTAS[[#This Row],[Total]]*10%,0)</f>
        <v>0</v>
      </c>
      <c r="K1373" s="35">
        <f>IFERROR(VLOOKUP(VENTAS[[#This Row],[Código del producto Vendido]],STOCK[],16,FALSE)*VENTAS[[#This Row],[Cantidad]]+VLOOKUP(VENTAS[[#This Row],[Código del producto Vendido]],STOCK[],19,FALSE)*VENTAS[[#This Row],[Cantidad]],VENTAS[[#This Row],[Total]])</f>
        <v>28.3888888888889</v>
      </c>
      <c r="L1373" s="35">
        <f>VENTAS[[#This Row],[Total]]-VENTAS[[#This Row],[Comisión 10%]]-VENTAS[[#This Row],[Costo SIN Comision]]</f>
        <v>0.6111111111111</v>
      </c>
      <c r="M1373" s="35"/>
    </row>
    <row r="1374" ht="20" customHeight="1" spans="1:13">
      <c r="A1374" s="29"/>
      <c r="B1374" s="30"/>
      <c r="C1374" s="30" t="s">
        <v>3456</v>
      </c>
      <c r="D1374" s="30"/>
      <c r="E1374" s="30" t="s">
        <v>774</v>
      </c>
      <c r="F1374" s="34" t="str">
        <f>IFERROR(VLOOKUP(VENTAS[[#This Row],[Código del producto Vendido]],STOCK[],5,FALSE),"-")</f>
        <v>Top berry en tela de algodón</v>
      </c>
      <c r="G1374" s="34">
        <v>1</v>
      </c>
      <c r="H1374" s="35">
        <v>0</v>
      </c>
      <c r="I1374" s="35">
        <f>VENTAS[[#This Row],[Cantidad]]*VENTAS[[#This Row],[Precio Venta]]</f>
        <v>0</v>
      </c>
      <c r="J1374" s="35">
        <f>IF(VENTAS[[#This Row],[Nombre del Gestor]]&gt;1,VENTAS[[#This Row],[Total]]*10%,0)</f>
        <v>0</v>
      </c>
      <c r="K1374" s="35">
        <f>IFERROR(VLOOKUP(VENTAS[[#This Row],[Código del producto Vendido]],STOCK[],16,FALSE)*VENTAS[[#This Row],[Cantidad]]+VLOOKUP(VENTAS[[#This Row],[Código del producto Vendido]],STOCK[],19,FALSE)*VENTAS[[#This Row],[Cantidad]],VENTAS[[#This Row],[Total]])</f>
        <v>6.05555555555556</v>
      </c>
      <c r="L1374" s="35">
        <f>VENTAS[[#This Row],[Total]]-VENTAS[[#This Row],[Comisión 10%]]-VENTAS[[#This Row],[Costo SIN Comision]]</f>
        <v>-6.05555555555556</v>
      </c>
      <c r="M1374" s="35"/>
    </row>
    <row r="1375" ht="20" customHeight="1" spans="1:13">
      <c r="A1375" s="29"/>
      <c r="B1375" s="30"/>
      <c r="C1375" s="30" t="s">
        <v>3446</v>
      </c>
      <c r="D1375" s="30"/>
      <c r="E1375" s="30" t="s">
        <v>774</v>
      </c>
      <c r="F1375" s="34" t="str">
        <f>IFERROR(VLOOKUP(VENTAS[[#This Row],[Código del producto Vendido]],STOCK[],5,FALSE),"-")</f>
        <v>Top berry en tela de algodón</v>
      </c>
      <c r="G1375" s="34">
        <v>2</v>
      </c>
      <c r="H1375" s="35">
        <v>10</v>
      </c>
      <c r="I1375" s="35">
        <f>VENTAS[[#This Row],[Cantidad]]*VENTAS[[#This Row],[Precio Venta]]</f>
        <v>20</v>
      </c>
      <c r="J1375" s="35">
        <f>IF(VENTAS[[#This Row],[Nombre del Gestor]]&gt;1,VENTAS[[#This Row],[Total]]*10%,0)</f>
        <v>0</v>
      </c>
      <c r="K1375" s="35">
        <f>IFERROR(VLOOKUP(VENTAS[[#This Row],[Código del producto Vendido]],STOCK[],16,FALSE)*VENTAS[[#This Row],[Cantidad]]+VLOOKUP(VENTAS[[#This Row],[Código del producto Vendido]],STOCK[],19,FALSE)*VENTAS[[#This Row],[Cantidad]],VENTAS[[#This Row],[Total]])</f>
        <v>12.1111111111111</v>
      </c>
      <c r="L1375" s="35">
        <f>VENTAS[[#This Row],[Total]]-VENTAS[[#This Row],[Comisión 10%]]-VENTAS[[#This Row],[Costo SIN Comision]]</f>
        <v>7.88888888888888</v>
      </c>
      <c r="M1375" s="35"/>
    </row>
    <row r="1376" ht="20" customHeight="1" spans="1:13">
      <c r="A1376" s="29"/>
      <c r="B1376" s="30"/>
      <c r="C1376" s="30" t="s">
        <v>3446</v>
      </c>
      <c r="D1376" s="30"/>
      <c r="E1376" s="30" t="s">
        <v>579</v>
      </c>
      <c r="F1376" s="34" t="str">
        <f>IFERROR(VLOOKUP(VENTAS[[#This Row],[Código del producto Vendido]],STOCK[],5,FALSE),"-")</f>
        <v>Camiseta corta unicolor con abertura</v>
      </c>
      <c r="G1376" s="34">
        <v>1</v>
      </c>
      <c r="H1376" s="35">
        <v>10</v>
      </c>
      <c r="I1376" s="35">
        <f>VENTAS[[#This Row],[Cantidad]]*VENTAS[[#This Row],[Precio Venta]]</f>
        <v>10</v>
      </c>
      <c r="J1376" s="35">
        <f>IF(VENTAS[[#This Row],[Nombre del Gestor]]&gt;1,VENTAS[[#This Row],[Total]]*10%,0)</f>
        <v>0</v>
      </c>
      <c r="K1376" s="35">
        <f>IFERROR(VLOOKUP(VENTAS[[#This Row],[Código del producto Vendido]],STOCK[],16,FALSE)*VENTAS[[#This Row],[Cantidad]]+VLOOKUP(VENTAS[[#This Row],[Código del producto Vendido]],STOCK[],19,FALSE)*VENTAS[[#This Row],[Cantidad]],VENTAS[[#This Row],[Total]])</f>
        <v>5.02666666666667</v>
      </c>
      <c r="L1376" s="35">
        <f>VENTAS[[#This Row],[Total]]-VENTAS[[#This Row],[Comisión 10%]]-VENTAS[[#This Row],[Costo SIN Comision]]</f>
        <v>4.97333333333333</v>
      </c>
      <c r="M1376" s="35"/>
    </row>
    <row r="1377" ht="20" customHeight="1" spans="1:13">
      <c r="A1377" s="29"/>
      <c r="B1377" s="30"/>
      <c r="C1377" s="30" t="s">
        <v>3446</v>
      </c>
      <c r="D1377" s="30"/>
      <c r="E1377" s="30" t="s">
        <v>1168</v>
      </c>
      <c r="F1377" s="34" t="str">
        <f>IFERROR(VLOOKUP(VENTAS[[#This Row],[Código del producto Vendido]],STOCK[],5,FALSE),"-")</f>
        <v>Pullover Dazy cuello redondo Blanco</v>
      </c>
      <c r="G1377" s="34">
        <v>1</v>
      </c>
      <c r="H1377" s="35">
        <v>13</v>
      </c>
      <c r="I1377" s="35">
        <f>VENTAS[[#This Row],[Cantidad]]*VENTAS[[#This Row],[Precio Venta]]</f>
        <v>13</v>
      </c>
      <c r="J1377" s="35">
        <f>IF(VENTAS[[#This Row],[Nombre del Gestor]]&gt;1,VENTAS[[#This Row],[Total]]*10%,0)</f>
        <v>0</v>
      </c>
      <c r="K1377" s="35">
        <f>IFERROR(VLOOKUP(VENTAS[[#This Row],[Código del producto Vendido]],STOCK[],16,FALSE)*VENTAS[[#This Row],[Cantidad]]+VLOOKUP(VENTAS[[#This Row],[Código del producto Vendido]],STOCK[],19,FALSE)*VENTAS[[#This Row],[Cantidad]],VENTAS[[#This Row],[Total]])</f>
        <v>8.61</v>
      </c>
      <c r="L1377" s="35">
        <f>VENTAS[[#This Row],[Total]]-VENTAS[[#This Row],[Comisión 10%]]-VENTAS[[#This Row],[Costo SIN Comision]]</f>
        <v>4.39</v>
      </c>
      <c r="M1377" s="35"/>
    </row>
    <row r="1378" ht="20" customHeight="1" spans="1:13">
      <c r="A1378" s="29"/>
      <c r="B1378" s="30"/>
      <c r="C1378" s="30"/>
      <c r="D1378" s="30" t="s">
        <v>3640</v>
      </c>
      <c r="E1378" s="30" t="s">
        <v>2536</v>
      </c>
      <c r="F1378" s="34" t="str">
        <f>IFERROR(VLOOKUP(VENTAS[[#This Row],[Código del producto Vendido]],STOCK[],5,FALSE),"-")</f>
        <v>Pullover corto unicolor beige</v>
      </c>
      <c r="G1378" s="34">
        <v>1</v>
      </c>
      <c r="H1378" s="35">
        <v>10</v>
      </c>
      <c r="I1378" s="35">
        <f>VENTAS[[#This Row],[Cantidad]]*VENTAS[[#This Row],[Precio Venta]]</f>
        <v>10</v>
      </c>
      <c r="J1378" s="35">
        <f>IF(VENTAS[[#This Row],[Nombre del Gestor]]&gt;1,VENTAS[[#This Row],[Total]]*10%,0)</f>
        <v>1</v>
      </c>
      <c r="K1378" s="35">
        <f>IFERROR(VLOOKUP(VENTAS[[#This Row],[Código del producto Vendido]],STOCK[],16,FALSE)*VENTAS[[#This Row],[Cantidad]]+VLOOKUP(VENTAS[[#This Row],[Código del producto Vendido]],STOCK[],19,FALSE)*VENTAS[[#This Row],[Cantidad]],VENTAS[[#This Row],[Total]])</f>
        <v>2.35</v>
      </c>
      <c r="L1378" s="35">
        <f>VENTAS[[#This Row],[Total]]-VENTAS[[#This Row],[Comisión 10%]]-VENTAS[[#This Row],[Costo SIN Comision]]</f>
        <v>6.65</v>
      </c>
      <c r="M1378" s="35"/>
    </row>
    <row r="1379" ht="20" customHeight="1" spans="1:13">
      <c r="A1379" s="29"/>
      <c r="B1379" s="30"/>
      <c r="C1379" s="30"/>
      <c r="D1379" s="30" t="s">
        <v>3640</v>
      </c>
      <c r="E1379" s="30" t="s">
        <v>2534</v>
      </c>
      <c r="F1379" s="34" t="str">
        <f>IFERROR(VLOOKUP(VENTAS[[#This Row],[Código del producto Vendido]],STOCK[],5,FALSE),"-")</f>
        <v>Pullover corto unicolor blanco</v>
      </c>
      <c r="G1379" s="34">
        <v>1</v>
      </c>
      <c r="H1379" s="35">
        <v>10</v>
      </c>
      <c r="I1379" s="35">
        <f>VENTAS[[#This Row],[Cantidad]]*VENTAS[[#This Row],[Precio Venta]]</f>
        <v>10</v>
      </c>
      <c r="J1379" s="35">
        <f>IF(VENTAS[[#This Row],[Nombre del Gestor]]&gt;1,VENTAS[[#This Row],[Total]]*10%,0)</f>
        <v>1</v>
      </c>
      <c r="K1379" s="35">
        <f>IFERROR(VLOOKUP(VENTAS[[#This Row],[Código del producto Vendido]],STOCK[],16,FALSE)*VENTAS[[#This Row],[Cantidad]]+VLOOKUP(VENTAS[[#This Row],[Código del producto Vendido]],STOCK[],19,FALSE)*VENTAS[[#This Row],[Cantidad]],VENTAS[[#This Row],[Total]])</f>
        <v>4.32</v>
      </c>
      <c r="L1379" s="35">
        <f>VENTAS[[#This Row],[Total]]-VENTAS[[#This Row],[Comisión 10%]]-VENTAS[[#This Row],[Costo SIN Comision]]</f>
        <v>4.68</v>
      </c>
      <c r="M1379" s="35"/>
    </row>
    <row r="1380" ht="20" customHeight="1" spans="1:13">
      <c r="A1380" s="29"/>
      <c r="B1380" s="30"/>
      <c r="C1380" s="30"/>
      <c r="D1380" s="30" t="s">
        <v>3640</v>
      </c>
      <c r="E1380" s="30" t="s">
        <v>2544</v>
      </c>
      <c r="F1380" s="34" t="str">
        <f>IFERROR(VLOOKUP(VENTAS[[#This Row],[Código del producto Vendido]],STOCK[],5,FALSE),"-")</f>
        <v>Pullover largo unicolor tela traslúcida terracota</v>
      </c>
      <c r="G1380" s="34">
        <v>1</v>
      </c>
      <c r="H1380" s="35">
        <v>10</v>
      </c>
      <c r="I1380" s="35">
        <f>VENTAS[[#This Row],[Cantidad]]*VENTAS[[#This Row],[Precio Venta]]</f>
        <v>10</v>
      </c>
      <c r="J1380" s="35">
        <f>IF(VENTAS[[#This Row],[Nombre del Gestor]]&gt;1,VENTAS[[#This Row],[Total]]*10%,0)</f>
        <v>1</v>
      </c>
      <c r="K1380" s="35">
        <f>IFERROR(VLOOKUP(VENTAS[[#This Row],[Código del producto Vendido]],STOCK[],16,FALSE)*VENTAS[[#This Row],[Cantidad]]+VLOOKUP(VENTAS[[#This Row],[Código del producto Vendido]],STOCK[],19,FALSE)*VENTAS[[#This Row],[Cantidad]],VENTAS[[#This Row],[Total]])</f>
        <v>4.32</v>
      </c>
      <c r="L1380" s="35">
        <f>VENTAS[[#This Row],[Total]]-VENTAS[[#This Row],[Comisión 10%]]-VENTAS[[#This Row],[Costo SIN Comision]]</f>
        <v>4.68</v>
      </c>
      <c r="M1380" s="35"/>
    </row>
    <row r="1381" ht="20" customHeight="1" spans="1:13">
      <c r="A1381" s="29"/>
      <c r="B1381" s="30"/>
      <c r="C1381" s="30"/>
      <c r="D1381" s="30" t="s">
        <v>3640</v>
      </c>
      <c r="E1381" s="30" t="s">
        <v>2544</v>
      </c>
      <c r="F1381" s="34" t="str">
        <f>IFERROR(VLOOKUP(VENTAS[[#This Row],[Código del producto Vendido]],STOCK[],5,FALSE),"-")</f>
        <v>Pullover largo unicolor tela traslúcida terracota</v>
      </c>
      <c r="G1381" s="34">
        <v>1</v>
      </c>
      <c r="H1381" s="35">
        <v>10</v>
      </c>
      <c r="I1381" s="35">
        <f>VENTAS[[#This Row],[Cantidad]]*VENTAS[[#This Row],[Precio Venta]]</f>
        <v>10</v>
      </c>
      <c r="J1381" s="35">
        <f>IF(VENTAS[[#This Row],[Nombre del Gestor]]&gt;1,VENTAS[[#This Row],[Total]]*10%,0)</f>
        <v>1</v>
      </c>
      <c r="K1381" s="35">
        <f>IFERROR(VLOOKUP(VENTAS[[#This Row],[Código del producto Vendido]],STOCK[],16,FALSE)*VENTAS[[#This Row],[Cantidad]]+VLOOKUP(VENTAS[[#This Row],[Código del producto Vendido]],STOCK[],19,FALSE)*VENTAS[[#This Row],[Cantidad]],VENTAS[[#This Row],[Total]])</f>
        <v>4.32</v>
      </c>
      <c r="L1381" s="35">
        <f>VENTAS[[#This Row],[Total]]-VENTAS[[#This Row],[Comisión 10%]]-VENTAS[[#This Row],[Costo SIN Comision]]</f>
        <v>4.68</v>
      </c>
      <c r="M1381" s="35"/>
    </row>
    <row r="1382" ht="20" customHeight="1" spans="1:13">
      <c r="A1382" s="29"/>
      <c r="B1382" s="30"/>
      <c r="C1382" s="30"/>
      <c r="D1382" s="30" t="s">
        <v>3640</v>
      </c>
      <c r="E1382" s="30" t="s">
        <v>2546</v>
      </c>
      <c r="F1382" s="34" t="str">
        <f>IFERROR(VLOOKUP(VENTAS[[#This Row],[Código del producto Vendido]],STOCK[],5,FALSE),"-")</f>
        <v>Pullover largo unicolor tela traslúcida terracota</v>
      </c>
      <c r="G1382" s="34">
        <v>1</v>
      </c>
      <c r="H1382" s="35">
        <v>10</v>
      </c>
      <c r="I1382" s="35">
        <f>VENTAS[[#This Row],[Cantidad]]*VENTAS[[#This Row],[Precio Venta]]</f>
        <v>10</v>
      </c>
      <c r="J1382" s="35">
        <f>IF(VENTAS[[#This Row],[Nombre del Gestor]]&gt;1,VENTAS[[#This Row],[Total]]*10%,0)</f>
        <v>1</v>
      </c>
      <c r="K1382" s="35">
        <f>IFERROR(VLOOKUP(VENTAS[[#This Row],[Código del producto Vendido]],STOCK[],16,FALSE)*VENTAS[[#This Row],[Cantidad]]+VLOOKUP(VENTAS[[#This Row],[Código del producto Vendido]],STOCK[],19,FALSE)*VENTAS[[#This Row],[Cantidad]],VENTAS[[#This Row],[Total]])</f>
        <v>4.32</v>
      </c>
      <c r="L1382" s="35">
        <f>VENTAS[[#This Row],[Total]]-VENTAS[[#This Row],[Comisión 10%]]-VENTAS[[#This Row],[Costo SIN Comision]]</f>
        <v>4.68</v>
      </c>
      <c r="M1382" s="35"/>
    </row>
    <row r="1383" ht="20" customHeight="1" spans="1:13">
      <c r="A1383" s="29"/>
      <c r="B1383" s="30"/>
      <c r="C1383" s="30"/>
      <c r="D1383" s="30" t="s">
        <v>3640</v>
      </c>
      <c r="E1383" s="30" t="s">
        <v>2548</v>
      </c>
      <c r="F1383" s="34" t="str">
        <f>IFERROR(VLOOKUP(VENTAS[[#This Row],[Código del producto Vendido]],STOCK[],5,FALSE),"-")</f>
        <v>Pullover largo unicolor tela traslúcida beige</v>
      </c>
      <c r="G1383" s="34">
        <v>1</v>
      </c>
      <c r="H1383" s="35">
        <v>10</v>
      </c>
      <c r="I1383" s="35">
        <f>VENTAS[[#This Row],[Cantidad]]*VENTAS[[#This Row],[Precio Venta]]</f>
        <v>10</v>
      </c>
      <c r="J1383" s="35">
        <f>IF(VENTAS[[#This Row],[Nombre del Gestor]]&gt;1,VENTAS[[#This Row],[Total]]*10%,0)</f>
        <v>1</v>
      </c>
      <c r="K1383" s="35">
        <f>IFERROR(VLOOKUP(VENTAS[[#This Row],[Código del producto Vendido]],STOCK[],16,FALSE)*VENTAS[[#This Row],[Cantidad]]+VLOOKUP(VENTAS[[#This Row],[Código del producto Vendido]],STOCK[],19,FALSE)*VENTAS[[#This Row],[Cantidad]],VENTAS[[#This Row],[Total]])</f>
        <v>4.32</v>
      </c>
      <c r="L1383" s="35">
        <f>VENTAS[[#This Row],[Total]]-VENTAS[[#This Row],[Comisión 10%]]-VENTAS[[#This Row],[Costo SIN Comision]]</f>
        <v>4.68</v>
      </c>
      <c r="M1383" s="35"/>
    </row>
    <row r="1384" ht="20" customHeight="1" spans="1:13">
      <c r="A1384" s="29"/>
      <c r="B1384" s="30"/>
      <c r="C1384" s="30"/>
      <c r="D1384" s="30" t="s">
        <v>3640</v>
      </c>
      <c r="E1384" s="30" t="s">
        <v>2555</v>
      </c>
      <c r="F1384" s="34" t="str">
        <f>IFERROR(VLOOKUP(VENTAS[[#This Row],[Código del producto Vendido]],STOCK[],5,FALSE),"-")</f>
        <v>Pullover largo unicolor tela traslúcida beige</v>
      </c>
      <c r="G1384" s="34">
        <v>1</v>
      </c>
      <c r="H1384" s="35">
        <v>10</v>
      </c>
      <c r="I1384" s="35">
        <f>VENTAS[[#This Row],[Cantidad]]*VENTAS[[#This Row],[Precio Venta]]</f>
        <v>10</v>
      </c>
      <c r="J1384" s="35">
        <f>IF(VENTAS[[#This Row],[Nombre del Gestor]]&gt;1,VENTAS[[#This Row],[Total]]*10%,0)</f>
        <v>1</v>
      </c>
      <c r="K1384" s="35">
        <f>IFERROR(VLOOKUP(VENTAS[[#This Row],[Código del producto Vendido]],STOCK[],16,FALSE)*VENTAS[[#This Row],[Cantidad]]+VLOOKUP(VENTAS[[#This Row],[Código del producto Vendido]],STOCK[],19,FALSE)*VENTAS[[#This Row],[Cantidad]],VENTAS[[#This Row],[Total]])</f>
        <v>4.32</v>
      </c>
      <c r="L1384" s="35">
        <f>VENTAS[[#This Row],[Total]]-VENTAS[[#This Row],[Comisión 10%]]-VENTAS[[#This Row],[Costo SIN Comision]]</f>
        <v>4.68</v>
      </c>
      <c r="M1384" s="35"/>
    </row>
    <row r="1385" ht="20" customHeight="1" spans="1:13">
      <c r="A1385" s="29"/>
      <c r="B1385" s="30"/>
      <c r="C1385" s="30"/>
      <c r="D1385" s="30" t="s">
        <v>3640</v>
      </c>
      <c r="E1385" s="30" t="s">
        <v>2555</v>
      </c>
      <c r="F1385" s="34" t="str">
        <f>IFERROR(VLOOKUP(VENTAS[[#This Row],[Código del producto Vendido]],STOCK[],5,FALSE),"-")</f>
        <v>Pullover largo unicolor tela traslúcida beige</v>
      </c>
      <c r="G1385" s="34">
        <v>1</v>
      </c>
      <c r="H1385" s="35">
        <v>10</v>
      </c>
      <c r="I1385" s="35">
        <f>VENTAS[[#This Row],[Cantidad]]*VENTAS[[#This Row],[Precio Venta]]</f>
        <v>10</v>
      </c>
      <c r="J1385" s="35">
        <f>IF(VENTAS[[#This Row],[Nombre del Gestor]]&gt;1,VENTAS[[#This Row],[Total]]*10%,0)</f>
        <v>1</v>
      </c>
      <c r="K1385" s="35">
        <f>IFERROR(VLOOKUP(VENTAS[[#This Row],[Código del producto Vendido]],STOCK[],16,FALSE)*VENTAS[[#This Row],[Cantidad]]+VLOOKUP(VENTAS[[#This Row],[Código del producto Vendido]],STOCK[],19,FALSE)*VENTAS[[#This Row],[Cantidad]],VENTAS[[#This Row],[Total]])</f>
        <v>4.32</v>
      </c>
      <c r="L1385" s="35">
        <f>VENTAS[[#This Row],[Total]]-VENTAS[[#This Row],[Comisión 10%]]-VENTAS[[#This Row],[Costo SIN Comision]]</f>
        <v>4.68</v>
      </c>
      <c r="M1385" s="35"/>
    </row>
    <row r="1386" ht="20" customHeight="1" spans="1:13">
      <c r="A1386" s="29">
        <v>45544</v>
      </c>
      <c r="B1386" s="30"/>
      <c r="C1386" s="30"/>
      <c r="D1386" s="30" t="s">
        <v>3503</v>
      </c>
      <c r="E1386" s="30" t="s">
        <v>2554</v>
      </c>
      <c r="F1386" s="34" t="str">
        <f>IFERROR(VLOOKUP(VENTAS[[#This Row],[Código del producto Vendido]],STOCK[],5,FALSE),"-")</f>
        <v>Pullover largo unicolor tela traslúcida blanco</v>
      </c>
      <c r="G1386" s="34">
        <v>1</v>
      </c>
      <c r="H1386" s="35">
        <v>10</v>
      </c>
      <c r="I1386" s="35">
        <f>VENTAS[[#This Row],[Cantidad]]*VENTAS[[#This Row],[Precio Venta]]</f>
        <v>10</v>
      </c>
      <c r="J1386" s="35">
        <f>IF(VENTAS[[#This Row],[Nombre del Gestor]]&gt;1,VENTAS[[#This Row],[Total]]*10%,0)</f>
        <v>1</v>
      </c>
      <c r="K1386" s="35">
        <f>IFERROR(VLOOKUP(VENTAS[[#This Row],[Código del producto Vendido]],STOCK[],16,FALSE)*VENTAS[[#This Row],[Cantidad]]+VLOOKUP(VENTAS[[#This Row],[Código del producto Vendido]],STOCK[],19,FALSE)*VENTAS[[#This Row],[Cantidad]],VENTAS[[#This Row],[Total]])</f>
        <v>4.32</v>
      </c>
      <c r="L1386" s="35">
        <f>VENTAS[[#This Row],[Total]]-VENTAS[[#This Row],[Comisión 10%]]-VENTAS[[#This Row],[Costo SIN Comision]]</f>
        <v>4.68</v>
      </c>
      <c r="M1386" s="35"/>
    </row>
    <row r="1387" ht="20" customHeight="1" spans="1:13">
      <c r="A1387" s="29"/>
      <c r="B1387" s="30"/>
      <c r="C1387" s="30"/>
      <c r="D1387" s="30" t="s">
        <v>3640</v>
      </c>
      <c r="E1387" s="30" t="s">
        <v>2554</v>
      </c>
      <c r="F1387" s="34" t="str">
        <f>IFERROR(VLOOKUP(VENTAS[[#This Row],[Código del producto Vendido]],STOCK[],5,FALSE),"-")</f>
        <v>Pullover largo unicolor tela traslúcida blanco</v>
      </c>
      <c r="G1387" s="34">
        <v>1</v>
      </c>
      <c r="H1387" s="35">
        <v>10</v>
      </c>
      <c r="I1387" s="35">
        <f>VENTAS[[#This Row],[Cantidad]]*VENTAS[[#This Row],[Precio Venta]]</f>
        <v>10</v>
      </c>
      <c r="J1387" s="35">
        <f>IF(VENTAS[[#This Row],[Nombre del Gestor]]&gt;1,VENTAS[[#This Row],[Total]]*10%,0)</f>
        <v>1</v>
      </c>
      <c r="K1387" s="35">
        <f>IFERROR(VLOOKUP(VENTAS[[#This Row],[Código del producto Vendido]],STOCK[],16,FALSE)*VENTAS[[#This Row],[Cantidad]]+VLOOKUP(VENTAS[[#This Row],[Código del producto Vendido]],STOCK[],19,FALSE)*VENTAS[[#This Row],[Cantidad]],VENTAS[[#This Row],[Total]])</f>
        <v>4.32</v>
      </c>
      <c r="L1387" s="35">
        <f>VENTAS[[#This Row],[Total]]-VENTAS[[#This Row],[Comisión 10%]]-VENTAS[[#This Row],[Costo SIN Comision]]</f>
        <v>4.68</v>
      </c>
      <c r="M1387" s="35"/>
    </row>
    <row r="1388" ht="20" customHeight="1" spans="1:13">
      <c r="A1388" s="29"/>
      <c r="B1388" s="30"/>
      <c r="C1388" s="30"/>
      <c r="D1388" s="30" t="s">
        <v>3640</v>
      </c>
      <c r="E1388" s="30" t="s">
        <v>2553</v>
      </c>
      <c r="F1388" s="34" t="str">
        <f>IFERROR(VLOOKUP(VENTAS[[#This Row],[Código del producto Vendido]],STOCK[],5,FALSE),"-")</f>
        <v>Pullover largo unicolor tela traslúcida blanco</v>
      </c>
      <c r="G1388" s="34">
        <v>1</v>
      </c>
      <c r="H1388" s="35">
        <v>10</v>
      </c>
      <c r="I1388" s="35">
        <f>VENTAS[[#This Row],[Cantidad]]*VENTAS[[#This Row],[Precio Venta]]</f>
        <v>10</v>
      </c>
      <c r="J1388" s="35">
        <f>IF(VENTAS[[#This Row],[Nombre del Gestor]]&gt;1,VENTAS[[#This Row],[Total]]*10%,0)</f>
        <v>1</v>
      </c>
      <c r="K1388" s="35">
        <f>IFERROR(VLOOKUP(VENTAS[[#This Row],[Código del producto Vendido]],STOCK[],16,FALSE)*VENTAS[[#This Row],[Cantidad]]+VLOOKUP(VENTAS[[#This Row],[Código del producto Vendido]],STOCK[],19,FALSE)*VENTAS[[#This Row],[Cantidad]],VENTAS[[#This Row],[Total]])</f>
        <v>4.32</v>
      </c>
      <c r="L1388" s="35">
        <f>VENTAS[[#This Row],[Total]]-VENTAS[[#This Row],[Comisión 10%]]-VENTAS[[#This Row],[Costo SIN Comision]]</f>
        <v>4.68</v>
      </c>
      <c r="M1388" s="35"/>
    </row>
    <row r="1389" ht="20" customHeight="1" spans="1:13">
      <c r="A1389" s="29"/>
      <c r="B1389" s="30"/>
      <c r="C1389" s="30"/>
      <c r="D1389" s="30" t="s">
        <v>3640</v>
      </c>
      <c r="E1389" s="30" t="s">
        <v>2551</v>
      </c>
      <c r="F1389" s="34" t="str">
        <f>IFERROR(VLOOKUP(VENTAS[[#This Row],[Código del producto Vendido]],STOCK[],5,FALSE),"-")</f>
        <v>Pullover largo unicolor tela traslúcida blanco</v>
      </c>
      <c r="G1389" s="34">
        <v>1</v>
      </c>
      <c r="H1389" s="35">
        <v>10</v>
      </c>
      <c r="I1389" s="35">
        <f>VENTAS[[#This Row],[Cantidad]]*VENTAS[[#This Row],[Precio Venta]]</f>
        <v>10</v>
      </c>
      <c r="J1389" s="35">
        <f>IF(VENTAS[[#This Row],[Nombre del Gestor]]&gt;1,VENTAS[[#This Row],[Total]]*10%,0)</f>
        <v>1</v>
      </c>
      <c r="K1389" s="35">
        <f>IFERROR(VLOOKUP(VENTAS[[#This Row],[Código del producto Vendido]],STOCK[],16,FALSE)*VENTAS[[#This Row],[Cantidad]]+VLOOKUP(VENTAS[[#This Row],[Código del producto Vendido]],STOCK[],19,FALSE)*VENTAS[[#This Row],[Cantidad]],VENTAS[[#This Row],[Total]])</f>
        <v>4.32</v>
      </c>
      <c r="L1389" s="35">
        <f>VENTAS[[#This Row],[Total]]-VENTAS[[#This Row],[Comisión 10%]]-VENTAS[[#This Row],[Costo SIN Comision]]</f>
        <v>4.68</v>
      </c>
      <c r="M1389" s="35"/>
    </row>
    <row r="1390" ht="20" customHeight="1" spans="1:13">
      <c r="A1390" s="29"/>
      <c r="B1390" s="30"/>
      <c r="C1390" s="30" t="s">
        <v>3571</v>
      </c>
      <c r="D1390" s="30"/>
      <c r="E1390" s="30" t="s">
        <v>2664</v>
      </c>
      <c r="F1390" s="34" t="str">
        <f>IFERROR(VLOOKUP(VENTAS[[#This Row],[Código del producto Vendido]],STOCK[],5,FALSE),"-")</f>
        <v>Pullover carmelita letrero de mariposa algodón PRIMARK</v>
      </c>
      <c r="G1390" s="34">
        <v>1</v>
      </c>
      <c r="H1390" s="35">
        <v>13</v>
      </c>
      <c r="I1390" s="35">
        <f>VENTAS[[#This Row],[Cantidad]]*VENTAS[[#This Row],[Precio Venta]]</f>
        <v>13</v>
      </c>
      <c r="J1390" s="35">
        <f>IF(VENTAS[[#This Row],[Nombre del Gestor]]&gt;1,VENTAS[[#This Row],[Total]]*10%,0)</f>
        <v>0</v>
      </c>
      <c r="K1390" s="35">
        <f>IFERROR(VLOOKUP(VENTAS[[#This Row],[Código del producto Vendido]],STOCK[],16,FALSE)*VENTAS[[#This Row],[Cantidad]]+VLOOKUP(VENTAS[[#This Row],[Código del producto Vendido]],STOCK[],19,FALSE)*VENTAS[[#This Row],[Cantidad]],VENTAS[[#This Row],[Total]])</f>
        <v>7</v>
      </c>
      <c r="L1390" s="35">
        <f>VENTAS[[#This Row],[Total]]-VENTAS[[#This Row],[Comisión 10%]]-VENTAS[[#This Row],[Costo SIN Comision]]</f>
        <v>6</v>
      </c>
      <c r="M1390" s="35"/>
    </row>
    <row r="1391" ht="20" customHeight="1" spans="1:13">
      <c r="A1391" s="29">
        <v>45480</v>
      </c>
      <c r="B1391" s="30"/>
      <c r="C1391" s="30"/>
      <c r="D1391" s="30" t="s">
        <v>3478</v>
      </c>
      <c r="E1391" s="30" t="s">
        <v>1860</v>
      </c>
      <c r="F1391" s="34" t="str">
        <f>IFERROR(VLOOKUP(VENTAS[[#This Row],[Código del producto Vendido]],STOCK[],5,FALSE),"-")</f>
        <v>Bolso Baguette Negro</v>
      </c>
      <c r="G1391" s="34">
        <v>1</v>
      </c>
      <c r="H1391" s="35">
        <v>25</v>
      </c>
      <c r="I1391" s="35">
        <f>VENTAS[[#This Row],[Cantidad]]*VENTAS[[#This Row],[Precio Venta]]</f>
        <v>25</v>
      </c>
      <c r="J1391" s="35">
        <f>IF(VENTAS[[#This Row],[Nombre del Gestor]]&gt;1,VENTAS[[#This Row],[Total]]*10%,0)</f>
        <v>2.5</v>
      </c>
      <c r="K1391" s="35">
        <f>IFERROR(VLOOKUP(VENTAS[[#This Row],[Código del producto Vendido]],STOCK[],16,FALSE)*VENTAS[[#This Row],[Cantidad]]+VLOOKUP(VENTAS[[#This Row],[Código del producto Vendido]],STOCK[],19,FALSE)*VENTAS[[#This Row],[Cantidad]],VENTAS[[#This Row],[Total]])</f>
        <v>15.79</v>
      </c>
      <c r="L1391" s="35">
        <f>VENTAS[[#This Row],[Total]]-VENTAS[[#This Row],[Comisión 10%]]-VENTAS[[#This Row],[Costo SIN Comision]]</f>
        <v>6.71</v>
      </c>
      <c r="M1391" s="35"/>
    </row>
    <row r="1392" ht="20" customHeight="1" spans="1:13">
      <c r="A1392" s="29"/>
      <c r="B1392" s="30"/>
      <c r="C1392" s="30" t="s">
        <v>3446</v>
      </c>
      <c r="D1392" s="30"/>
      <c r="E1392" s="30" t="s">
        <v>476</v>
      </c>
      <c r="F1392" s="34" t="str">
        <f>IFERROR(VLOOKUP(VENTAS[[#This Row],[Código del producto Vendido]],STOCK[],5,FALSE),"-")</f>
        <v>Vestido asimétrico</v>
      </c>
      <c r="G1392" s="34">
        <v>1</v>
      </c>
      <c r="H1392" s="35">
        <v>0</v>
      </c>
      <c r="I1392" s="35">
        <f>VENTAS[[#This Row],[Cantidad]]*VENTAS[[#This Row],[Precio Venta]]</f>
        <v>0</v>
      </c>
      <c r="J1392" s="35">
        <f>IF(VENTAS[[#This Row],[Nombre del Gestor]]&gt;1,VENTAS[[#This Row],[Total]]*10%,0)</f>
        <v>0</v>
      </c>
      <c r="K1392" s="35">
        <f>IFERROR(VLOOKUP(VENTAS[[#This Row],[Código del producto Vendido]],STOCK[],16,FALSE)*VENTAS[[#This Row],[Cantidad]]+VLOOKUP(VENTAS[[#This Row],[Código del producto Vendido]],STOCK[],19,FALSE)*VENTAS[[#This Row],[Cantidad]],VENTAS[[#This Row],[Total]])</f>
        <v>11.3166666666667</v>
      </c>
      <c r="L1392" s="35">
        <f>VENTAS[[#This Row],[Total]]-VENTAS[[#This Row],[Comisión 10%]]-VENTAS[[#This Row],[Costo SIN Comision]]</f>
        <v>-11.3166666666667</v>
      </c>
      <c r="M1392" s="35"/>
    </row>
    <row r="1393" ht="20" customHeight="1" spans="1:13">
      <c r="A1393" s="29"/>
      <c r="B1393" s="30"/>
      <c r="C1393" s="30"/>
      <c r="D1393" s="30" t="s">
        <v>3640</v>
      </c>
      <c r="E1393" s="30" t="s">
        <v>535</v>
      </c>
      <c r="F1393" s="34" t="str">
        <f>IFERROR(VLOOKUP(VENTAS[[#This Row],[Código del producto Vendido]],STOCK[],5,FALSE),"-")</f>
        <v>Gafas minimalista de moda </v>
      </c>
      <c r="G1393" s="34">
        <v>1</v>
      </c>
      <c r="H1393" s="35">
        <v>12</v>
      </c>
      <c r="I1393" s="35">
        <f>VENTAS[[#This Row],[Cantidad]]*VENTAS[[#This Row],[Precio Venta]]</f>
        <v>12</v>
      </c>
      <c r="J1393" s="35">
        <f>IF(VENTAS[[#This Row],[Nombre del Gestor]]&gt;1,VENTAS[[#This Row],[Total]]*10%,0)</f>
        <v>1.2</v>
      </c>
      <c r="K1393" s="35">
        <f>IFERROR(VLOOKUP(VENTAS[[#This Row],[Código del producto Vendido]],STOCK[],16,FALSE)*VENTAS[[#This Row],[Cantidad]]+VLOOKUP(VENTAS[[#This Row],[Código del producto Vendido]],STOCK[],19,FALSE)*VENTAS[[#This Row],[Cantidad]],VENTAS[[#This Row],[Total]])</f>
        <v>5.83055555555556</v>
      </c>
      <c r="L1393" s="35">
        <f>VENTAS[[#This Row],[Total]]-VENTAS[[#This Row],[Comisión 10%]]-VENTAS[[#This Row],[Costo SIN Comision]]</f>
        <v>4.96944444444444</v>
      </c>
      <c r="M1393" s="35"/>
    </row>
    <row r="1394" ht="20" customHeight="1" spans="1:13">
      <c r="A1394" s="29">
        <v>45528</v>
      </c>
      <c r="B1394" s="30"/>
      <c r="C1394" s="30" t="s">
        <v>3584</v>
      </c>
      <c r="D1394" s="30" t="s">
        <v>3503</v>
      </c>
      <c r="E1394" s="30" t="s">
        <v>859</v>
      </c>
      <c r="F1394" s="34" t="str">
        <f>IFERROR(VLOOKUP(VENTAS[[#This Row],[Código del producto Vendido]],STOCK[],5,FALSE),"-")</f>
        <v>Vestido venturina</v>
      </c>
      <c r="G1394" s="34">
        <v>1</v>
      </c>
      <c r="H1394" s="35">
        <v>16</v>
      </c>
      <c r="I1394" s="35">
        <f>VENTAS[[#This Row],[Cantidad]]*VENTAS[[#This Row],[Precio Venta]]</f>
        <v>16</v>
      </c>
      <c r="J1394" s="35">
        <f>IF(VENTAS[[#This Row],[Nombre del Gestor]]&gt;1,VENTAS[[#This Row],[Total]]*10%,0)</f>
        <v>1.6</v>
      </c>
      <c r="K1394" s="35">
        <f>IFERROR(VLOOKUP(VENTAS[[#This Row],[Código del producto Vendido]],STOCK[],16,FALSE)*VENTAS[[#This Row],[Cantidad]]+VLOOKUP(VENTAS[[#This Row],[Código del producto Vendido]],STOCK[],19,FALSE)*VENTAS[[#This Row],[Cantidad]],VENTAS[[#This Row],[Total]])</f>
        <v>9.11111111111111</v>
      </c>
      <c r="L1394" s="35">
        <f>VENTAS[[#This Row],[Total]]-VENTAS[[#This Row],[Comisión 10%]]-VENTAS[[#This Row],[Costo SIN Comision]]</f>
        <v>5.28888888888889</v>
      </c>
      <c r="M1394" s="35"/>
    </row>
    <row r="1395" ht="20" customHeight="1" spans="1:13">
      <c r="A1395" s="29">
        <v>45497</v>
      </c>
      <c r="B1395" s="30"/>
      <c r="C1395" s="30" t="s">
        <v>3641</v>
      </c>
      <c r="D1395" s="30" t="s">
        <v>3503</v>
      </c>
      <c r="E1395" s="30" t="s">
        <v>1712</v>
      </c>
      <c r="F1395" s="34" t="str">
        <f>IFERROR(VLOOKUP(VENTAS[[#This Row],[Código del producto Vendido]],STOCK[],5,FALSE),"-")</f>
        <v>Vestido Asimétrico con cuerdas</v>
      </c>
      <c r="G1395" s="34">
        <v>1</v>
      </c>
      <c r="H1395" s="35">
        <v>13</v>
      </c>
      <c r="I1395" s="35">
        <f>VENTAS[[#This Row],[Cantidad]]*VENTAS[[#This Row],[Precio Venta]]</f>
        <v>13</v>
      </c>
      <c r="J1395" s="35">
        <f>IF(VENTAS[[#This Row],[Nombre del Gestor]]&gt;1,VENTAS[[#This Row],[Total]]*10%,0)</f>
        <v>1.3</v>
      </c>
      <c r="K1395" s="35">
        <f>IFERROR(VLOOKUP(VENTAS[[#This Row],[Código del producto Vendido]],STOCK[],16,FALSE)*VENTAS[[#This Row],[Cantidad]]+VLOOKUP(VENTAS[[#This Row],[Código del producto Vendido]],STOCK[],19,FALSE)*VENTAS[[#This Row],[Cantidad]],VENTAS[[#This Row],[Total]])</f>
        <v>12</v>
      </c>
      <c r="L1395" s="35">
        <f>VENTAS[[#This Row],[Total]]-VENTAS[[#This Row],[Comisión 10%]]-VENTAS[[#This Row],[Costo SIN Comision]]</f>
        <v>-0.300000000000001</v>
      </c>
      <c r="M1395" s="35"/>
    </row>
    <row r="1396" ht="20" customHeight="1" spans="1:13">
      <c r="A1396" s="29">
        <v>45482</v>
      </c>
      <c r="B1396" s="30"/>
      <c r="C1396" s="30"/>
      <c r="D1396" s="30" t="s">
        <v>3640</v>
      </c>
      <c r="E1396" s="30" t="s">
        <v>1712</v>
      </c>
      <c r="F1396" s="34" t="str">
        <f>IFERROR(VLOOKUP(VENTAS[[#This Row],[Código del producto Vendido]],STOCK[],5,FALSE),"-")</f>
        <v>Vestido Asimétrico con cuerdas</v>
      </c>
      <c r="G1396" s="34">
        <v>1</v>
      </c>
      <c r="H1396" s="35">
        <v>13</v>
      </c>
      <c r="I1396" s="35">
        <f>VENTAS[[#This Row],[Cantidad]]*VENTAS[[#This Row],[Precio Venta]]</f>
        <v>13</v>
      </c>
      <c r="J1396" s="35">
        <f>IF(VENTAS[[#This Row],[Nombre del Gestor]]&gt;1,VENTAS[[#This Row],[Total]]*10%,0)</f>
        <v>1.3</v>
      </c>
      <c r="K1396" s="35">
        <f>IFERROR(VLOOKUP(VENTAS[[#This Row],[Código del producto Vendido]],STOCK[],16,FALSE)*VENTAS[[#This Row],[Cantidad]]+VLOOKUP(VENTAS[[#This Row],[Código del producto Vendido]],STOCK[],19,FALSE)*VENTAS[[#This Row],[Cantidad]],VENTAS[[#This Row],[Total]])</f>
        <v>12</v>
      </c>
      <c r="L1396" s="35">
        <f>VENTAS[[#This Row],[Total]]-VENTAS[[#This Row],[Comisión 10%]]-VENTAS[[#This Row],[Costo SIN Comision]]</f>
        <v>-0.300000000000001</v>
      </c>
      <c r="M1396" s="35"/>
    </row>
    <row r="1397" ht="20" customHeight="1" spans="1:13">
      <c r="A1397" s="29">
        <v>45513</v>
      </c>
      <c r="B1397" s="30"/>
      <c r="C1397" s="30" t="s">
        <v>3417</v>
      </c>
      <c r="D1397" s="30" t="s">
        <v>3453</v>
      </c>
      <c r="E1397" s="30" t="s">
        <v>2583</v>
      </c>
      <c r="F1397" s="34" t="str">
        <f>IFERROR(VLOOKUP(VENTAS[[#This Row],[Código del producto Vendido]],STOCK[],5,FALSE),"-")</f>
        <v>Vestido negro espalda cruzada</v>
      </c>
      <c r="G1397" s="34">
        <v>1</v>
      </c>
      <c r="H1397" s="35">
        <v>30</v>
      </c>
      <c r="I1397" s="35">
        <f>VENTAS[[#This Row],[Cantidad]]*VENTAS[[#This Row],[Precio Venta]]</f>
        <v>30</v>
      </c>
      <c r="J1397" s="35">
        <f>IF(VENTAS[[#This Row],[Nombre del Gestor]]&gt;1,VENTAS[[#This Row],[Total]]*10%,0)</f>
        <v>3</v>
      </c>
      <c r="K1397" s="35">
        <f>IFERROR(VLOOKUP(VENTAS[[#This Row],[Código del producto Vendido]],STOCK[],16,FALSE)*VENTAS[[#This Row],[Cantidad]]+VLOOKUP(VENTAS[[#This Row],[Código del producto Vendido]],STOCK[],19,FALSE)*VENTAS[[#This Row],[Cantidad]],VENTAS[[#This Row],[Total]])</f>
        <v>15.44</v>
      </c>
      <c r="L1397" s="35">
        <f>VENTAS[[#This Row],[Total]]-VENTAS[[#This Row],[Comisión 10%]]-VENTAS[[#This Row],[Costo SIN Comision]]</f>
        <v>11.56</v>
      </c>
      <c r="M1397" s="35"/>
    </row>
    <row r="1398" ht="20" customHeight="1" spans="1:13">
      <c r="A1398" s="29"/>
      <c r="B1398" s="30"/>
      <c r="C1398" s="30"/>
      <c r="D1398" s="30" t="s">
        <v>3640</v>
      </c>
      <c r="E1398" s="30" t="s">
        <v>2583</v>
      </c>
      <c r="F1398" s="34" t="str">
        <f>IFERROR(VLOOKUP(VENTAS[[#This Row],[Código del producto Vendido]],STOCK[],5,FALSE),"-")</f>
        <v>Vestido negro espalda cruzada</v>
      </c>
      <c r="G1398" s="34">
        <v>1</v>
      </c>
      <c r="H1398" s="35">
        <v>30</v>
      </c>
      <c r="I1398" s="35">
        <f>VENTAS[[#This Row],[Cantidad]]*VENTAS[[#This Row],[Precio Venta]]</f>
        <v>30</v>
      </c>
      <c r="J1398" s="35">
        <f>IF(VENTAS[[#This Row],[Nombre del Gestor]]&gt;1,VENTAS[[#This Row],[Total]]*10%,0)</f>
        <v>3</v>
      </c>
      <c r="K1398" s="35">
        <f>IFERROR(VLOOKUP(VENTAS[[#This Row],[Código del producto Vendido]],STOCK[],16,FALSE)*VENTAS[[#This Row],[Cantidad]]+VLOOKUP(VENTAS[[#This Row],[Código del producto Vendido]],STOCK[],19,FALSE)*VENTAS[[#This Row],[Cantidad]],VENTAS[[#This Row],[Total]])</f>
        <v>15.44</v>
      </c>
      <c r="L1398" s="35">
        <f>VENTAS[[#This Row],[Total]]-VENTAS[[#This Row],[Comisión 10%]]-VENTAS[[#This Row],[Costo SIN Comision]]</f>
        <v>11.56</v>
      </c>
      <c r="M1398" s="35"/>
    </row>
    <row r="1399" ht="20" customHeight="1" spans="1:13">
      <c r="A1399" s="29">
        <v>45534</v>
      </c>
      <c r="B1399" s="30"/>
      <c r="C1399" s="30"/>
      <c r="D1399" s="30" t="s">
        <v>3459</v>
      </c>
      <c r="E1399" s="30" t="s">
        <v>2590</v>
      </c>
      <c r="F1399" s="34" t="str">
        <f>IFERROR(VLOOKUP(VENTAS[[#This Row],[Código del producto Vendido]],STOCK[],5,FALSE),"-")</f>
        <v>Vestido crochet playero de tirantes</v>
      </c>
      <c r="G1399" s="34">
        <v>1</v>
      </c>
      <c r="H1399" s="35">
        <v>30</v>
      </c>
      <c r="I1399" s="35">
        <f>VENTAS[[#This Row],[Cantidad]]*VENTAS[[#This Row],[Precio Venta]]</f>
        <v>30</v>
      </c>
      <c r="J1399" s="35">
        <f>IF(VENTAS[[#This Row],[Nombre del Gestor]]&gt;1,VENTAS[[#This Row],[Total]]*10%,0)</f>
        <v>3</v>
      </c>
      <c r="K1399" s="35">
        <f>IFERROR(VLOOKUP(VENTAS[[#This Row],[Código del producto Vendido]],STOCK[],16,FALSE)*VENTAS[[#This Row],[Cantidad]]+VLOOKUP(VENTAS[[#This Row],[Código del producto Vendido]],STOCK[],19,FALSE)*VENTAS[[#This Row],[Cantidad]],VENTAS[[#This Row],[Total]])</f>
        <v>13.56</v>
      </c>
      <c r="L1399" s="35">
        <f>VENTAS[[#This Row],[Total]]-VENTAS[[#This Row],[Comisión 10%]]-VENTAS[[#This Row],[Costo SIN Comision]]</f>
        <v>13.44</v>
      </c>
      <c r="M1399" s="35"/>
    </row>
    <row r="1400" ht="20" customHeight="1" spans="1:13">
      <c r="A1400" s="29"/>
      <c r="B1400" s="30"/>
      <c r="C1400" s="30"/>
      <c r="D1400" s="30" t="s">
        <v>3640</v>
      </c>
      <c r="E1400" s="30" t="s">
        <v>1709</v>
      </c>
      <c r="F1400" s="34" t="str">
        <f>IFERROR(VLOOKUP(VENTAS[[#This Row],[Código del producto Vendido]],STOCK[],5,FALSE),"-")</f>
        <v>Vestido Asimétrico con cuerdas</v>
      </c>
      <c r="G1400" s="34">
        <v>1</v>
      </c>
      <c r="H1400" s="35">
        <v>13</v>
      </c>
      <c r="I1400" s="35">
        <f>VENTAS[[#This Row],[Cantidad]]*VENTAS[[#This Row],[Precio Venta]]</f>
        <v>13</v>
      </c>
      <c r="J1400" s="35">
        <f>IF(VENTAS[[#This Row],[Nombre del Gestor]]&gt;1,VENTAS[[#This Row],[Total]]*10%,0)</f>
        <v>1.3</v>
      </c>
      <c r="K1400" s="35">
        <f>IFERROR(VLOOKUP(VENTAS[[#This Row],[Código del producto Vendido]],STOCK[],16,FALSE)*VENTAS[[#This Row],[Cantidad]]+VLOOKUP(VENTAS[[#This Row],[Código del producto Vendido]],STOCK[],19,FALSE)*VENTAS[[#This Row],[Cantidad]],VENTAS[[#This Row],[Total]])</f>
        <v>12</v>
      </c>
      <c r="L1400" s="35">
        <f>VENTAS[[#This Row],[Total]]-VENTAS[[#This Row],[Comisión 10%]]-VENTAS[[#This Row],[Costo SIN Comision]]</f>
        <v>-0.300000000000001</v>
      </c>
      <c r="M1400" s="35"/>
    </row>
    <row r="1401" ht="20" customHeight="1" spans="1:13">
      <c r="A1401" s="29"/>
      <c r="B1401" s="30"/>
      <c r="C1401" s="30"/>
      <c r="D1401" s="30" t="s">
        <v>3640</v>
      </c>
      <c r="E1401" s="30" t="s">
        <v>1709</v>
      </c>
      <c r="F1401" s="34" t="str">
        <f>IFERROR(VLOOKUP(VENTAS[[#This Row],[Código del producto Vendido]],STOCK[],5,FALSE),"-")</f>
        <v>Vestido Asimétrico con cuerdas</v>
      </c>
      <c r="G1401" s="34">
        <v>1</v>
      </c>
      <c r="H1401" s="35">
        <v>13</v>
      </c>
      <c r="I1401" s="35">
        <f>VENTAS[[#This Row],[Cantidad]]*VENTAS[[#This Row],[Precio Venta]]</f>
        <v>13</v>
      </c>
      <c r="J1401" s="35">
        <f>IF(VENTAS[[#This Row],[Nombre del Gestor]]&gt;1,VENTAS[[#This Row],[Total]]*10%,0)</f>
        <v>1.3</v>
      </c>
      <c r="K1401" s="35">
        <f>IFERROR(VLOOKUP(VENTAS[[#This Row],[Código del producto Vendido]],STOCK[],16,FALSE)*VENTAS[[#This Row],[Cantidad]]+VLOOKUP(VENTAS[[#This Row],[Código del producto Vendido]],STOCK[],19,FALSE)*VENTAS[[#This Row],[Cantidad]],VENTAS[[#This Row],[Total]])</f>
        <v>12</v>
      </c>
      <c r="L1401" s="35">
        <f>VENTAS[[#This Row],[Total]]-VENTAS[[#This Row],[Comisión 10%]]-VENTAS[[#This Row],[Costo SIN Comision]]</f>
        <v>-0.300000000000001</v>
      </c>
      <c r="M1401" s="35"/>
    </row>
    <row r="1402" ht="20" customHeight="1" spans="1:13">
      <c r="A1402" s="29"/>
      <c r="B1402" s="30"/>
      <c r="C1402" s="30"/>
      <c r="D1402" s="30" t="s">
        <v>3640</v>
      </c>
      <c r="E1402" s="30" t="s">
        <v>2586</v>
      </c>
      <c r="F1402" s="34" t="str">
        <f>IFERROR(VLOOKUP(VENTAS[[#This Row],[Código del producto Vendido]],STOCK[],5,FALSE),"-")</f>
        <v>Vestido crochet Playero espalda descubierta</v>
      </c>
      <c r="G1402" s="34">
        <v>1</v>
      </c>
      <c r="H1402" s="35">
        <v>30</v>
      </c>
      <c r="I1402" s="35">
        <f>VENTAS[[#This Row],[Cantidad]]*VENTAS[[#This Row],[Precio Venta]]</f>
        <v>30</v>
      </c>
      <c r="J1402" s="35">
        <f>IF(VENTAS[[#This Row],[Nombre del Gestor]]&gt;1,VENTAS[[#This Row],[Total]]*10%,0)</f>
        <v>3</v>
      </c>
      <c r="K1402" s="35">
        <f>IFERROR(VLOOKUP(VENTAS[[#This Row],[Código del producto Vendido]],STOCK[],16,FALSE)*VENTAS[[#This Row],[Cantidad]]+VLOOKUP(VENTAS[[#This Row],[Código del producto Vendido]],STOCK[],19,FALSE)*VENTAS[[#This Row],[Cantidad]],VENTAS[[#This Row],[Total]])</f>
        <v>14.02</v>
      </c>
      <c r="L1402" s="35">
        <f>VENTAS[[#This Row],[Total]]-VENTAS[[#This Row],[Comisión 10%]]-VENTAS[[#This Row],[Costo SIN Comision]]</f>
        <v>12.98</v>
      </c>
      <c r="M1402" s="35"/>
    </row>
    <row r="1403" ht="20" customHeight="1" spans="1:13">
      <c r="A1403" s="29"/>
      <c r="B1403" s="30"/>
      <c r="C1403" s="30"/>
      <c r="D1403" s="30" t="s">
        <v>3640</v>
      </c>
      <c r="E1403" s="30" t="s">
        <v>716</v>
      </c>
      <c r="F1403" s="34" t="str">
        <f>IFERROR(VLOOKUP(VENTAS[[#This Row],[Código del producto Vendido]],STOCK[],5,FALSE),"-")</f>
        <v>Vestido bodycon</v>
      </c>
      <c r="G1403" s="34">
        <v>1</v>
      </c>
      <c r="H1403" s="35">
        <v>10</v>
      </c>
      <c r="I1403" s="35">
        <f>VENTAS[[#This Row],[Cantidad]]*VENTAS[[#This Row],[Precio Venta]]</f>
        <v>10</v>
      </c>
      <c r="J1403" s="35">
        <f>IF(VENTAS[[#This Row],[Nombre del Gestor]]&gt;1,VENTAS[[#This Row],[Total]]*10%,0)</f>
        <v>1</v>
      </c>
      <c r="K1403" s="35">
        <f>IFERROR(VLOOKUP(VENTAS[[#This Row],[Código del producto Vendido]],STOCK[],16,FALSE)*VENTAS[[#This Row],[Cantidad]]+VLOOKUP(VENTAS[[#This Row],[Código del producto Vendido]],STOCK[],19,FALSE)*VENTAS[[#This Row],[Cantidad]],VENTAS[[#This Row],[Total]])</f>
        <v>5.72222222222222</v>
      </c>
      <c r="L1403" s="35">
        <f>VENTAS[[#This Row],[Total]]-VENTAS[[#This Row],[Comisión 10%]]-VENTAS[[#This Row],[Costo SIN Comision]]</f>
        <v>3.27777777777778</v>
      </c>
      <c r="M1403" s="35"/>
    </row>
    <row r="1404" ht="20" customHeight="1" spans="1:13">
      <c r="A1404" s="29"/>
      <c r="B1404" s="30"/>
      <c r="C1404" s="30"/>
      <c r="D1404" s="30" t="s">
        <v>3640</v>
      </c>
      <c r="E1404" s="30" t="s">
        <v>716</v>
      </c>
      <c r="F1404" s="34" t="str">
        <f>IFERROR(VLOOKUP(VENTAS[[#This Row],[Código del producto Vendido]],STOCK[],5,FALSE),"-")</f>
        <v>Vestido bodycon</v>
      </c>
      <c r="G1404" s="34">
        <v>1</v>
      </c>
      <c r="H1404" s="35">
        <v>10</v>
      </c>
      <c r="I1404" s="35">
        <f>VENTAS[[#This Row],[Cantidad]]*VENTAS[[#This Row],[Precio Venta]]</f>
        <v>10</v>
      </c>
      <c r="J1404" s="35">
        <f>IF(VENTAS[[#This Row],[Nombre del Gestor]]&gt;1,VENTAS[[#This Row],[Total]]*10%,0)</f>
        <v>1</v>
      </c>
      <c r="K1404" s="35">
        <f>IFERROR(VLOOKUP(VENTAS[[#This Row],[Código del producto Vendido]],STOCK[],16,FALSE)*VENTAS[[#This Row],[Cantidad]]+VLOOKUP(VENTAS[[#This Row],[Código del producto Vendido]],STOCK[],19,FALSE)*VENTAS[[#This Row],[Cantidad]],VENTAS[[#This Row],[Total]])</f>
        <v>5.72222222222222</v>
      </c>
      <c r="L1404" s="35">
        <f>VENTAS[[#This Row],[Total]]-VENTAS[[#This Row],[Comisión 10%]]-VENTAS[[#This Row],[Costo SIN Comision]]</f>
        <v>3.27777777777778</v>
      </c>
      <c r="M1404" s="35"/>
    </row>
    <row r="1405" ht="20" customHeight="1" spans="1:13">
      <c r="A1405" s="29"/>
      <c r="B1405" s="30"/>
      <c r="C1405" s="30"/>
      <c r="D1405" s="30" t="s">
        <v>3640</v>
      </c>
      <c r="E1405" s="30" t="s">
        <v>2571</v>
      </c>
      <c r="F1405" s="34" t="str">
        <f>IFERROR(VLOOKUP(VENTAS[[#This Row],[Código del producto Vendido]],STOCK[],5,FALSE),"-")</f>
        <v>Vestido Largo con cinturón fruncido</v>
      </c>
      <c r="G1405" s="34">
        <v>1</v>
      </c>
      <c r="H1405" s="35">
        <v>30</v>
      </c>
      <c r="I1405" s="35">
        <f>VENTAS[[#This Row],[Cantidad]]*VENTAS[[#This Row],[Precio Venta]]</f>
        <v>30</v>
      </c>
      <c r="J1405" s="35">
        <f>IF(VENTAS[[#This Row],[Nombre del Gestor]]&gt;1,VENTAS[[#This Row],[Total]]*10%,0)</f>
        <v>3</v>
      </c>
      <c r="K1405" s="35">
        <f>IFERROR(VLOOKUP(VENTAS[[#This Row],[Código del producto Vendido]],STOCK[],16,FALSE)*VENTAS[[#This Row],[Cantidad]]+VLOOKUP(VENTAS[[#This Row],[Código del producto Vendido]],STOCK[],19,FALSE)*VENTAS[[#This Row],[Cantidad]],VENTAS[[#This Row],[Total]])</f>
        <v>13.66</v>
      </c>
      <c r="L1405" s="35">
        <f>VENTAS[[#This Row],[Total]]-VENTAS[[#This Row],[Comisión 10%]]-VENTAS[[#This Row],[Costo SIN Comision]]</f>
        <v>13.34</v>
      </c>
      <c r="M1405" s="35"/>
    </row>
    <row r="1406" ht="20" customHeight="1" spans="1:13">
      <c r="A1406" s="29"/>
      <c r="B1406" s="30"/>
      <c r="C1406" s="30"/>
      <c r="D1406" s="30"/>
      <c r="E1406" s="30" t="s">
        <v>2589</v>
      </c>
      <c r="F1406" s="34" t="str">
        <f>IFERROR(VLOOKUP(VENTAS[[#This Row],[Código del producto Vendido]],STOCK[],5,FALSE),"-")</f>
        <v>Vestido crochet Playero espalda descubierta</v>
      </c>
      <c r="G1406" s="34">
        <v>1</v>
      </c>
      <c r="H1406" s="35">
        <v>30</v>
      </c>
      <c r="I1406" s="35">
        <f>VENTAS[[#This Row],[Cantidad]]*VENTAS[[#This Row],[Precio Venta]]</f>
        <v>30</v>
      </c>
      <c r="J1406" s="35">
        <f>IF(VENTAS[[#This Row],[Nombre del Gestor]]&gt;1,VENTAS[[#This Row],[Total]]*10%,0)</f>
        <v>0</v>
      </c>
      <c r="K1406" s="35">
        <f>IFERROR(VLOOKUP(VENTAS[[#This Row],[Código del producto Vendido]],STOCK[],16,FALSE)*VENTAS[[#This Row],[Cantidad]]+VLOOKUP(VENTAS[[#This Row],[Código del producto Vendido]],STOCK[],19,FALSE)*VENTAS[[#This Row],[Cantidad]],VENTAS[[#This Row],[Total]])</f>
        <v>14.02</v>
      </c>
      <c r="L1406" s="35">
        <f>VENTAS[[#This Row],[Total]]-VENTAS[[#This Row],[Comisión 10%]]-VENTAS[[#This Row],[Costo SIN Comision]]</f>
        <v>15.98</v>
      </c>
      <c r="M1406" s="35"/>
    </row>
    <row r="1407" ht="20" customHeight="1" spans="1:13">
      <c r="A1407" s="29">
        <v>45534</v>
      </c>
      <c r="B1407" s="30"/>
      <c r="C1407" s="30"/>
      <c r="D1407" s="30" t="s">
        <v>3503</v>
      </c>
      <c r="E1407" s="30" t="s">
        <v>2097</v>
      </c>
      <c r="F1407" s="34" t="str">
        <f>IFERROR(VLOOKUP(VENTAS[[#This Row],[Código del producto Vendido]],STOCK[],5,FALSE),"-")</f>
        <v>Vestido acanalado de manga larga</v>
      </c>
      <c r="G1407" s="34">
        <v>1</v>
      </c>
      <c r="H1407" s="35">
        <v>25</v>
      </c>
      <c r="I1407" s="35">
        <f>VENTAS[[#This Row],[Cantidad]]*VENTAS[[#This Row],[Precio Venta]]</f>
        <v>25</v>
      </c>
      <c r="J1407" s="35">
        <f>IF(VENTAS[[#This Row],[Nombre del Gestor]]&gt;1,VENTAS[[#This Row],[Total]]*10%,0)</f>
        <v>2.5</v>
      </c>
      <c r="K1407" s="35">
        <f>IFERROR(VLOOKUP(VENTAS[[#This Row],[Código del producto Vendido]],STOCK[],16,FALSE)*VENTAS[[#This Row],[Cantidad]]+VLOOKUP(VENTAS[[#This Row],[Código del producto Vendido]],STOCK[],19,FALSE)*VENTAS[[#This Row],[Cantidad]],VENTAS[[#This Row],[Total]])</f>
        <v>18.1</v>
      </c>
      <c r="L1407" s="35">
        <f>VENTAS[[#This Row],[Total]]-VENTAS[[#This Row],[Comisión 10%]]-VENTAS[[#This Row],[Costo SIN Comision]]</f>
        <v>4.4</v>
      </c>
      <c r="M1407" s="35"/>
    </row>
    <row r="1408" ht="20" customHeight="1" spans="1:13">
      <c r="A1408" s="29"/>
      <c r="B1408" s="30"/>
      <c r="C1408" s="30" t="s">
        <v>3571</v>
      </c>
      <c r="D1408" s="30"/>
      <c r="E1408" s="30" t="s">
        <v>2662</v>
      </c>
      <c r="F1408" s="34" t="str">
        <f>IFERROR(VLOOKUP(VENTAS[[#This Row],[Código del producto Vendido]],STOCK[],5,FALSE),"-")</f>
        <v>Pullover mariposa multicolor algodón PRIMARK</v>
      </c>
      <c r="G1408" s="34">
        <v>1</v>
      </c>
      <c r="H1408" s="35">
        <v>13</v>
      </c>
      <c r="I1408" s="35">
        <f>VENTAS[[#This Row],[Cantidad]]*VENTAS[[#This Row],[Precio Venta]]</f>
        <v>13</v>
      </c>
      <c r="J1408" s="35">
        <f>IF(VENTAS[[#This Row],[Nombre del Gestor]]&gt;1,VENTAS[[#This Row],[Total]]*10%,0)</f>
        <v>0</v>
      </c>
      <c r="K1408" s="35">
        <f>IFERROR(VLOOKUP(VENTAS[[#This Row],[Código del producto Vendido]],STOCK[],16,FALSE)*VENTAS[[#This Row],[Cantidad]]+VLOOKUP(VENTAS[[#This Row],[Código del producto Vendido]],STOCK[],19,FALSE)*VENTAS[[#This Row],[Cantidad]],VENTAS[[#This Row],[Total]])</f>
        <v>7</v>
      </c>
      <c r="L1408" s="35">
        <f>VENTAS[[#This Row],[Total]]-VENTAS[[#This Row],[Comisión 10%]]-VENTAS[[#This Row],[Costo SIN Comision]]</f>
        <v>6</v>
      </c>
      <c r="M1408" s="35"/>
    </row>
    <row r="1409" ht="20" customHeight="1" spans="1:13">
      <c r="A1409" s="29">
        <v>45531</v>
      </c>
      <c r="B1409" s="30"/>
      <c r="C1409" s="30" t="s">
        <v>3642</v>
      </c>
      <c r="D1409" s="30" t="s">
        <v>3537</v>
      </c>
      <c r="E1409" s="30" t="s">
        <v>2705</v>
      </c>
      <c r="F1409" s="34" t="str">
        <f>IFERROR(VLOOKUP(VENTAS[[#This Row],[Código del producto Vendido]],STOCK[],5,FALSE),"-")</f>
        <v>Splash de Victoria Secret (Original) Pomegranate &amp; Lotus</v>
      </c>
      <c r="G1409" s="34">
        <v>1</v>
      </c>
      <c r="H1409" s="35">
        <v>22</v>
      </c>
      <c r="I1409" s="35">
        <f>VENTAS[[#This Row],[Cantidad]]*VENTAS[[#This Row],[Precio Venta]]</f>
        <v>22</v>
      </c>
      <c r="J1409" s="35">
        <f>IF(VENTAS[[#This Row],[Nombre del Gestor]]&gt;1,VENTAS[[#This Row],[Total]]*10%,0)</f>
        <v>2.2</v>
      </c>
      <c r="K1409" s="35">
        <f>IFERROR(VLOOKUP(VENTAS[[#This Row],[Código del producto Vendido]],STOCK[],16,FALSE)*VENTAS[[#This Row],[Cantidad]]+VLOOKUP(VENTAS[[#This Row],[Código del producto Vendido]],STOCK[],19,FALSE)*VENTAS[[#This Row],[Cantidad]],VENTAS[[#This Row],[Total]])</f>
        <v>9.22</v>
      </c>
      <c r="L1409" s="35">
        <f>VENTAS[[#This Row],[Total]]-VENTAS[[#This Row],[Comisión 10%]]-VENTAS[[#This Row],[Costo SIN Comision]]</f>
        <v>10.58</v>
      </c>
      <c r="M1409" s="35"/>
    </row>
    <row r="1410" ht="20" customHeight="1" spans="1:13">
      <c r="A1410" s="29">
        <v>45533</v>
      </c>
      <c r="B1410" s="29"/>
      <c r="C1410" s="30" t="s">
        <v>3643</v>
      </c>
      <c r="D1410" s="30" t="s">
        <v>3503</v>
      </c>
      <c r="E1410" s="30" t="s">
        <v>1326</v>
      </c>
      <c r="F1410" s="34" t="str">
        <f>IFERROR(VLOOKUP(VENTAS[[#This Row],[Código del producto Vendido]],STOCK[],5,FALSE),"-")</f>
        <v>Blusa de manga acampanada </v>
      </c>
      <c r="G1410" s="34">
        <v>1</v>
      </c>
      <c r="H1410" s="35">
        <v>17</v>
      </c>
      <c r="I1410" s="35">
        <f>VENTAS[[#This Row],[Cantidad]]*VENTAS[[#This Row],[Precio Venta]]</f>
        <v>17</v>
      </c>
      <c r="J1410" s="35">
        <f>IF(VENTAS[[#This Row],[Nombre del Gestor]]&gt;1,VENTAS[[#This Row],[Total]]*10%,0)</f>
        <v>1.7</v>
      </c>
      <c r="K1410" s="35">
        <f>IFERROR(VLOOKUP(VENTAS[[#This Row],[Código del producto Vendido]],STOCK[],16,FALSE)*VENTAS[[#This Row],[Cantidad]]+VLOOKUP(VENTAS[[#This Row],[Código del producto Vendido]],STOCK[],19,FALSE)*VENTAS[[#This Row],[Cantidad]],VENTAS[[#This Row],[Total]])</f>
        <v>13.24</v>
      </c>
      <c r="L1410" s="35">
        <f>VENTAS[[#This Row],[Total]]-VENTAS[[#This Row],[Comisión 10%]]-VENTAS[[#This Row],[Costo SIN Comision]]</f>
        <v>2.06</v>
      </c>
      <c r="M1410" s="35"/>
    </row>
    <row r="1411" ht="20" customHeight="1" spans="1:13">
      <c r="A1411" s="29"/>
      <c r="B1411" s="30"/>
      <c r="C1411" s="30" t="s">
        <v>3446</v>
      </c>
      <c r="D1411" s="30"/>
      <c r="E1411" s="30" t="s">
        <v>1503</v>
      </c>
      <c r="F1411" s="34" t="str">
        <f>IFERROR(VLOOKUP(VENTAS[[#This Row],[Código del producto Vendido]],STOCK[],5,FALSE),"-")</f>
        <v>Pullover Dazy cuello redondo Blanco</v>
      </c>
      <c r="G1411" s="34">
        <v>1</v>
      </c>
      <c r="H1411" s="35">
        <v>13</v>
      </c>
      <c r="I1411" s="35">
        <f>VENTAS[[#This Row],[Cantidad]]*VENTAS[[#This Row],[Precio Venta]]</f>
        <v>13</v>
      </c>
      <c r="J1411" s="35">
        <f>IF(VENTAS[[#This Row],[Nombre del Gestor]]&gt;1,VENTAS[[#This Row],[Total]]*10%,0)</f>
        <v>0</v>
      </c>
      <c r="K1411" s="35">
        <f>IFERROR(VLOOKUP(VENTAS[[#This Row],[Código del producto Vendido]],STOCK[],16,FALSE)*VENTAS[[#This Row],[Cantidad]]+VLOOKUP(VENTAS[[#This Row],[Código del producto Vendido]],STOCK[],19,FALSE)*VENTAS[[#This Row],[Cantidad]],VENTAS[[#This Row],[Total]])</f>
        <v>7.5</v>
      </c>
      <c r="L1411" s="35">
        <f>VENTAS[[#This Row],[Total]]-VENTAS[[#This Row],[Comisión 10%]]-VENTAS[[#This Row],[Costo SIN Comision]]</f>
        <v>5.5</v>
      </c>
      <c r="M1411" s="35"/>
    </row>
    <row r="1412" ht="20" customHeight="1" spans="1:13">
      <c r="A1412" s="29">
        <v>45533</v>
      </c>
      <c r="B1412" s="30"/>
      <c r="C1412" s="30" t="s">
        <v>3643</v>
      </c>
      <c r="D1412" s="30" t="s">
        <v>3503</v>
      </c>
      <c r="E1412" s="30" t="s">
        <v>1727</v>
      </c>
      <c r="F1412" s="34" t="str">
        <f>IFERROR(VLOOKUP(VENTAS[[#This Row],[Código del producto Vendido]],STOCK[],5,FALSE),"-")</f>
        <v>Chaleco de traje Crema</v>
      </c>
      <c r="G1412" s="34">
        <v>1</v>
      </c>
      <c r="H1412" s="35">
        <v>25</v>
      </c>
      <c r="I1412" s="35">
        <f>VENTAS[[#This Row],[Cantidad]]*VENTAS[[#This Row],[Precio Venta]]</f>
        <v>25</v>
      </c>
      <c r="J1412" s="35">
        <f>IF(VENTAS[[#This Row],[Nombre del Gestor]]&gt;1,VENTAS[[#This Row],[Total]]*10%,0)</f>
        <v>2.5</v>
      </c>
      <c r="K1412" s="35">
        <f>IFERROR(VLOOKUP(VENTAS[[#This Row],[Código del producto Vendido]],STOCK[],16,FALSE)*VENTAS[[#This Row],[Cantidad]]+VLOOKUP(VENTAS[[#This Row],[Código del producto Vendido]],STOCK[],19,FALSE)*VENTAS[[#This Row],[Cantidad]],VENTAS[[#This Row],[Total]])</f>
        <v>17.9411764705882</v>
      </c>
      <c r="L1412" s="35">
        <f>VENTAS[[#This Row],[Total]]-VENTAS[[#This Row],[Comisión 10%]]-VENTAS[[#This Row],[Costo SIN Comision]]</f>
        <v>4.5588235294118</v>
      </c>
      <c r="M1412" s="35"/>
    </row>
    <row r="1413" ht="20" customHeight="1" spans="1:13">
      <c r="A1413" s="29">
        <v>45536</v>
      </c>
      <c r="B1413" s="30"/>
      <c r="C1413" s="30"/>
      <c r="D1413" s="30" t="s">
        <v>3478</v>
      </c>
      <c r="E1413" s="30" t="s">
        <v>2450</v>
      </c>
      <c r="F1413" s="34" t="str">
        <f>IFERROR(VLOOKUP(VENTAS[[#This Row],[Código del producto Vendido]],STOCK[],5,FALSE),"-")</f>
        <v>Sandalias carmelitas de moda con correa de velcro</v>
      </c>
      <c r="G1413" s="34">
        <v>1</v>
      </c>
      <c r="H1413" s="35">
        <v>35</v>
      </c>
      <c r="I1413" s="35">
        <f>VENTAS[[#This Row],[Cantidad]]*VENTAS[[#This Row],[Precio Venta]]</f>
        <v>35</v>
      </c>
      <c r="J1413" s="35">
        <f>IF(VENTAS[[#This Row],[Nombre del Gestor]]&gt;1,VENTAS[[#This Row],[Total]]*10%,0)</f>
        <v>3.5</v>
      </c>
      <c r="K1413" s="35">
        <f>IFERROR(VLOOKUP(VENTAS[[#This Row],[Código del producto Vendido]],STOCK[],16,FALSE)*VENTAS[[#This Row],[Cantidad]]+VLOOKUP(VENTAS[[#This Row],[Código del producto Vendido]],STOCK[],19,FALSE)*VENTAS[[#This Row],[Cantidad]],VENTAS[[#This Row],[Total]])</f>
        <v>19.47</v>
      </c>
      <c r="L1413" s="35">
        <f>VENTAS[[#This Row],[Total]]-VENTAS[[#This Row],[Comisión 10%]]-VENTAS[[#This Row],[Costo SIN Comision]]</f>
        <v>12.03</v>
      </c>
      <c r="M1413" s="35"/>
    </row>
    <row r="1414" ht="20" customHeight="1" spans="1:13">
      <c r="A1414" s="29">
        <v>45536</v>
      </c>
      <c r="B1414" s="30"/>
      <c r="C1414" s="30"/>
      <c r="D1414" s="30" t="s">
        <v>3312</v>
      </c>
      <c r="E1414" s="30" t="s">
        <v>1438</v>
      </c>
      <c r="F1414" s="34" t="str">
        <f>IFERROR(VLOOKUP(VENTAS[[#This Row],[Código del producto Vendido]],STOCK[],5,FALSE),"-")</f>
        <v>Sandalias negras acolchadas Marca F21</v>
      </c>
      <c r="G1414" s="34">
        <v>1</v>
      </c>
      <c r="H1414" s="35">
        <v>27</v>
      </c>
      <c r="I1414" s="35">
        <f>VENTAS[[#This Row],[Cantidad]]*VENTAS[[#This Row],[Precio Venta]]</f>
        <v>27</v>
      </c>
      <c r="J1414" s="35">
        <f>IF(VENTAS[[#This Row],[Nombre del Gestor]]&gt;1,VENTAS[[#This Row],[Total]]*10%,0)</f>
        <v>2.7</v>
      </c>
      <c r="K1414" s="35">
        <f>IFERROR(VLOOKUP(VENTAS[[#This Row],[Código del producto Vendido]],STOCK[],16,FALSE)*VENTAS[[#This Row],[Cantidad]]+VLOOKUP(VENTAS[[#This Row],[Código del producto Vendido]],STOCK[],19,FALSE)*VENTAS[[#This Row],[Cantidad]],VENTAS[[#This Row],[Total]])</f>
        <v>12.49</v>
      </c>
      <c r="L1414" s="35">
        <f>VENTAS[[#This Row],[Total]]-VENTAS[[#This Row],[Comisión 10%]]-VENTAS[[#This Row],[Costo SIN Comision]]</f>
        <v>11.81</v>
      </c>
      <c r="M1414" s="35"/>
    </row>
    <row r="1415" ht="20" customHeight="1" spans="1:13">
      <c r="A1415" s="29">
        <v>45536</v>
      </c>
      <c r="B1415" s="30"/>
      <c r="C1415" s="30" t="s">
        <v>3515</v>
      </c>
      <c r="D1415" s="30" t="s">
        <v>3537</v>
      </c>
      <c r="E1415" s="30" t="s">
        <v>2700</v>
      </c>
      <c r="F1415" s="34" t="str">
        <f>IFERROR(VLOOKUP(VENTAS[[#This Row],[Código del producto Vendido]],STOCK[],5,FALSE),"-")</f>
        <v> Splash de Victoria Secret (Original) Strawberries &amp; Champagne</v>
      </c>
      <c r="G1415" s="34">
        <v>1</v>
      </c>
      <c r="H1415" s="35">
        <v>22</v>
      </c>
      <c r="I1415" s="35">
        <f>VENTAS[[#This Row],[Cantidad]]*VENTAS[[#This Row],[Precio Venta]]</f>
        <v>22</v>
      </c>
      <c r="J1415" s="35">
        <f>IF(VENTAS[[#This Row],[Nombre del Gestor]]&gt;1,VENTAS[[#This Row],[Total]]*10%,0)</f>
        <v>2.2</v>
      </c>
      <c r="K1415" s="35">
        <f>IFERROR(VLOOKUP(VENTAS[[#This Row],[Código del producto Vendido]],STOCK[],16,FALSE)*VENTAS[[#This Row],[Cantidad]]+VLOOKUP(VENTAS[[#This Row],[Código del producto Vendido]],STOCK[],19,FALSE)*VENTAS[[#This Row],[Cantidad]],VENTAS[[#This Row],[Total]])</f>
        <v>9.22</v>
      </c>
      <c r="L1415" s="35">
        <f>VENTAS[[#This Row],[Total]]-VENTAS[[#This Row],[Comisión 10%]]-VENTAS[[#This Row],[Costo SIN Comision]]</f>
        <v>10.58</v>
      </c>
      <c r="M1415" s="35"/>
    </row>
    <row r="1416" ht="20" customHeight="1" spans="1:13">
      <c r="A1416" s="29">
        <v>45534</v>
      </c>
      <c r="B1416" s="30"/>
      <c r="C1416" s="30"/>
      <c r="D1416" s="30" t="s">
        <v>3459</v>
      </c>
      <c r="E1416" s="30" t="s">
        <v>2683</v>
      </c>
      <c r="F1416" s="34" t="str">
        <f>IFERROR(VLOOKUP(VENTAS[[#This Row],[Código del producto Vendido]],STOCK[],5,FALSE),"-")</f>
        <v>Camisa verde oversize</v>
      </c>
      <c r="G1416" s="34">
        <v>1</v>
      </c>
      <c r="H1416" s="35">
        <v>22</v>
      </c>
      <c r="I1416" s="35">
        <f>VENTAS[[#This Row],[Cantidad]]*VENTAS[[#This Row],[Precio Venta]]</f>
        <v>22</v>
      </c>
      <c r="J1416" s="35">
        <f>IF(VENTAS[[#This Row],[Nombre del Gestor]]&gt;1,VENTAS[[#This Row],[Total]]*10%,0)</f>
        <v>2.2</v>
      </c>
      <c r="K1416" s="35">
        <f>IFERROR(VLOOKUP(VENTAS[[#This Row],[Código del producto Vendido]],STOCK[],16,FALSE)*VENTAS[[#This Row],[Cantidad]]+VLOOKUP(VENTAS[[#This Row],[Código del producto Vendido]],STOCK[],19,FALSE)*VENTAS[[#This Row],[Cantidad]],VENTAS[[#This Row],[Total]])</f>
        <v>12.69</v>
      </c>
      <c r="L1416" s="35">
        <f>VENTAS[[#This Row],[Total]]-VENTAS[[#This Row],[Comisión 10%]]-VENTAS[[#This Row],[Costo SIN Comision]]</f>
        <v>7.11</v>
      </c>
      <c r="M1416" s="35"/>
    </row>
    <row r="1417" ht="20" customHeight="1" spans="1:13">
      <c r="A1417" s="29">
        <v>45536</v>
      </c>
      <c r="B1417" s="30"/>
      <c r="C1417" s="30"/>
      <c r="D1417" s="30" t="s">
        <v>3509</v>
      </c>
      <c r="E1417" s="30" t="s">
        <v>2655</v>
      </c>
      <c r="F1417" s="34" t="str">
        <f>IFERROR(VLOOKUP(VENTAS[[#This Row],[Código del producto Vendido]],STOCK[],5,FALSE),"-")</f>
        <v>Sandalias de hebilla Pull&amp;Bear</v>
      </c>
      <c r="G1417" s="34">
        <v>1</v>
      </c>
      <c r="H1417" s="35">
        <v>40</v>
      </c>
      <c r="I1417" s="35">
        <f>VENTAS[[#This Row],[Cantidad]]*VENTAS[[#This Row],[Precio Venta]]</f>
        <v>40</v>
      </c>
      <c r="J1417" s="35">
        <f>IF(VENTAS[[#This Row],[Nombre del Gestor]]&gt;1,VENTAS[[#This Row],[Total]]*10%,0)</f>
        <v>4</v>
      </c>
      <c r="K1417" s="35">
        <f>IFERROR(VLOOKUP(VENTAS[[#This Row],[Código del producto Vendido]],STOCK[],16,FALSE)*VENTAS[[#This Row],[Cantidad]]+VLOOKUP(VENTAS[[#This Row],[Código del producto Vendido]],STOCK[],19,FALSE)*VENTAS[[#This Row],[Cantidad]],VENTAS[[#This Row],[Total]])</f>
        <v>28</v>
      </c>
      <c r="L1417" s="35">
        <f>VENTAS[[#This Row],[Total]]-VENTAS[[#This Row],[Comisión 10%]]-VENTAS[[#This Row],[Costo SIN Comision]]</f>
        <v>8</v>
      </c>
      <c r="M1417" s="35"/>
    </row>
    <row r="1418" ht="20" customHeight="1" spans="1:13">
      <c r="A1418" s="29">
        <v>45534</v>
      </c>
      <c r="B1418" s="30"/>
      <c r="C1418" s="30"/>
      <c r="D1418" s="30" t="s">
        <v>3459</v>
      </c>
      <c r="E1418" s="30" t="s">
        <v>2643</v>
      </c>
      <c r="F1418" s="34" t="str">
        <f>IFERROR(VLOOKUP(VENTAS[[#This Row],[Código del producto Vendido]],STOCK[],5,FALSE),"-")</f>
        <v>Camisa Oversize en mezcla de lino H&amp;M</v>
      </c>
      <c r="G1418" s="34">
        <v>1</v>
      </c>
      <c r="H1418" s="35">
        <v>25</v>
      </c>
      <c r="I1418" s="35">
        <f>VENTAS[[#This Row],[Cantidad]]*VENTAS[[#This Row],[Precio Venta]]</f>
        <v>25</v>
      </c>
      <c r="J1418" s="35">
        <f>IF(VENTAS[[#This Row],[Nombre del Gestor]]&gt;1,VENTAS[[#This Row],[Total]]*10%,0)</f>
        <v>2.5</v>
      </c>
      <c r="K1418" s="35">
        <f>IFERROR(VLOOKUP(VENTAS[[#This Row],[Código del producto Vendido]],STOCK[],16,FALSE)*VENTAS[[#This Row],[Cantidad]]+VLOOKUP(VENTAS[[#This Row],[Código del producto Vendido]],STOCK[],19,FALSE)*VENTAS[[#This Row],[Cantidad]],VENTAS[[#This Row],[Total]])</f>
        <v>11.96</v>
      </c>
      <c r="L1418" s="35">
        <f>VENTAS[[#This Row],[Total]]-VENTAS[[#This Row],[Comisión 10%]]-VENTAS[[#This Row],[Costo SIN Comision]]</f>
        <v>10.54</v>
      </c>
      <c r="M1418" s="35"/>
    </row>
    <row r="1419" ht="20" customHeight="1" spans="1:13">
      <c r="A1419" s="29">
        <v>45536</v>
      </c>
      <c r="B1419" s="30"/>
      <c r="C1419" s="30"/>
      <c r="D1419" s="30" t="s">
        <v>3448</v>
      </c>
      <c r="E1419" s="30" t="s">
        <v>2112</v>
      </c>
      <c r="F1419" s="34" t="str">
        <f>IFERROR(VLOOKUP(VENTAS[[#This Row],[Código del producto Vendido]],STOCK[],5,FALSE),"-")</f>
        <v>Flor TOTE fashion bag</v>
      </c>
      <c r="G1419" s="34">
        <v>1</v>
      </c>
      <c r="H1419" s="35">
        <v>12</v>
      </c>
      <c r="I1419" s="35">
        <f>VENTAS[[#This Row],[Cantidad]]*VENTAS[[#This Row],[Precio Venta]]</f>
        <v>12</v>
      </c>
      <c r="J1419" s="35">
        <f>IF(VENTAS[[#This Row],[Nombre del Gestor]]&gt;1,VENTAS[[#This Row],[Total]]*10%,0)</f>
        <v>1.2</v>
      </c>
      <c r="K1419" s="35">
        <f>IFERROR(VLOOKUP(VENTAS[[#This Row],[Código del producto Vendido]],STOCK[],16,FALSE)*VENTAS[[#This Row],[Cantidad]]+VLOOKUP(VENTAS[[#This Row],[Código del producto Vendido]],STOCK[],19,FALSE)*VENTAS[[#This Row],[Cantidad]],VENTAS[[#This Row],[Total]])</f>
        <v>3.77</v>
      </c>
      <c r="L1419" s="35">
        <f>VENTAS[[#This Row],[Total]]-VENTAS[[#This Row],[Comisión 10%]]-VENTAS[[#This Row],[Costo SIN Comision]]</f>
        <v>7.03</v>
      </c>
      <c r="M1419" s="35"/>
    </row>
    <row r="1420" ht="20" customHeight="1" spans="1:13">
      <c r="A1420" s="29"/>
      <c r="B1420" s="30"/>
      <c r="C1420" s="30" t="s">
        <v>3446</v>
      </c>
      <c r="D1420" s="30"/>
      <c r="E1420" s="30" t="s">
        <v>1780</v>
      </c>
      <c r="F1420" s="34" t="str">
        <f>IFERROR(VLOOKUP(VENTAS[[#This Row],[Código del producto Vendido]],STOCK[],5,FALSE),"-")</f>
        <v>Cinturón de hebilla redonda</v>
      </c>
      <c r="G1420" s="34">
        <v>1</v>
      </c>
      <c r="H1420" s="35">
        <v>10</v>
      </c>
      <c r="I1420" s="35">
        <f>VENTAS[[#This Row],[Cantidad]]*VENTAS[[#This Row],[Precio Venta]]</f>
        <v>10</v>
      </c>
      <c r="J1420" s="35">
        <f>IF(VENTAS[[#This Row],[Nombre del Gestor]]&gt;1,VENTAS[[#This Row],[Total]]*10%,0)</f>
        <v>0</v>
      </c>
      <c r="K1420" s="35">
        <f>IFERROR(VLOOKUP(VENTAS[[#This Row],[Código del producto Vendido]],STOCK[],16,FALSE)*VENTAS[[#This Row],[Cantidad]]+VLOOKUP(VENTAS[[#This Row],[Código del producto Vendido]],STOCK[],19,FALSE)*VENTAS[[#This Row],[Cantidad]],VENTAS[[#This Row],[Total]])</f>
        <v>3.82352941176471</v>
      </c>
      <c r="L1420" s="35">
        <f>VENTAS[[#This Row],[Total]]-VENTAS[[#This Row],[Comisión 10%]]-VENTAS[[#This Row],[Costo SIN Comision]]</f>
        <v>6.17647058823529</v>
      </c>
      <c r="M1420" s="35"/>
    </row>
    <row r="1421" ht="20" customHeight="1" spans="1:13">
      <c r="A1421" s="29">
        <v>45534</v>
      </c>
      <c r="B1421" s="30"/>
      <c r="C1421" s="30" t="s">
        <v>3623</v>
      </c>
      <c r="D1421" s="30" t="s">
        <v>3448</v>
      </c>
      <c r="E1421" s="30" t="s">
        <v>2592</v>
      </c>
      <c r="F1421" s="34" t="str">
        <f>IFERROR(VLOOKUP(VENTAS[[#This Row],[Código del producto Vendido]],STOCK[],5,FALSE),"-")</f>
        <v>Falda larga de visillo con maxi estampado de flor</v>
      </c>
      <c r="G1421" s="34">
        <v>1</v>
      </c>
      <c r="H1421" s="35">
        <v>25</v>
      </c>
      <c r="I1421" s="35">
        <f>VENTAS[[#This Row],[Cantidad]]*VENTAS[[#This Row],[Precio Venta]]</f>
        <v>25</v>
      </c>
      <c r="J1421" s="35">
        <f>IF(VENTAS[[#This Row],[Nombre del Gestor]]&gt;1,VENTAS[[#This Row],[Total]]*10%,0)</f>
        <v>2.5</v>
      </c>
      <c r="K1421" s="35">
        <f>IFERROR(VLOOKUP(VENTAS[[#This Row],[Código del producto Vendido]],STOCK[],16,FALSE)*VENTAS[[#This Row],[Cantidad]]+VLOOKUP(VENTAS[[#This Row],[Código del producto Vendido]],STOCK[],19,FALSE)*VENTAS[[#This Row],[Cantidad]],VENTAS[[#This Row],[Total]])</f>
        <v>14.46</v>
      </c>
      <c r="L1421" s="35">
        <f>VENTAS[[#This Row],[Total]]-VENTAS[[#This Row],[Comisión 10%]]-VENTAS[[#This Row],[Costo SIN Comision]]</f>
        <v>8.04</v>
      </c>
      <c r="M1421" s="35"/>
    </row>
    <row r="1422" ht="20" customHeight="1" spans="1:13">
      <c r="A1422" s="29">
        <v>45534</v>
      </c>
      <c r="B1422" s="30"/>
      <c r="C1422" s="30" t="s">
        <v>3643</v>
      </c>
      <c r="D1422" s="30" t="s">
        <v>3503</v>
      </c>
      <c r="E1422" s="30" t="s">
        <v>2508</v>
      </c>
      <c r="F1422" s="34" t="str">
        <f>IFERROR(VLOOKUP(VENTAS[[#This Row],[Código del producto Vendido]],STOCK[],5,FALSE),"-")</f>
        <v>Camisa elegante de listas</v>
      </c>
      <c r="G1422" s="34">
        <v>1</v>
      </c>
      <c r="H1422" s="35">
        <v>22</v>
      </c>
      <c r="I1422" s="35">
        <f>VENTAS[[#This Row],[Cantidad]]*VENTAS[[#This Row],[Precio Venta]]</f>
        <v>22</v>
      </c>
      <c r="J1422" s="35">
        <f>IF(VENTAS[[#This Row],[Nombre del Gestor]]&gt;1,VENTAS[[#This Row],[Total]]*10%,0)</f>
        <v>2.2</v>
      </c>
      <c r="K1422" s="35">
        <f>IFERROR(VLOOKUP(VENTAS[[#This Row],[Código del producto Vendido]],STOCK[],16,FALSE)*VENTAS[[#This Row],[Cantidad]]+VLOOKUP(VENTAS[[#This Row],[Código del producto Vendido]],STOCK[],19,FALSE)*VENTAS[[#This Row],[Cantidad]],VENTAS[[#This Row],[Total]])</f>
        <v>11.3</v>
      </c>
      <c r="L1422" s="35">
        <f>VENTAS[[#This Row],[Total]]-VENTAS[[#This Row],[Comisión 10%]]-VENTAS[[#This Row],[Costo SIN Comision]]</f>
        <v>8.5</v>
      </c>
      <c r="M1422" s="35"/>
    </row>
    <row r="1423" ht="20" customHeight="1" spans="1:13">
      <c r="A1423" s="29">
        <v>45534</v>
      </c>
      <c r="B1423" s="30"/>
      <c r="C1423" s="30"/>
      <c r="D1423" s="30" t="s">
        <v>3509</v>
      </c>
      <c r="E1423" s="30" t="s">
        <v>2530</v>
      </c>
      <c r="F1423" s="34" t="str">
        <f>IFERROR(VLOOKUP(VENTAS[[#This Row],[Código del producto Vendido]],STOCK[],5,FALSE),"-")</f>
        <v>Pullover corto unicolor carmelita</v>
      </c>
      <c r="G1423" s="34">
        <v>1</v>
      </c>
      <c r="H1423" s="35">
        <v>10</v>
      </c>
      <c r="I1423" s="35">
        <f>VENTAS[[#This Row],[Cantidad]]*VENTAS[[#This Row],[Precio Venta]]</f>
        <v>10</v>
      </c>
      <c r="J1423" s="35">
        <f>IF(VENTAS[[#This Row],[Nombre del Gestor]]&gt;1,VENTAS[[#This Row],[Total]]*10%,0)</f>
        <v>1</v>
      </c>
      <c r="K1423" s="35">
        <f>IFERROR(VLOOKUP(VENTAS[[#This Row],[Código del producto Vendido]],STOCK[],16,FALSE)*VENTAS[[#This Row],[Cantidad]]+VLOOKUP(VENTAS[[#This Row],[Código del producto Vendido]],STOCK[],19,FALSE)*VENTAS[[#This Row],[Cantidad]],VENTAS[[#This Row],[Total]])</f>
        <v>4.32</v>
      </c>
      <c r="L1423" s="35">
        <f>VENTAS[[#This Row],[Total]]-VENTAS[[#This Row],[Comisión 10%]]-VENTAS[[#This Row],[Costo SIN Comision]]</f>
        <v>4.68</v>
      </c>
      <c r="M1423" s="35"/>
    </row>
    <row r="1424" ht="20" customHeight="1" spans="1:13">
      <c r="A1424" s="29">
        <v>45534</v>
      </c>
      <c r="B1424" s="30"/>
      <c r="C1424" s="30"/>
      <c r="D1424" s="30" t="s">
        <v>3509</v>
      </c>
      <c r="E1424" s="30" t="s">
        <v>2534</v>
      </c>
      <c r="F1424" s="34" t="str">
        <f>IFERROR(VLOOKUP(VENTAS[[#This Row],[Código del producto Vendido]],STOCK[],5,FALSE),"-")</f>
        <v>Pullover corto unicolor blanco</v>
      </c>
      <c r="G1424" s="34">
        <v>1</v>
      </c>
      <c r="H1424" s="35">
        <v>10</v>
      </c>
      <c r="I1424" s="35">
        <f>VENTAS[[#This Row],[Cantidad]]*VENTAS[[#This Row],[Precio Venta]]</f>
        <v>10</v>
      </c>
      <c r="J1424" s="35">
        <f>IF(VENTAS[[#This Row],[Nombre del Gestor]]&gt;1,VENTAS[[#This Row],[Total]]*10%,0)</f>
        <v>1</v>
      </c>
      <c r="K1424" s="35">
        <f>IFERROR(VLOOKUP(VENTAS[[#This Row],[Código del producto Vendido]],STOCK[],16,FALSE)*VENTAS[[#This Row],[Cantidad]]+VLOOKUP(VENTAS[[#This Row],[Código del producto Vendido]],STOCK[],19,FALSE)*VENTAS[[#This Row],[Cantidad]],VENTAS[[#This Row],[Total]])</f>
        <v>4.32</v>
      </c>
      <c r="L1424" s="35">
        <f>VENTAS[[#This Row],[Total]]-VENTAS[[#This Row],[Comisión 10%]]-VENTAS[[#This Row],[Costo SIN Comision]]</f>
        <v>4.68</v>
      </c>
      <c r="M1424" s="35"/>
    </row>
    <row r="1425" ht="20" customHeight="1" spans="1:13">
      <c r="A1425" s="29">
        <v>45540</v>
      </c>
      <c r="B1425" s="30"/>
      <c r="C1425" s="30" t="s">
        <v>3644</v>
      </c>
      <c r="D1425" s="30" t="s">
        <v>3537</v>
      </c>
      <c r="E1425" s="30" t="s">
        <v>496</v>
      </c>
      <c r="F1425" s="34" t="str">
        <f>IFERROR(VLOOKUP(VENTAS[[#This Row],[Código del producto Vendido]],STOCK[],5,FALSE),"-")</f>
        <v>Bikini estampado de cebra</v>
      </c>
      <c r="G1425" s="34">
        <v>1</v>
      </c>
      <c r="H1425" s="35">
        <v>12</v>
      </c>
      <c r="I1425" s="35">
        <f>VENTAS[[#This Row],[Cantidad]]*VENTAS[[#This Row],[Precio Venta]]</f>
        <v>12</v>
      </c>
      <c r="J1425" s="35">
        <f>IF(VENTAS[[#This Row],[Nombre del Gestor]]&gt;1,VENTAS[[#This Row],[Total]]*10%,0)</f>
        <v>1.2</v>
      </c>
      <c r="K1425" s="35">
        <f>IFERROR(VLOOKUP(VENTAS[[#This Row],[Código del producto Vendido]],STOCK[],16,FALSE)*VENTAS[[#This Row],[Cantidad]]+VLOOKUP(VENTAS[[#This Row],[Código del producto Vendido]],STOCK[],19,FALSE)*VENTAS[[#This Row],[Cantidad]],VENTAS[[#This Row],[Total]])</f>
        <v>8.78722222222222</v>
      </c>
      <c r="L1425" s="35">
        <f>VENTAS[[#This Row],[Total]]-VENTAS[[#This Row],[Comisión 10%]]-VENTAS[[#This Row],[Costo SIN Comision]]</f>
        <v>2.01277777777778</v>
      </c>
      <c r="M1425" s="35"/>
    </row>
    <row r="1426" ht="20" customHeight="1" spans="1:13">
      <c r="A1426" s="29">
        <v>45540</v>
      </c>
      <c r="B1426" s="30"/>
      <c r="C1426" s="30" t="s">
        <v>3645</v>
      </c>
      <c r="D1426" s="30" t="s">
        <v>3537</v>
      </c>
      <c r="E1426" s="30" t="s">
        <v>815</v>
      </c>
      <c r="F1426" s="34" t="str">
        <f>IFERROR(VLOOKUP(VENTAS[[#This Row],[Código del producto Vendido]],STOCK[],5,FALSE),"-")</f>
        <v>Blusa verde menta vuelos</v>
      </c>
      <c r="G1426" s="34">
        <v>1</v>
      </c>
      <c r="H1426" s="35">
        <v>10</v>
      </c>
      <c r="I1426" s="35">
        <f>VENTAS[[#This Row],[Cantidad]]*VENTAS[[#This Row],[Precio Venta]]</f>
        <v>10</v>
      </c>
      <c r="J1426" s="35">
        <f>IF(VENTAS[[#This Row],[Nombre del Gestor]]&gt;1,VENTAS[[#This Row],[Total]]*10%,0)</f>
        <v>1</v>
      </c>
      <c r="K1426" s="35">
        <f>IFERROR(VLOOKUP(VENTAS[[#This Row],[Código del producto Vendido]],STOCK[],16,FALSE)*VENTAS[[#This Row],[Cantidad]]+VLOOKUP(VENTAS[[#This Row],[Código del producto Vendido]],STOCK[],19,FALSE)*VENTAS[[#This Row],[Cantidad]],VENTAS[[#This Row],[Total]])</f>
        <v>6.77777777777778</v>
      </c>
      <c r="L1426" s="35">
        <f>VENTAS[[#This Row],[Total]]-VENTAS[[#This Row],[Comisión 10%]]-VENTAS[[#This Row],[Costo SIN Comision]]</f>
        <v>2.22222222222222</v>
      </c>
      <c r="M1426" s="35"/>
    </row>
    <row r="1427" ht="20" customHeight="1" spans="1:13">
      <c r="A1427" s="29">
        <v>45540</v>
      </c>
      <c r="B1427" s="30"/>
      <c r="C1427" s="30" t="s">
        <v>3646</v>
      </c>
      <c r="D1427" s="30" t="s">
        <v>3521</v>
      </c>
      <c r="E1427" s="30" t="s">
        <v>815</v>
      </c>
      <c r="F1427" s="34" t="str">
        <f>IFERROR(VLOOKUP(VENTAS[[#This Row],[Código del producto Vendido]],STOCK[],5,FALSE),"-")</f>
        <v>Blusa verde menta vuelos</v>
      </c>
      <c r="G1427" s="34">
        <v>1</v>
      </c>
      <c r="H1427" s="35">
        <v>10</v>
      </c>
      <c r="I1427" s="35">
        <f>VENTAS[[#This Row],[Cantidad]]*VENTAS[[#This Row],[Precio Venta]]</f>
        <v>10</v>
      </c>
      <c r="J1427" s="35">
        <f>IF(VENTAS[[#This Row],[Nombre del Gestor]]&gt;1,VENTAS[[#This Row],[Total]]*10%,0)</f>
        <v>1</v>
      </c>
      <c r="K1427" s="35">
        <f>IFERROR(VLOOKUP(VENTAS[[#This Row],[Código del producto Vendido]],STOCK[],16,FALSE)*VENTAS[[#This Row],[Cantidad]]+VLOOKUP(VENTAS[[#This Row],[Código del producto Vendido]],STOCK[],19,FALSE)*VENTAS[[#This Row],[Cantidad]],VENTAS[[#This Row],[Total]])</f>
        <v>6.77777777777778</v>
      </c>
      <c r="L1427" s="35">
        <f>VENTAS[[#This Row],[Total]]-VENTAS[[#This Row],[Comisión 10%]]-VENTAS[[#This Row],[Costo SIN Comision]]</f>
        <v>2.22222222222222</v>
      </c>
      <c r="M1427" s="35"/>
    </row>
    <row r="1428" ht="20" customHeight="1" spans="1:13">
      <c r="A1428" s="29">
        <v>45539</v>
      </c>
      <c r="B1428" s="30"/>
      <c r="C1428" s="30" t="s">
        <v>3626</v>
      </c>
      <c r="D1428" s="30" t="s">
        <v>3521</v>
      </c>
      <c r="E1428" s="30" t="s">
        <v>2613</v>
      </c>
      <c r="F1428" s="34" t="str">
        <f>IFERROR(VLOOKUP(VENTAS[[#This Row],[Código del producto Vendido]],STOCK[],5,FALSE),"-")</f>
        <v>Vestido Blanco en Bordado Inglés</v>
      </c>
      <c r="G1428" s="34">
        <v>1</v>
      </c>
      <c r="H1428" s="35">
        <v>25</v>
      </c>
      <c r="I1428" s="35">
        <f>VENTAS[[#This Row],[Cantidad]]*VENTAS[[#This Row],[Precio Venta]]</f>
        <v>25</v>
      </c>
      <c r="J1428" s="35">
        <f>IF(VENTAS[[#This Row],[Nombre del Gestor]]&gt;1,VENTAS[[#This Row],[Total]]*10%,0)</f>
        <v>2.5</v>
      </c>
      <c r="K1428" s="35">
        <f>IFERROR(VLOOKUP(VENTAS[[#This Row],[Código del producto Vendido]],STOCK[],16,FALSE)*VENTAS[[#This Row],[Cantidad]]+VLOOKUP(VENTAS[[#This Row],[Código del producto Vendido]],STOCK[],19,FALSE)*VENTAS[[#This Row],[Cantidad]],VENTAS[[#This Row],[Total]])</f>
        <v>13.48</v>
      </c>
      <c r="L1428" s="35">
        <f>VENTAS[[#This Row],[Total]]-VENTAS[[#This Row],[Comisión 10%]]-VENTAS[[#This Row],[Costo SIN Comision]]</f>
        <v>9.02</v>
      </c>
      <c r="M1428" s="35"/>
    </row>
    <row r="1429" ht="20" customHeight="1" spans="1:13">
      <c r="A1429" s="29">
        <v>45542</v>
      </c>
      <c r="B1429" s="30"/>
      <c r="C1429" s="30" t="s">
        <v>3647</v>
      </c>
      <c r="D1429" s="30" t="s">
        <v>3537</v>
      </c>
      <c r="E1429" s="30" t="s">
        <v>2415</v>
      </c>
      <c r="F1429" s="34" t="str">
        <f>IFERROR(VLOOKUP(VENTAS[[#This Row],[Código del producto Vendido]],STOCK[],5,FALSE),"-")</f>
        <v>Camisa blanca en mezcla de algodón</v>
      </c>
      <c r="G1429" s="34">
        <v>1</v>
      </c>
      <c r="H1429" s="35">
        <v>25</v>
      </c>
      <c r="I1429" s="35">
        <f>VENTAS[[#This Row],[Cantidad]]*VENTAS[[#This Row],[Precio Venta]]</f>
        <v>25</v>
      </c>
      <c r="J1429" s="35">
        <f>IF(VENTAS[[#This Row],[Nombre del Gestor]]&gt;1,VENTAS[[#This Row],[Total]]*10%,0)</f>
        <v>2.5</v>
      </c>
      <c r="K1429" s="35">
        <f>IFERROR(VLOOKUP(VENTAS[[#This Row],[Código del producto Vendido]],STOCK[],16,FALSE)*VENTAS[[#This Row],[Cantidad]]+VLOOKUP(VENTAS[[#This Row],[Código del producto Vendido]],STOCK[],19,FALSE)*VENTAS[[#This Row],[Cantidad]],VENTAS[[#This Row],[Total]])</f>
        <v>17.7808108108108</v>
      </c>
      <c r="L1429" s="35">
        <f>VENTAS[[#This Row],[Total]]-VENTAS[[#This Row],[Comisión 10%]]-VENTAS[[#This Row],[Costo SIN Comision]]</f>
        <v>4.7191891891892</v>
      </c>
      <c r="M1429" s="35"/>
    </row>
    <row r="1430" ht="20" customHeight="1" spans="1:13">
      <c r="A1430" s="29">
        <v>45542</v>
      </c>
      <c r="B1430" s="30"/>
      <c r="C1430" s="30" t="s">
        <v>3648</v>
      </c>
      <c r="D1430" s="30" t="s">
        <v>3448</v>
      </c>
      <c r="E1430" s="30" t="s">
        <v>1612</v>
      </c>
      <c r="F1430" s="34" t="str">
        <f>IFERROR(VLOOKUP(VENTAS[[#This Row],[Código del producto Vendido]],STOCK[],5,FALSE),"-")</f>
        <v>Camisa Modely</v>
      </c>
      <c r="G1430" s="34">
        <v>1</v>
      </c>
      <c r="H1430" s="35">
        <v>20</v>
      </c>
      <c r="I1430" s="35">
        <f>VENTAS[[#This Row],[Cantidad]]*VENTAS[[#This Row],[Precio Venta]]</f>
        <v>20</v>
      </c>
      <c r="J1430" s="35">
        <f>IF(VENTAS[[#This Row],[Nombre del Gestor]]&gt;1,VENTAS[[#This Row],[Total]]*10%,0)</f>
        <v>2</v>
      </c>
      <c r="K1430" s="35">
        <f>IFERROR(VLOOKUP(VENTAS[[#This Row],[Código del producto Vendido]],STOCK[],16,FALSE)*VENTAS[[#This Row],[Cantidad]]+VLOOKUP(VENTAS[[#This Row],[Código del producto Vendido]],STOCK[],19,FALSE)*VENTAS[[#This Row],[Cantidad]],VENTAS[[#This Row],[Total]])</f>
        <v>9.74</v>
      </c>
      <c r="L1430" s="35">
        <f>VENTAS[[#This Row],[Total]]-VENTAS[[#This Row],[Comisión 10%]]-VENTAS[[#This Row],[Costo SIN Comision]]</f>
        <v>8.26</v>
      </c>
      <c r="M1430" s="35"/>
    </row>
    <row r="1431" ht="20" customHeight="1" spans="1:13">
      <c r="A1431" s="29">
        <v>45541</v>
      </c>
      <c r="B1431" s="30"/>
      <c r="C1431" s="30" t="s">
        <v>3252</v>
      </c>
      <c r="D1431" s="30"/>
      <c r="E1431" s="30" t="s">
        <v>1746</v>
      </c>
      <c r="F1431" s="34" t="str">
        <f>IFERROR(VLOOKUP(VENTAS[[#This Row],[Código del producto Vendido]],STOCK[],5,FALSE),"-")</f>
        <v>Traje de baño Oliva</v>
      </c>
      <c r="G1431" s="34">
        <v>1</v>
      </c>
      <c r="H1431" s="35">
        <v>0</v>
      </c>
      <c r="I1431" s="35">
        <f>VENTAS[[#This Row],[Cantidad]]*VENTAS[[#This Row],[Precio Venta]]</f>
        <v>0</v>
      </c>
      <c r="J1431" s="35">
        <f>IF(VENTAS[[#This Row],[Nombre del Gestor]]&gt;1,VENTAS[[#This Row],[Total]]*10%,0)</f>
        <v>0</v>
      </c>
      <c r="K1431" s="35">
        <f>IFERROR(VLOOKUP(VENTAS[[#This Row],[Código del producto Vendido]],STOCK[],16,FALSE)*VENTAS[[#This Row],[Cantidad]]+VLOOKUP(VENTAS[[#This Row],[Código del producto Vendido]],STOCK[],19,FALSE)*VENTAS[[#This Row],[Cantidad]],VENTAS[[#This Row],[Total]])</f>
        <v>29</v>
      </c>
      <c r="L1431" s="35">
        <f>VENTAS[[#This Row],[Total]]-VENTAS[[#This Row],[Comisión 10%]]-VENTAS[[#This Row],[Costo SIN Comision]]</f>
        <v>-29</v>
      </c>
      <c r="M1431" s="35"/>
    </row>
    <row r="1432" ht="20" customHeight="1" spans="1:13">
      <c r="A1432" s="29">
        <v>45541</v>
      </c>
      <c r="B1432" s="30"/>
      <c r="C1432" s="30" t="s">
        <v>3649</v>
      </c>
      <c r="D1432" s="30" t="s">
        <v>3503</v>
      </c>
      <c r="E1432" s="30" t="s">
        <v>1736</v>
      </c>
      <c r="F1432" s="34" t="str">
        <f>IFERROR(VLOOKUP(VENTAS[[#This Row],[Código del producto Vendido]],STOCK[],5,FALSE),"-")</f>
        <v>Chaleco de traje Blanco</v>
      </c>
      <c r="G1432" s="34">
        <v>1</v>
      </c>
      <c r="H1432" s="35">
        <v>25</v>
      </c>
      <c r="I1432" s="35">
        <f>VENTAS[[#This Row],[Cantidad]]*VENTAS[[#This Row],[Precio Venta]]</f>
        <v>25</v>
      </c>
      <c r="J1432" s="35">
        <f>IF(VENTAS[[#This Row],[Nombre del Gestor]]&gt;1,VENTAS[[#This Row],[Total]]*10%,0)</f>
        <v>2.5</v>
      </c>
      <c r="K1432" s="35">
        <f>IFERROR(VLOOKUP(VENTAS[[#This Row],[Código del producto Vendido]],STOCK[],16,FALSE)*VENTAS[[#This Row],[Cantidad]]+VLOOKUP(VENTAS[[#This Row],[Código del producto Vendido]],STOCK[],19,FALSE)*VENTAS[[#This Row],[Cantidad]],VENTAS[[#This Row],[Total]])</f>
        <v>17.9411764705882</v>
      </c>
      <c r="L1432" s="35">
        <f>VENTAS[[#This Row],[Total]]-VENTAS[[#This Row],[Comisión 10%]]-VENTAS[[#This Row],[Costo SIN Comision]]</f>
        <v>4.5588235294118</v>
      </c>
      <c r="M1432" s="35"/>
    </row>
    <row r="1433" ht="20" customHeight="1" spans="1:13">
      <c r="A1433" s="29">
        <v>45541</v>
      </c>
      <c r="B1433" s="30"/>
      <c r="C1433" s="30" t="s">
        <v>3649</v>
      </c>
      <c r="D1433" s="30" t="s">
        <v>3503</v>
      </c>
      <c r="E1433" s="30" t="s">
        <v>1733</v>
      </c>
      <c r="F1433" s="34" t="str">
        <f>IFERROR(VLOOKUP(VENTAS[[#This Row],[Código del producto Vendido]],STOCK[],5,FALSE),"-")</f>
        <v>Chaleco de traje Negro</v>
      </c>
      <c r="G1433" s="34">
        <v>1</v>
      </c>
      <c r="H1433" s="35">
        <v>25</v>
      </c>
      <c r="I1433" s="35">
        <f>VENTAS[[#This Row],[Cantidad]]*VENTAS[[#This Row],[Precio Venta]]</f>
        <v>25</v>
      </c>
      <c r="J1433" s="35">
        <f>IF(VENTAS[[#This Row],[Nombre del Gestor]]&gt;1,VENTAS[[#This Row],[Total]]*10%,0)</f>
        <v>2.5</v>
      </c>
      <c r="K1433" s="35">
        <f>IFERROR(VLOOKUP(VENTAS[[#This Row],[Código del producto Vendido]],STOCK[],16,FALSE)*VENTAS[[#This Row],[Cantidad]]+VLOOKUP(VENTAS[[#This Row],[Código del producto Vendido]],STOCK[],19,FALSE)*VENTAS[[#This Row],[Cantidad]],VENTAS[[#This Row],[Total]])</f>
        <v>17.9411764705882</v>
      </c>
      <c r="L1433" s="35">
        <f>VENTAS[[#This Row],[Total]]-VENTAS[[#This Row],[Comisión 10%]]-VENTAS[[#This Row],[Costo SIN Comision]]</f>
        <v>4.5588235294118</v>
      </c>
      <c r="M1433" s="35"/>
    </row>
    <row r="1434" ht="20" customHeight="1" spans="1:13">
      <c r="A1434" s="29">
        <v>45542</v>
      </c>
      <c r="B1434" s="30"/>
      <c r="C1434" s="30" t="s">
        <v>3648</v>
      </c>
      <c r="D1434" s="30" t="s">
        <v>3448</v>
      </c>
      <c r="E1434" s="30" t="s">
        <v>2630</v>
      </c>
      <c r="F1434" s="34" t="str">
        <f>IFERROR(VLOOKUP(VENTAS[[#This Row],[Código del producto Vendido]],STOCK[],5,FALSE),"-")</f>
        <v>Pantalón Caqui de Pierna Ancha De Talle Alto y Bolsillos H&amp;M</v>
      </c>
      <c r="G1434" s="34">
        <v>1</v>
      </c>
      <c r="H1434" s="35">
        <v>35</v>
      </c>
      <c r="I1434" s="35">
        <f>VENTAS[[#This Row],[Cantidad]]*VENTAS[[#This Row],[Precio Venta]]</f>
        <v>35</v>
      </c>
      <c r="J1434" s="35">
        <f>IF(VENTAS[[#This Row],[Nombre del Gestor]]&gt;1,VENTAS[[#This Row],[Total]]*10%,0)</f>
        <v>3.5</v>
      </c>
      <c r="K1434" s="35">
        <f>IFERROR(VLOOKUP(VENTAS[[#This Row],[Código del producto Vendido]],STOCK[],16,FALSE)*VENTAS[[#This Row],[Cantidad]]+VLOOKUP(VENTAS[[#This Row],[Código del producto Vendido]],STOCK[],19,FALSE)*VENTAS[[#This Row],[Cantidad]],VENTAS[[#This Row],[Total]])</f>
        <v>20.96</v>
      </c>
      <c r="L1434" s="35">
        <f>VENTAS[[#This Row],[Total]]-VENTAS[[#This Row],[Comisión 10%]]-VENTAS[[#This Row],[Costo SIN Comision]]</f>
        <v>10.54</v>
      </c>
      <c r="M1434" s="35"/>
    </row>
    <row r="1435" ht="20" customHeight="1" spans="1:13">
      <c r="A1435" s="29">
        <v>45541</v>
      </c>
      <c r="B1435" s="30"/>
      <c r="C1435" s="30" t="s">
        <v>3650</v>
      </c>
      <c r="D1435" s="30" t="s">
        <v>3448</v>
      </c>
      <c r="E1435" s="30" t="s">
        <v>2604</v>
      </c>
      <c r="F1435" s="34" t="str">
        <f>IFERROR(VLOOKUP(VENTAS[[#This Row],[Código del producto Vendido]],STOCK[],5,FALSE),"-")</f>
        <v>Vestido crema ajustado de hombro torcido</v>
      </c>
      <c r="G1435" s="34">
        <v>1</v>
      </c>
      <c r="H1435" s="35">
        <v>25</v>
      </c>
      <c r="I1435" s="35">
        <f>VENTAS[[#This Row],[Cantidad]]*VENTAS[[#This Row],[Precio Venta]]</f>
        <v>25</v>
      </c>
      <c r="J1435" s="35">
        <f>IF(VENTAS[[#This Row],[Nombre del Gestor]]&gt;1,VENTAS[[#This Row],[Total]]*10%,0)</f>
        <v>2.5</v>
      </c>
      <c r="K1435" s="35">
        <f>IFERROR(VLOOKUP(VENTAS[[#This Row],[Código del producto Vendido]],STOCK[],16,FALSE)*VENTAS[[#This Row],[Cantidad]]+VLOOKUP(VENTAS[[#This Row],[Código del producto Vendido]],STOCK[],19,FALSE)*VENTAS[[#This Row],[Cantidad]],VENTAS[[#This Row],[Total]])</f>
        <v>13.44</v>
      </c>
      <c r="L1435" s="35">
        <f>VENTAS[[#This Row],[Total]]-VENTAS[[#This Row],[Comisión 10%]]-VENTAS[[#This Row],[Costo SIN Comision]]</f>
        <v>9.06</v>
      </c>
      <c r="M1435" s="35"/>
    </row>
    <row r="1436" ht="20" customHeight="1" spans="1:13">
      <c r="A1436" s="29">
        <v>45541</v>
      </c>
      <c r="B1436" s="30"/>
      <c r="C1436" s="30" t="s">
        <v>3651</v>
      </c>
      <c r="D1436" s="30" t="s">
        <v>3478</v>
      </c>
      <c r="E1436" s="30" t="s">
        <v>2660</v>
      </c>
      <c r="F1436" s="34" t="str">
        <f>IFERROR(VLOOKUP(VENTAS[[#This Row],[Código del producto Vendido]],STOCK[],5,FALSE),"-")</f>
        <v>Pullover negro acanalado de algodón PRIMARK</v>
      </c>
      <c r="G1436" s="34">
        <v>1</v>
      </c>
      <c r="H1436" s="35">
        <v>13</v>
      </c>
      <c r="I1436" s="35">
        <f>VENTAS[[#This Row],[Cantidad]]*VENTAS[[#This Row],[Precio Venta]]</f>
        <v>13</v>
      </c>
      <c r="J1436" s="35">
        <f>IF(VENTAS[[#This Row],[Nombre del Gestor]]&gt;1,VENTAS[[#This Row],[Total]]*10%,0)</f>
        <v>1.3</v>
      </c>
      <c r="K1436" s="35">
        <f>IFERROR(VLOOKUP(VENTAS[[#This Row],[Código del producto Vendido]],STOCK[],16,FALSE)*VENTAS[[#This Row],[Cantidad]]+VLOOKUP(VENTAS[[#This Row],[Código del producto Vendido]],STOCK[],19,FALSE)*VENTAS[[#This Row],[Cantidad]],VENTAS[[#This Row],[Total]])</f>
        <v>7</v>
      </c>
      <c r="L1436" s="35">
        <f>VENTAS[[#This Row],[Total]]-VENTAS[[#This Row],[Comisión 10%]]-VENTAS[[#This Row],[Costo SIN Comision]]</f>
        <v>4.7</v>
      </c>
      <c r="M1436" s="35"/>
    </row>
    <row r="1437" ht="20" customHeight="1" spans="1:13">
      <c r="A1437" s="29">
        <v>45541</v>
      </c>
      <c r="B1437" s="30"/>
      <c r="C1437" s="30" t="s">
        <v>3651</v>
      </c>
      <c r="D1437" s="30" t="s">
        <v>3478</v>
      </c>
      <c r="E1437" s="30" t="s">
        <v>2542</v>
      </c>
      <c r="F1437" s="34" t="str">
        <f>IFERROR(VLOOKUP(VENTAS[[#This Row],[Código del producto Vendido]],STOCK[],5,FALSE),"-")</f>
        <v>Pullover largo unicolor tela traslúcida negro</v>
      </c>
      <c r="G1437" s="34">
        <v>1</v>
      </c>
      <c r="H1437" s="35">
        <v>10</v>
      </c>
      <c r="I1437" s="35">
        <f>VENTAS[[#This Row],[Cantidad]]*VENTAS[[#This Row],[Precio Venta]]</f>
        <v>10</v>
      </c>
      <c r="J1437" s="35">
        <f>IF(VENTAS[[#This Row],[Nombre del Gestor]]&gt;1,VENTAS[[#This Row],[Total]]*10%,0)</f>
        <v>1</v>
      </c>
      <c r="K1437" s="35">
        <f>IFERROR(VLOOKUP(VENTAS[[#This Row],[Código del producto Vendido]],STOCK[],16,FALSE)*VENTAS[[#This Row],[Cantidad]]+VLOOKUP(VENTAS[[#This Row],[Código del producto Vendido]],STOCK[],19,FALSE)*VENTAS[[#This Row],[Cantidad]],VENTAS[[#This Row],[Total]])</f>
        <v>4.32</v>
      </c>
      <c r="L1437" s="35">
        <f>VENTAS[[#This Row],[Total]]-VENTAS[[#This Row],[Comisión 10%]]-VENTAS[[#This Row],[Costo SIN Comision]]</f>
        <v>4.68</v>
      </c>
      <c r="M1437" s="35"/>
    </row>
    <row r="1438" ht="20" customHeight="1" spans="1:13">
      <c r="A1438" s="29">
        <v>45539</v>
      </c>
      <c r="B1438" s="30"/>
      <c r="C1438" s="30" t="s">
        <v>3652</v>
      </c>
      <c r="D1438" s="30" t="s">
        <v>3478</v>
      </c>
      <c r="E1438" s="30" t="s">
        <v>2488</v>
      </c>
      <c r="F1438" s="34" t="str">
        <f>IFERROR(VLOOKUP(VENTAS[[#This Row],[Código del producto Vendido]],STOCK[],5,FALSE),"-")</f>
        <v>Sandalias prácticas chunky blanco crema</v>
      </c>
      <c r="G1438" s="34">
        <v>1</v>
      </c>
      <c r="H1438" s="35">
        <v>35</v>
      </c>
      <c r="I1438" s="35">
        <f>VENTAS[[#This Row],[Cantidad]]*VENTAS[[#This Row],[Precio Venta]]</f>
        <v>35</v>
      </c>
      <c r="J1438" s="35">
        <f>IF(VENTAS[[#This Row],[Nombre del Gestor]]&gt;1,VENTAS[[#This Row],[Total]]*10%,0)</f>
        <v>3.5</v>
      </c>
      <c r="K1438" s="35">
        <f>IFERROR(VLOOKUP(VENTAS[[#This Row],[Código del producto Vendido]],STOCK[],16,FALSE)*VENTAS[[#This Row],[Cantidad]]+VLOOKUP(VENTAS[[#This Row],[Código del producto Vendido]],STOCK[],19,FALSE)*VENTAS[[#This Row],[Cantidad]],VENTAS[[#This Row],[Total]])</f>
        <v>24.2174</v>
      </c>
      <c r="L1438" s="35">
        <f>VENTAS[[#This Row],[Total]]-VENTAS[[#This Row],[Comisión 10%]]-VENTAS[[#This Row],[Costo SIN Comision]]</f>
        <v>7.2826</v>
      </c>
      <c r="M1438" s="35"/>
    </row>
    <row r="1439" ht="20" customHeight="1" spans="1:13">
      <c r="A1439" s="29">
        <v>45544</v>
      </c>
      <c r="B1439" s="30"/>
      <c r="C1439" s="30" t="s">
        <v>3653</v>
      </c>
      <c r="D1439" s="30" t="s">
        <v>3478</v>
      </c>
      <c r="E1439" s="30" t="s">
        <v>2450</v>
      </c>
      <c r="F1439" s="34" t="str">
        <f>IFERROR(VLOOKUP(VENTAS[[#This Row],[Código del producto Vendido]],STOCK[],5,FALSE),"-")</f>
        <v>Sandalias carmelitas de moda con correa de velcro</v>
      </c>
      <c r="G1439" s="34">
        <v>1</v>
      </c>
      <c r="H1439" s="35">
        <v>35</v>
      </c>
      <c r="I1439" s="35">
        <f>VENTAS[[#This Row],[Cantidad]]*VENTAS[[#This Row],[Precio Venta]]</f>
        <v>35</v>
      </c>
      <c r="J1439" s="35">
        <f>IF(VENTAS[[#This Row],[Nombre del Gestor]]&gt;1,VENTAS[[#This Row],[Total]]*10%,0)</f>
        <v>3.5</v>
      </c>
      <c r="K1439" s="35">
        <f>IFERROR(VLOOKUP(VENTAS[[#This Row],[Código del producto Vendido]],STOCK[],16,FALSE)*VENTAS[[#This Row],[Cantidad]]+VLOOKUP(VENTAS[[#This Row],[Código del producto Vendido]],STOCK[],19,FALSE)*VENTAS[[#This Row],[Cantidad]],VENTAS[[#This Row],[Total]])</f>
        <v>19.47</v>
      </c>
      <c r="L1439" s="35">
        <f>VENTAS[[#This Row],[Total]]-VENTAS[[#This Row],[Comisión 10%]]-VENTAS[[#This Row],[Costo SIN Comision]]</f>
        <v>12.03</v>
      </c>
      <c r="M1439" s="35"/>
    </row>
    <row r="1440" ht="20" customHeight="1" spans="1:13">
      <c r="A1440" s="29">
        <v>45542</v>
      </c>
      <c r="B1440" s="30"/>
      <c r="C1440" s="30" t="s">
        <v>3654</v>
      </c>
      <c r="D1440" s="30" t="s">
        <v>3602</v>
      </c>
      <c r="E1440" s="30" t="s">
        <v>964</v>
      </c>
      <c r="F1440" s="34" t="str">
        <f>IFERROR(VLOOKUP(VENTAS[[#This Row],[Código del producto Vendido]],STOCK[],5,FALSE),"-")</f>
        <v> Top Básico Business </v>
      </c>
      <c r="G1440" s="34">
        <v>1</v>
      </c>
      <c r="H1440" s="35">
        <v>10</v>
      </c>
      <c r="I1440" s="35">
        <f>VENTAS[[#This Row],[Cantidad]]*VENTAS[[#This Row],[Precio Venta]]</f>
        <v>10</v>
      </c>
      <c r="J1440" s="35">
        <f>IF(VENTAS[[#This Row],[Nombre del Gestor]]&gt;1,VENTAS[[#This Row],[Total]]*10%,0)</f>
        <v>1</v>
      </c>
      <c r="K1440" s="35">
        <f>IFERROR(VLOOKUP(VENTAS[[#This Row],[Código del producto Vendido]],STOCK[],16,FALSE)*VENTAS[[#This Row],[Cantidad]]+VLOOKUP(VENTAS[[#This Row],[Código del producto Vendido]],STOCK[],19,FALSE)*VENTAS[[#This Row],[Cantidad]],VENTAS[[#This Row],[Total]])</f>
        <v>6.78409090909091</v>
      </c>
      <c r="L1440" s="35">
        <f>VENTAS[[#This Row],[Total]]-VENTAS[[#This Row],[Comisión 10%]]-VENTAS[[#This Row],[Costo SIN Comision]]</f>
        <v>2.21590909090909</v>
      </c>
      <c r="M1440" s="35"/>
    </row>
    <row r="1441" ht="20" customHeight="1" spans="1:13">
      <c r="A1441" s="29">
        <v>45539</v>
      </c>
      <c r="B1441" s="30"/>
      <c r="C1441" s="30" t="s">
        <v>3655</v>
      </c>
      <c r="D1441" s="30" t="s">
        <v>3312</v>
      </c>
      <c r="E1441" s="30" t="s">
        <v>1291</v>
      </c>
      <c r="F1441" s="34" t="str">
        <f>IFERROR(VLOOKUP(VENTAS[[#This Row],[Código del producto Vendido]],STOCK[],5,FALSE),"-")</f>
        <v>Jean skinny oscuro </v>
      </c>
      <c r="G1441" s="34">
        <v>2</v>
      </c>
      <c r="H1441" s="35">
        <v>27</v>
      </c>
      <c r="I1441" s="35">
        <f>VENTAS[[#This Row],[Cantidad]]*VENTAS[[#This Row],[Precio Venta]]</f>
        <v>54</v>
      </c>
      <c r="J1441" s="35">
        <f>IF(VENTAS[[#This Row],[Nombre del Gestor]]&gt;1,VENTAS[[#This Row],[Total]]*10%,0)</f>
        <v>5.4</v>
      </c>
      <c r="K1441" s="35">
        <f>IFERROR(VLOOKUP(VENTAS[[#This Row],[Código del producto Vendido]],STOCK[],16,FALSE)*VENTAS[[#This Row],[Cantidad]]+VLOOKUP(VENTAS[[#This Row],[Código del producto Vendido]],STOCK[],19,FALSE)*VENTAS[[#This Row],[Cantidad]],VENTAS[[#This Row],[Total]])</f>
        <v>41.58</v>
      </c>
      <c r="L1441" s="35">
        <f>VENTAS[[#This Row],[Total]]-VENTAS[[#This Row],[Comisión 10%]]-VENTAS[[#This Row],[Costo SIN Comision]]</f>
        <v>7.02</v>
      </c>
      <c r="M1441" s="35"/>
    </row>
    <row r="1442" ht="20" customHeight="1" spans="1:13">
      <c r="A1442" s="29">
        <v>45539</v>
      </c>
      <c r="B1442" s="30"/>
      <c r="C1442" s="30" t="s">
        <v>3655</v>
      </c>
      <c r="D1442" s="30" t="s">
        <v>3312</v>
      </c>
      <c r="E1442" s="30" t="s">
        <v>1275</v>
      </c>
      <c r="F1442" s="34" t="str">
        <f>IFERROR(VLOOKUP(VENTAS[[#This Row],[Código del producto Vendido]],STOCK[],5,FALSE),"-")</f>
        <v>Top negro de cuello V con encaje</v>
      </c>
      <c r="G1442" s="34">
        <v>1</v>
      </c>
      <c r="H1442" s="35">
        <v>11</v>
      </c>
      <c r="I1442" s="35">
        <f>VENTAS[[#This Row],[Cantidad]]*VENTAS[[#This Row],[Precio Venta]]</f>
        <v>11</v>
      </c>
      <c r="J1442" s="35">
        <f>IF(VENTAS[[#This Row],[Nombre del Gestor]]&gt;1,VENTAS[[#This Row],[Total]]*10%,0)</f>
        <v>1.1</v>
      </c>
      <c r="K1442" s="35">
        <f>IFERROR(VLOOKUP(VENTAS[[#This Row],[Código del producto Vendido]],STOCK[],16,FALSE)*VENTAS[[#This Row],[Cantidad]]+VLOOKUP(VENTAS[[#This Row],[Código del producto Vendido]],STOCK[],19,FALSE)*VENTAS[[#This Row],[Cantidad]],VENTAS[[#This Row],[Total]])</f>
        <v>8.09</v>
      </c>
      <c r="L1442" s="35">
        <f>VENTAS[[#This Row],[Total]]-VENTAS[[#This Row],[Comisión 10%]]-VENTAS[[#This Row],[Costo SIN Comision]]</f>
        <v>1.81</v>
      </c>
      <c r="M1442" s="35"/>
    </row>
    <row r="1443" ht="20" customHeight="1" spans="1:13">
      <c r="A1443" s="29">
        <v>45539</v>
      </c>
      <c r="B1443" s="30"/>
      <c r="C1443" s="30" t="s">
        <v>3655</v>
      </c>
      <c r="D1443" s="30" t="s">
        <v>3312</v>
      </c>
      <c r="E1443" s="30" t="s">
        <v>1301</v>
      </c>
      <c r="F1443" s="34" t="str">
        <f>IFERROR(VLOOKUP(VENTAS[[#This Row],[Código del producto Vendido]],STOCK[],5,FALSE),"-")</f>
        <v>Jean ajustado Claro</v>
      </c>
      <c r="G1443" s="34">
        <v>2</v>
      </c>
      <c r="H1443" s="35">
        <v>27</v>
      </c>
      <c r="I1443" s="35">
        <f>VENTAS[[#This Row],[Cantidad]]*VENTAS[[#This Row],[Precio Venta]]</f>
        <v>54</v>
      </c>
      <c r="J1443" s="35">
        <f>IF(VENTAS[[#This Row],[Nombre del Gestor]]&gt;1,VENTAS[[#This Row],[Total]]*10%,0)</f>
        <v>5.4</v>
      </c>
      <c r="K1443" s="35">
        <f>IFERROR(VLOOKUP(VENTAS[[#This Row],[Código del producto Vendido]],STOCK[],16,FALSE)*VENTAS[[#This Row],[Cantidad]]+VLOOKUP(VENTAS[[#This Row],[Código del producto Vendido]],STOCK[],19,FALSE)*VENTAS[[#This Row],[Cantidad]],VENTAS[[#This Row],[Total]])</f>
        <v>47.58</v>
      </c>
      <c r="L1443" s="35">
        <f>VENTAS[[#This Row],[Total]]-VENTAS[[#This Row],[Comisión 10%]]-VENTAS[[#This Row],[Costo SIN Comision]]</f>
        <v>1.02</v>
      </c>
      <c r="M1443" s="35"/>
    </row>
    <row r="1444" ht="20" customHeight="1" spans="1:13">
      <c r="A1444" s="29">
        <v>45539</v>
      </c>
      <c r="B1444" s="30"/>
      <c r="C1444" s="30" t="s">
        <v>3655</v>
      </c>
      <c r="D1444" s="30" t="s">
        <v>3312</v>
      </c>
      <c r="E1444" s="30" t="s">
        <v>2530</v>
      </c>
      <c r="F1444" s="34" t="str">
        <f>IFERROR(VLOOKUP(VENTAS[[#This Row],[Código del producto Vendido]],STOCK[],5,FALSE),"-")</f>
        <v>Pullover corto unicolor carmelita</v>
      </c>
      <c r="G1444" s="34">
        <v>1</v>
      </c>
      <c r="H1444" s="35">
        <v>9</v>
      </c>
      <c r="I1444" s="35">
        <f>VENTAS[[#This Row],[Cantidad]]*VENTAS[[#This Row],[Precio Venta]]</f>
        <v>9</v>
      </c>
      <c r="J1444" s="35">
        <f>IF(VENTAS[[#This Row],[Nombre del Gestor]]&gt;1,VENTAS[[#This Row],[Total]]*10%,0)</f>
        <v>0.9</v>
      </c>
      <c r="K1444" s="35">
        <f>IFERROR(VLOOKUP(VENTAS[[#This Row],[Código del producto Vendido]],STOCK[],16,FALSE)*VENTAS[[#This Row],[Cantidad]]+VLOOKUP(VENTAS[[#This Row],[Código del producto Vendido]],STOCK[],19,FALSE)*VENTAS[[#This Row],[Cantidad]],VENTAS[[#This Row],[Total]])</f>
        <v>4.32</v>
      </c>
      <c r="L1444" s="35">
        <f>VENTAS[[#This Row],[Total]]-VENTAS[[#This Row],[Comisión 10%]]-VENTAS[[#This Row],[Costo SIN Comision]]</f>
        <v>3.78</v>
      </c>
      <c r="M1444" s="35"/>
    </row>
    <row r="1445" ht="20" customHeight="1" spans="1:13">
      <c r="A1445" s="29">
        <v>45539</v>
      </c>
      <c r="B1445" s="30"/>
      <c r="C1445" s="30" t="s">
        <v>3655</v>
      </c>
      <c r="D1445" s="30" t="s">
        <v>3312</v>
      </c>
      <c r="E1445" s="30" t="s">
        <v>2539</v>
      </c>
      <c r="F1445" s="34" t="str">
        <f>IFERROR(VLOOKUP(VENTAS[[#This Row],[Código del producto Vendido]],STOCK[],5,FALSE),"-")</f>
        <v>Pullover corto unicolor beige</v>
      </c>
      <c r="G1445" s="34">
        <v>1</v>
      </c>
      <c r="H1445" s="35">
        <v>9</v>
      </c>
      <c r="I1445" s="35">
        <f>VENTAS[[#This Row],[Cantidad]]*VENTAS[[#This Row],[Precio Venta]]</f>
        <v>9</v>
      </c>
      <c r="J1445" s="35">
        <f>IF(VENTAS[[#This Row],[Nombre del Gestor]]&gt;1,VENTAS[[#This Row],[Total]]*10%,0)</f>
        <v>0.9</v>
      </c>
      <c r="K1445" s="35">
        <f>IFERROR(VLOOKUP(VENTAS[[#This Row],[Código del producto Vendido]],STOCK[],16,FALSE)*VENTAS[[#This Row],[Cantidad]]+VLOOKUP(VENTAS[[#This Row],[Código del producto Vendido]],STOCK[],19,FALSE)*VENTAS[[#This Row],[Cantidad]],VENTAS[[#This Row],[Total]])</f>
        <v>4.32</v>
      </c>
      <c r="L1445" s="35">
        <f>VENTAS[[#This Row],[Total]]-VENTAS[[#This Row],[Comisión 10%]]-VENTAS[[#This Row],[Costo SIN Comision]]</f>
        <v>3.78</v>
      </c>
      <c r="M1445" s="35"/>
    </row>
    <row r="1446" ht="20" customHeight="1" spans="1:13">
      <c r="A1446" s="29">
        <v>45538</v>
      </c>
      <c r="B1446" s="30"/>
      <c r="C1446" s="30" t="s">
        <v>3656</v>
      </c>
      <c r="D1446" s="30" t="s">
        <v>3510</v>
      </c>
      <c r="E1446" s="30" t="s">
        <v>1701</v>
      </c>
      <c r="F1446" s="34" t="str">
        <f>IFERROR(VLOOKUP(VENTAS[[#This Row],[Código del producto Vendido]],STOCK[],5,FALSE),"-")</f>
        <v>Vestido Frente Drapeado Negro y Blanco</v>
      </c>
      <c r="G1446" s="34">
        <v>1</v>
      </c>
      <c r="H1446" s="35">
        <v>30</v>
      </c>
      <c r="I1446" s="35">
        <f>VENTAS[[#This Row],[Cantidad]]*VENTAS[[#This Row],[Precio Venta]]</f>
        <v>30</v>
      </c>
      <c r="J1446" s="35">
        <f>IF(VENTAS[[#This Row],[Nombre del Gestor]]&gt;1,VENTAS[[#This Row],[Total]]*10%,0)</f>
        <v>3</v>
      </c>
      <c r="K1446" s="35">
        <f>IFERROR(VLOOKUP(VENTAS[[#This Row],[Código del producto Vendido]],STOCK[],16,FALSE)*VENTAS[[#This Row],[Cantidad]]+VLOOKUP(VENTAS[[#This Row],[Código del producto Vendido]],STOCK[],19,FALSE)*VENTAS[[#This Row],[Cantidad]],VENTAS[[#This Row],[Total]])</f>
        <v>11.4</v>
      </c>
      <c r="L1446" s="35">
        <f>VENTAS[[#This Row],[Total]]-VENTAS[[#This Row],[Comisión 10%]]-VENTAS[[#This Row],[Costo SIN Comision]]</f>
        <v>15.6</v>
      </c>
      <c r="M1446" s="35"/>
    </row>
    <row r="1447" ht="20" customHeight="1" spans="1:13">
      <c r="A1447" s="29">
        <v>45537</v>
      </c>
      <c r="B1447" s="30"/>
      <c r="C1447" s="30"/>
      <c r="D1447" s="30" t="s">
        <v>3613</v>
      </c>
      <c r="E1447" s="30" t="s">
        <v>2445</v>
      </c>
      <c r="F1447" s="34" t="str">
        <f>IFERROR(VLOOKUP(VENTAS[[#This Row],[Código del producto Vendido]],STOCK[],5,FALSE),"-")</f>
        <v>Sandalias carmelitas de moda con correa de velcro</v>
      </c>
      <c r="G1447" s="34">
        <v>1</v>
      </c>
      <c r="H1447" s="35">
        <v>35</v>
      </c>
      <c r="I1447" s="35">
        <f>VENTAS[[#This Row],[Cantidad]]*VENTAS[[#This Row],[Precio Venta]]</f>
        <v>35</v>
      </c>
      <c r="J1447" s="35">
        <f>IF(VENTAS[[#This Row],[Nombre del Gestor]]&gt;1,VENTAS[[#This Row],[Total]]*10%,0)</f>
        <v>3.5</v>
      </c>
      <c r="K1447" s="35">
        <f>IFERROR(VLOOKUP(VENTAS[[#This Row],[Código del producto Vendido]],STOCK[],16,FALSE)*VENTAS[[#This Row],[Cantidad]]+VLOOKUP(VENTAS[[#This Row],[Código del producto Vendido]],STOCK[],19,FALSE)*VENTAS[[#This Row],[Cantidad]],VENTAS[[#This Row],[Total]])</f>
        <v>19.47</v>
      </c>
      <c r="L1447" s="35">
        <f>VENTAS[[#This Row],[Total]]-VENTAS[[#This Row],[Comisión 10%]]-VENTAS[[#This Row],[Costo SIN Comision]]</f>
        <v>12.03</v>
      </c>
      <c r="M1447" s="35"/>
    </row>
    <row r="1448" ht="20" customHeight="1" spans="1:13">
      <c r="A1448" s="29"/>
      <c r="B1448" s="30"/>
      <c r="C1448" s="30"/>
      <c r="D1448" s="30" t="s">
        <v>3657</v>
      </c>
      <c r="E1448" s="30" t="s">
        <v>2285</v>
      </c>
      <c r="F1448" s="34" t="str">
        <f>IFERROR(VLOOKUP(VENTAS[[#This Row],[Código del producto Vendido]],STOCK[],5,FALSE),"-")</f>
        <v>Bolso de lona en bloque de color</v>
      </c>
      <c r="G1448" s="34">
        <v>1</v>
      </c>
      <c r="H1448" s="35">
        <v>10.8</v>
      </c>
      <c r="I1448" s="35">
        <f>VENTAS[[#This Row],[Cantidad]]*VENTAS[[#This Row],[Precio Venta]]</f>
        <v>10.8</v>
      </c>
      <c r="J1448" s="35">
        <f>IF(VENTAS[[#This Row],[Nombre del Gestor]]&gt;1,VENTAS[[#This Row],[Total]]*10%,0)</f>
        <v>1.08</v>
      </c>
      <c r="K1448" s="35">
        <f>IFERROR(VLOOKUP(VENTAS[[#This Row],[Código del producto Vendido]],STOCK[],16,FALSE)*VENTAS[[#This Row],[Cantidad]]+VLOOKUP(VENTAS[[#This Row],[Código del producto Vendido]],STOCK[],19,FALSE)*VENTAS[[#This Row],[Cantidad]],VENTAS[[#This Row],[Total]])</f>
        <v>5.54</v>
      </c>
      <c r="L1448" s="35">
        <f>VENTAS[[#This Row],[Total]]-VENTAS[[#This Row],[Comisión 10%]]-VENTAS[[#This Row],[Costo SIN Comision]]</f>
        <v>4.18</v>
      </c>
      <c r="M1448" s="35"/>
    </row>
    <row r="1449" ht="20" customHeight="1" spans="1:13">
      <c r="A1449" s="29"/>
      <c r="B1449" s="30"/>
      <c r="C1449" s="30"/>
      <c r="D1449" s="30" t="s">
        <v>3602</v>
      </c>
      <c r="E1449" s="30" t="s">
        <v>2543</v>
      </c>
      <c r="F1449" s="34" t="str">
        <f>IFERROR(VLOOKUP(VENTAS[[#This Row],[Código del producto Vendido]],STOCK[],5,FALSE),"-")</f>
        <v>Pullover largo unicolor tela traslúcida negro</v>
      </c>
      <c r="G1449" s="34">
        <v>1</v>
      </c>
      <c r="H1449" s="35">
        <v>10</v>
      </c>
      <c r="I1449" s="35">
        <f>VENTAS[[#This Row],[Cantidad]]*VENTAS[[#This Row],[Precio Venta]]</f>
        <v>10</v>
      </c>
      <c r="J1449" s="35">
        <f>IF(VENTAS[[#This Row],[Nombre del Gestor]]&gt;1,VENTAS[[#This Row],[Total]]*10%,0)</f>
        <v>1</v>
      </c>
      <c r="K1449" s="35">
        <f>IFERROR(VLOOKUP(VENTAS[[#This Row],[Código del producto Vendido]],STOCK[],16,FALSE)*VENTAS[[#This Row],[Cantidad]]+VLOOKUP(VENTAS[[#This Row],[Código del producto Vendido]],STOCK[],19,FALSE)*VENTAS[[#This Row],[Cantidad]],VENTAS[[#This Row],[Total]])</f>
        <v>4.32</v>
      </c>
      <c r="L1449" s="35">
        <f>VENTAS[[#This Row],[Total]]-VENTAS[[#This Row],[Comisión 10%]]-VENTAS[[#This Row],[Costo SIN Comision]]</f>
        <v>4.68</v>
      </c>
      <c r="M1449" s="35"/>
    </row>
    <row r="1450" ht="20" customHeight="1" spans="1:13">
      <c r="A1450" s="29"/>
      <c r="B1450" s="30"/>
      <c r="C1450" s="30"/>
      <c r="D1450" s="30" t="s">
        <v>3602</v>
      </c>
      <c r="E1450" s="30" t="s">
        <v>2547</v>
      </c>
      <c r="F1450" s="34" t="str">
        <f>IFERROR(VLOOKUP(VENTAS[[#This Row],[Código del producto Vendido]],STOCK[],5,FALSE),"-")</f>
        <v>Pullover largo unicolor tela traslúcida terracota</v>
      </c>
      <c r="G1450" s="34">
        <v>1</v>
      </c>
      <c r="H1450" s="35">
        <v>10</v>
      </c>
      <c r="I1450" s="35">
        <f>VENTAS[[#This Row],[Cantidad]]*VENTAS[[#This Row],[Precio Venta]]</f>
        <v>10</v>
      </c>
      <c r="J1450" s="35">
        <f>IF(VENTAS[[#This Row],[Nombre del Gestor]]&gt;1,VENTAS[[#This Row],[Total]]*10%,0)</f>
        <v>1</v>
      </c>
      <c r="K1450" s="35">
        <f>IFERROR(VLOOKUP(VENTAS[[#This Row],[Código del producto Vendido]],STOCK[],16,FALSE)*VENTAS[[#This Row],[Cantidad]]+VLOOKUP(VENTAS[[#This Row],[Código del producto Vendido]],STOCK[],19,FALSE)*VENTAS[[#This Row],[Cantidad]],VENTAS[[#This Row],[Total]])</f>
        <v>4.32</v>
      </c>
      <c r="L1450" s="35">
        <f>VENTAS[[#This Row],[Total]]-VENTAS[[#This Row],[Comisión 10%]]-VENTAS[[#This Row],[Costo SIN Comision]]</f>
        <v>4.68</v>
      </c>
      <c r="M1450" s="35"/>
    </row>
    <row r="1451" ht="20" customHeight="1" spans="1:13">
      <c r="A1451" s="29"/>
      <c r="B1451" s="30"/>
      <c r="C1451" s="30"/>
      <c r="D1451" s="30" t="s">
        <v>3602</v>
      </c>
      <c r="E1451" s="30" t="s">
        <v>2550</v>
      </c>
      <c r="F1451" s="34" t="str">
        <f>IFERROR(VLOOKUP(VENTAS[[#This Row],[Código del producto Vendido]],STOCK[],5,FALSE),"-")</f>
        <v>Pullover largo unicolor tela traslúcida beige</v>
      </c>
      <c r="G1451" s="34">
        <v>1</v>
      </c>
      <c r="H1451" s="35">
        <v>10</v>
      </c>
      <c r="I1451" s="35">
        <f>VENTAS[[#This Row],[Cantidad]]*VENTAS[[#This Row],[Precio Venta]]</f>
        <v>10</v>
      </c>
      <c r="J1451" s="35">
        <f>IF(VENTAS[[#This Row],[Nombre del Gestor]]&gt;1,VENTAS[[#This Row],[Total]]*10%,0)</f>
        <v>1</v>
      </c>
      <c r="K1451" s="35">
        <f>IFERROR(VLOOKUP(VENTAS[[#This Row],[Código del producto Vendido]],STOCK[],16,FALSE)*VENTAS[[#This Row],[Cantidad]]+VLOOKUP(VENTAS[[#This Row],[Código del producto Vendido]],STOCK[],19,FALSE)*VENTAS[[#This Row],[Cantidad]],VENTAS[[#This Row],[Total]])</f>
        <v>4.32</v>
      </c>
      <c r="L1451" s="35">
        <f>VENTAS[[#This Row],[Total]]-VENTAS[[#This Row],[Comisión 10%]]-VENTAS[[#This Row],[Costo SIN Comision]]</f>
        <v>4.68</v>
      </c>
      <c r="M1451" s="35"/>
    </row>
    <row r="1452" ht="20" customHeight="1" spans="1:13">
      <c r="A1452" s="29">
        <v>45544</v>
      </c>
      <c r="B1452" s="30"/>
      <c r="C1452" s="30"/>
      <c r="D1452" s="30" t="s">
        <v>3448</v>
      </c>
      <c r="E1452" s="30" t="s">
        <v>2715</v>
      </c>
      <c r="F1452" s="34" t="str">
        <f>IFERROR(VLOOKUP(VENTAS[[#This Row],[Código del producto Vendido]],STOCK[],5,FALSE),"-")</f>
        <v>Chaleco Healter color crema y botones coral H&amp;M</v>
      </c>
      <c r="G1452" s="34">
        <v>1</v>
      </c>
      <c r="H1452" s="35">
        <v>30</v>
      </c>
      <c r="I1452" s="35">
        <f>VENTAS[[#This Row],[Cantidad]]*VENTAS[[#This Row],[Precio Venta]]</f>
        <v>30</v>
      </c>
      <c r="J1452" s="35">
        <f>IF(VENTAS[[#This Row],[Nombre del Gestor]]&gt;1,VENTAS[[#This Row],[Total]]*10%,0)</f>
        <v>3</v>
      </c>
      <c r="K1452" s="35">
        <f>IFERROR(VLOOKUP(VENTAS[[#This Row],[Código del producto Vendido]],STOCK[],16,FALSE)*VENTAS[[#This Row],[Cantidad]]+VLOOKUP(VENTAS[[#This Row],[Código del producto Vendido]],STOCK[],19,FALSE)*VENTAS[[#This Row],[Cantidad]],VENTAS[[#This Row],[Total]])</f>
        <v>19</v>
      </c>
      <c r="L1452" s="35">
        <f>VENTAS[[#This Row],[Total]]-VENTAS[[#This Row],[Comisión 10%]]-VENTAS[[#This Row],[Costo SIN Comision]]</f>
        <v>8</v>
      </c>
      <c r="M1452" s="35"/>
    </row>
    <row r="1453" ht="20" customHeight="1" spans="1:13">
      <c r="A1453" s="29">
        <v>45544</v>
      </c>
      <c r="B1453" s="30"/>
      <c r="C1453" s="30"/>
      <c r="D1453" s="30" t="s">
        <v>3448</v>
      </c>
      <c r="E1453" s="30" t="s">
        <v>2356</v>
      </c>
      <c r="F1453" s="34" t="str">
        <f>IFERROR(VLOOKUP(VENTAS[[#This Row],[Código del producto Vendido]],STOCK[],5,FALSE),"-")</f>
        <v>Espejuelos rectangulares unisex</v>
      </c>
      <c r="G1453" s="34">
        <v>1</v>
      </c>
      <c r="H1453" s="35">
        <v>10</v>
      </c>
      <c r="I1453" s="35">
        <f>VENTAS[[#This Row],[Cantidad]]*VENTAS[[#This Row],[Precio Venta]]</f>
        <v>10</v>
      </c>
      <c r="J1453" s="35">
        <f>IF(VENTAS[[#This Row],[Nombre del Gestor]]&gt;1,VENTAS[[#This Row],[Total]]*10%,0)</f>
        <v>1</v>
      </c>
      <c r="K1453" s="35">
        <f>IFERROR(VLOOKUP(VENTAS[[#This Row],[Código del producto Vendido]],STOCK[],16,FALSE)*VENTAS[[#This Row],[Cantidad]]+VLOOKUP(VENTAS[[#This Row],[Código del producto Vendido]],STOCK[],19,FALSE)*VENTAS[[#This Row],[Cantidad]],VENTAS[[#This Row],[Total]])</f>
        <v>6.33125</v>
      </c>
      <c r="L1453" s="35">
        <f>VENTAS[[#This Row],[Total]]-VENTAS[[#This Row],[Comisión 10%]]-VENTAS[[#This Row],[Costo SIN Comision]]</f>
        <v>2.66875</v>
      </c>
      <c r="M1453" s="35"/>
    </row>
    <row r="1454" ht="20" customHeight="1" spans="1:13">
      <c r="A1454" s="29"/>
      <c r="B1454" s="30"/>
      <c r="C1454" s="30" t="s">
        <v>3483</v>
      </c>
      <c r="D1454" s="30"/>
      <c r="E1454" s="30" t="s">
        <v>788</v>
      </c>
      <c r="F1454" s="34" t="str">
        <f>IFERROR(VLOOKUP(VENTAS[[#This Row],[Código del producto Vendido]],STOCK[],5,FALSE),"-")</f>
        <v>Visera rosa</v>
      </c>
      <c r="G1454" s="34">
        <v>1</v>
      </c>
      <c r="H1454" s="35">
        <v>0</v>
      </c>
      <c r="I1454" s="35">
        <f>VENTAS[[#This Row],[Cantidad]]*VENTAS[[#This Row],[Precio Venta]]</f>
        <v>0</v>
      </c>
      <c r="J1454" s="35">
        <f>IF(VENTAS[[#This Row],[Nombre del Gestor]]&gt;1,VENTAS[[#This Row],[Total]]*10%,0)</f>
        <v>0</v>
      </c>
      <c r="K1454" s="35">
        <f>IFERROR(VLOOKUP(VENTAS[[#This Row],[Código del producto Vendido]],STOCK[],16,FALSE)*VENTAS[[#This Row],[Cantidad]]+VLOOKUP(VENTAS[[#This Row],[Código del producto Vendido]],STOCK[],19,FALSE)*VENTAS[[#This Row],[Cantidad]],VENTAS[[#This Row],[Total]])</f>
        <v>11.5555555555556</v>
      </c>
      <c r="L1454" s="35">
        <f>VENTAS[[#This Row],[Total]]-VENTAS[[#This Row],[Comisión 10%]]-VENTAS[[#This Row],[Costo SIN Comision]]</f>
        <v>-11.5555555555556</v>
      </c>
      <c r="M1454" s="35"/>
    </row>
    <row r="1455" ht="20" customHeight="1" spans="1:13">
      <c r="A1455" s="29">
        <v>45557</v>
      </c>
      <c r="B1455" s="30"/>
      <c r="C1455" s="30" t="s">
        <v>3658</v>
      </c>
      <c r="D1455" s="30" t="s">
        <v>3503</v>
      </c>
      <c r="E1455" s="30" t="s">
        <v>2615</v>
      </c>
      <c r="F1455" s="34" t="str">
        <f>IFERROR(VLOOKUP(VENTAS[[#This Row],[Código del producto Vendido]],STOCK[],5,FALSE),"-")</f>
        <v>Vestido Blanco en Bordado Inglés</v>
      </c>
      <c r="G1455" s="34">
        <v>1</v>
      </c>
      <c r="H1455" s="35">
        <v>25</v>
      </c>
      <c r="I1455" s="35">
        <f>VENTAS[[#This Row],[Cantidad]]*VENTAS[[#This Row],[Precio Venta]]</f>
        <v>25</v>
      </c>
      <c r="J1455" s="35">
        <f>IF(VENTAS[[#This Row],[Nombre del Gestor]]&gt;1,VENTAS[[#This Row],[Total]]*10%,0)</f>
        <v>2.5</v>
      </c>
      <c r="K1455" s="35">
        <f>IFERROR(VLOOKUP(VENTAS[[#This Row],[Código del producto Vendido]],STOCK[],16,FALSE)*VENTAS[[#This Row],[Cantidad]]+VLOOKUP(VENTAS[[#This Row],[Código del producto Vendido]],STOCK[],19,FALSE)*VENTAS[[#This Row],[Cantidad]],VENTAS[[#This Row],[Total]])</f>
        <v>13.48</v>
      </c>
      <c r="L1455" s="35">
        <f>VENTAS[[#This Row],[Total]]-VENTAS[[#This Row],[Comisión 10%]]-VENTAS[[#This Row],[Costo SIN Comision]]</f>
        <v>9.02</v>
      </c>
      <c r="M1455" s="35"/>
    </row>
    <row r="1456" ht="20" customHeight="1" spans="1:13">
      <c r="A1456" s="29"/>
      <c r="B1456" s="30"/>
      <c r="C1456" s="30" t="s">
        <v>3659</v>
      </c>
      <c r="D1456" s="30" t="s">
        <v>3448</v>
      </c>
      <c r="E1456" s="30" t="s">
        <v>2738</v>
      </c>
      <c r="F1456" s="34" t="str">
        <f>IFERROR(VLOOKUP(VENTAS[[#This Row],[Código del producto Vendido]],STOCK[],5,FALSE),"-")</f>
        <v>Sandalias planas de moda de punta cuadrada (encargo)</v>
      </c>
      <c r="G1456" s="34">
        <v>1</v>
      </c>
      <c r="H1456" s="35">
        <v>12</v>
      </c>
      <c r="I1456" s="35">
        <f>VENTAS[[#This Row],[Cantidad]]*VENTAS[[#This Row],[Precio Venta]]</f>
        <v>12</v>
      </c>
      <c r="J1456" s="35">
        <f>IF(VENTAS[[#This Row],[Nombre del Gestor]]&gt;1,VENTAS[[#This Row],[Total]]*10%,0)</f>
        <v>1.2</v>
      </c>
      <c r="K1456" s="35">
        <f>IFERROR(VLOOKUP(VENTAS[[#This Row],[Código del producto Vendido]],STOCK[],16,FALSE)*VENTAS[[#This Row],[Cantidad]]+VLOOKUP(VENTAS[[#This Row],[Código del producto Vendido]],STOCK[],19,FALSE)*VENTAS[[#This Row],[Cantidad]],VENTAS[[#This Row],[Total]])</f>
        <v>8.34</v>
      </c>
      <c r="L1456" s="35">
        <f>VENTAS[[#This Row],[Total]]-VENTAS[[#This Row],[Comisión 10%]]-VENTAS[[#This Row],[Costo SIN Comision]]</f>
        <v>2.46</v>
      </c>
      <c r="M1456" s="35"/>
    </row>
    <row r="1457" ht="20" customHeight="1" spans="1:13">
      <c r="A1457" s="29"/>
      <c r="B1457" s="30"/>
      <c r="C1457" s="30" t="s">
        <v>3315</v>
      </c>
      <c r="D1457" s="30" t="s">
        <v>3312</v>
      </c>
      <c r="E1457" s="30" t="s">
        <v>2745</v>
      </c>
      <c r="F1457" s="34" t="str">
        <f>IFERROR(VLOOKUP(VENTAS[[#This Row],[Código del producto Vendido]],STOCK[],5,FALSE),"-")</f>
        <v>Yoga Sexy Set Deportivo con abertura trasera color Albaricoque</v>
      </c>
      <c r="G1457" s="34">
        <v>1</v>
      </c>
      <c r="H1457" s="35">
        <v>35</v>
      </c>
      <c r="I1457" s="35">
        <f>VENTAS[[#This Row],[Cantidad]]*VENTAS[[#This Row],[Precio Venta]]</f>
        <v>35</v>
      </c>
      <c r="J1457" s="35">
        <f>IF(VENTAS[[#This Row],[Nombre del Gestor]]&gt;1,VENTAS[[#This Row],[Total]]*10%,0)</f>
        <v>3.5</v>
      </c>
      <c r="K1457" s="35">
        <f>IFERROR(VLOOKUP(VENTAS[[#This Row],[Código del producto Vendido]],STOCK[],16,FALSE)*VENTAS[[#This Row],[Cantidad]]+VLOOKUP(VENTAS[[#This Row],[Código del producto Vendido]],STOCK[],19,FALSE)*VENTAS[[#This Row],[Cantidad]],VENTAS[[#This Row],[Total]])</f>
        <v>14.52</v>
      </c>
      <c r="L1457" s="35">
        <f>VENTAS[[#This Row],[Total]]-VENTAS[[#This Row],[Comisión 10%]]-VENTAS[[#This Row],[Costo SIN Comision]]</f>
        <v>16.98</v>
      </c>
      <c r="M1457" s="35"/>
    </row>
    <row r="1458" ht="20" customHeight="1" spans="1:13">
      <c r="A1458" s="29">
        <v>45548</v>
      </c>
      <c r="B1458" s="30"/>
      <c r="C1458" s="30" t="s">
        <v>3660</v>
      </c>
      <c r="D1458" s="30" t="s">
        <v>3478</v>
      </c>
      <c r="E1458" s="30" t="s">
        <v>2757</v>
      </c>
      <c r="F1458" s="34" t="str">
        <f>IFERROR(VLOOKUP(VENTAS[[#This Row],[Código del producto Vendido]],STOCK[],5,FALSE),"-")</f>
        <v>Vestido semiformal de hombros torcidos color naranja</v>
      </c>
      <c r="G1458" s="34">
        <v>1</v>
      </c>
      <c r="H1458" s="35">
        <v>25</v>
      </c>
      <c r="I1458" s="35">
        <f>VENTAS[[#This Row],[Cantidad]]*VENTAS[[#This Row],[Precio Venta]]</f>
        <v>25</v>
      </c>
      <c r="J1458" s="35">
        <f>IF(VENTAS[[#This Row],[Nombre del Gestor]]&gt;1,VENTAS[[#This Row],[Total]]*10%,0)</f>
        <v>2.5</v>
      </c>
      <c r="K1458" s="35">
        <f>IFERROR(VLOOKUP(VENTAS[[#This Row],[Código del producto Vendido]],STOCK[],16,FALSE)*VENTAS[[#This Row],[Cantidad]]+VLOOKUP(VENTAS[[#This Row],[Código del producto Vendido]],STOCK[],19,FALSE)*VENTAS[[#This Row],[Cantidad]],VENTAS[[#This Row],[Total]])</f>
        <v>11.6</v>
      </c>
      <c r="L1458" s="35">
        <f>VENTAS[[#This Row],[Total]]-VENTAS[[#This Row],[Comisión 10%]]-VENTAS[[#This Row],[Costo SIN Comision]]</f>
        <v>10.9</v>
      </c>
      <c r="M1458" s="35"/>
    </row>
    <row r="1459" ht="20" customHeight="1" spans="1:13">
      <c r="A1459" s="29"/>
      <c r="B1459" s="30"/>
      <c r="C1459" s="30"/>
      <c r="D1459" s="30" t="s">
        <v>3661</v>
      </c>
      <c r="E1459" s="30" t="s">
        <v>2415</v>
      </c>
      <c r="F1459" s="34" t="str">
        <f>IFERROR(VLOOKUP(VENTAS[[#This Row],[Código del producto Vendido]],STOCK[],5,FALSE),"-")</f>
        <v>Camisa blanca en mezcla de algodón</v>
      </c>
      <c r="G1459" s="34">
        <v>1</v>
      </c>
      <c r="H1459" s="35">
        <v>25</v>
      </c>
      <c r="I1459" s="35">
        <f>VENTAS[[#This Row],[Cantidad]]*VENTAS[[#This Row],[Precio Venta]]</f>
        <v>25</v>
      </c>
      <c r="J1459" s="35">
        <f>IF(VENTAS[[#This Row],[Nombre del Gestor]]&gt;1,VENTAS[[#This Row],[Total]]*10%,0)</f>
        <v>2.5</v>
      </c>
      <c r="K1459" s="35">
        <f>IFERROR(VLOOKUP(VENTAS[[#This Row],[Código del producto Vendido]],STOCK[],16,FALSE)*VENTAS[[#This Row],[Cantidad]]+VLOOKUP(VENTAS[[#This Row],[Código del producto Vendido]],STOCK[],19,FALSE)*VENTAS[[#This Row],[Cantidad]],VENTAS[[#This Row],[Total]])</f>
        <v>17.7808108108108</v>
      </c>
      <c r="L1459" s="35">
        <f>VENTAS[[#This Row],[Total]]-VENTAS[[#This Row],[Comisión 10%]]-VENTAS[[#This Row],[Costo SIN Comision]]</f>
        <v>4.7191891891892</v>
      </c>
      <c r="M1459" s="35"/>
    </row>
    <row r="1460" ht="20" customHeight="1" spans="1:13">
      <c r="A1460" s="29"/>
      <c r="B1460" s="30"/>
      <c r="C1460" s="30" t="s">
        <v>3662</v>
      </c>
      <c r="D1460" s="30" t="s">
        <v>3459</v>
      </c>
      <c r="E1460" s="30" t="s">
        <v>2124</v>
      </c>
      <c r="F1460" s="34" t="str">
        <f>IFERROR(VLOOKUP(VENTAS[[#This Row],[Código del producto Vendido]],STOCK[],5,FALSE),"-")</f>
        <v>Set de traje de baño elegante 2 piezas con adorno en forma de V</v>
      </c>
      <c r="G1460" s="34">
        <v>1</v>
      </c>
      <c r="H1460" s="35">
        <v>25</v>
      </c>
      <c r="I1460" s="35">
        <f>VENTAS[[#This Row],[Cantidad]]*VENTAS[[#This Row],[Precio Venta]]</f>
        <v>25</v>
      </c>
      <c r="J1460" s="35">
        <f>IF(VENTAS[[#This Row],[Nombre del Gestor]]&gt;1,VENTAS[[#This Row],[Total]]*10%,0)</f>
        <v>2.5</v>
      </c>
      <c r="K1460" s="35">
        <f>IFERROR(VLOOKUP(VENTAS[[#This Row],[Código del producto Vendido]],STOCK[],16,FALSE)*VENTAS[[#This Row],[Cantidad]]+VLOOKUP(VENTAS[[#This Row],[Código del producto Vendido]],STOCK[],19,FALSE)*VENTAS[[#This Row],[Cantidad]],VENTAS[[#This Row],[Total]])</f>
        <v>11.21</v>
      </c>
      <c r="L1460" s="35">
        <f>VENTAS[[#This Row],[Total]]-VENTAS[[#This Row],[Comisión 10%]]-VENTAS[[#This Row],[Costo SIN Comision]]</f>
        <v>11.29</v>
      </c>
      <c r="M1460" s="35"/>
    </row>
    <row r="1461" ht="20" customHeight="1" spans="1:13">
      <c r="A1461" s="29">
        <v>45553</v>
      </c>
      <c r="B1461" s="30"/>
      <c r="C1461" s="30" t="s">
        <v>3663</v>
      </c>
      <c r="D1461" s="30" t="s">
        <v>3664</v>
      </c>
      <c r="E1461" s="30" t="s">
        <v>2112</v>
      </c>
      <c r="F1461" s="34" t="str">
        <f>IFERROR(VLOOKUP(VENTAS[[#This Row],[Código del producto Vendido]],STOCK[],5,FALSE),"-")</f>
        <v>Flor TOTE fashion bag</v>
      </c>
      <c r="G1461" s="34">
        <v>1</v>
      </c>
      <c r="H1461" s="35">
        <v>10.8</v>
      </c>
      <c r="I1461" s="35">
        <f>VENTAS[[#This Row],[Cantidad]]*VENTAS[[#This Row],[Precio Venta]]</f>
        <v>10.8</v>
      </c>
      <c r="J1461" s="35">
        <f>IF(VENTAS[[#This Row],[Nombre del Gestor]]&gt;1,VENTAS[[#This Row],[Total]]*10%,0)</f>
        <v>1.08</v>
      </c>
      <c r="K1461" s="35">
        <f>IFERROR(VLOOKUP(VENTAS[[#This Row],[Código del producto Vendido]],STOCK[],16,FALSE)*VENTAS[[#This Row],[Cantidad]]+VLOOKUP(VENTAS[[#This Row],[Código del producto Vendido]],STOCK[],19,FALSE)*VENTAS[[#This Row],[Cantidad]],VENTAS[[#This Row],[Total]])</f>
        <v>3.77</v>
      </c>
      <c r="L1461" s="35">
        <f>VENTAS[[#This Row],[Total]]-VENTAS[[#This Row],[Comisión 10%]]-VENTAS[[#This Row],[Costo SIN Comision]]</f>
        <v>5.95</v>
      </c>
      <c r="M1461" s="35"/>
    </row>
    <row r="1462" ht="20" customHeight="1" spans="1:13">
      <c r="A1462" s="29">
        <v>45548</v>
      </c>
      <c r="B1462" s="30"/>
      <c r="C1462" s="30" t="s">
        <v>3665</v>
      </c>
      <c r="D1462" s="30" t="s">
        <v>3503</v>
      </c>
      <c r="E1462" s="30" t="s">
        <v>1832</v>
      </c>
      <c r="F1462" s="34" t="str">
        <f>IFERROR(VLOOKUP(VENTAS[[#This Row],[Código del producto Vendido]],STOCK[],5,FALSE),"-")</f>
        <v>Pantalón en piel </v>
      </c>
      <c r="G1462" s="34">
        <v>1</v>
      </c>
      <c r="H1462" s="35">
        <v>25</v>
      </c>
      <c r="I1462" s="35">
        <f>VENTAS[[#This Row],[Cantidad]]*VENTAS[[#This Row],[Precio Venta]]</f>
        <v>25</v>
      </c>
      <c r="J1462" s="35">
        <f>IF(VENTAS[[#This Row],[Nombre del Gestor]]&gt;1,VENTAS[[#This Row],[Total]]*10%,0)</f>
        <v>2.5</v>
      </c>
      <c r="K1462" s="35">
        <f>IFERROR(VLOOKUP(VENTAS[[#This Row],[Código del producto Vendido]],STOCK[],16,FALSE)*VENTAS[[#This Row],[Cantidad]]+VLOOKUP(VENTAS[[#This Row],[Código del producto Vendido]],STOCK[],19,FALSE)*VENTAS[[#This Row],[Cantidad]],VENTAS[[#This Row],[Total]])</f>
        <v>11.79</v>
      </c>
      <c r="L1462" s="35">
        <f>VENTAS[[#This Row],[Total]]-VENTAS[[#This Row],[Comisión 10%]]-VENTAS[[#This Row],[Costo SIN Comision]]</f>
        <v>10.71</v>
      </c>
      <c r="M1462" s="35"/>
    </row>
    <row r="1463" ht="20" customHeight="1" spans="1:13">
      <c r="A1463" s="29">
        <v>45558</v>
      </c>
      <c r="B1463" s="30"/>
      <c r="C1463" s="30" t="s">
        <v>3666</v>
      </c>
      <c r="D1463" s="30" t="s">
        <v>3478</v>
      </c>
      <c r="E1463" s="30" t="s">
        <v>1830</v>
      </c>
      <c r="F1463" s="34" t="str">
        <f>IFERROR(VLOOKUP(VENTAS[[#This Row],[Código del producto Vendido]],STOCK[],5,FALSE),"-")</f>
        <v>Pantalón en piel </v>
      </c>
      <c r="G1463" s="34">
        <v>1</v>
      </c>
      <c r="H1463" s="35">
        <v>25</v>
      </c>
      <c r="I1463" s="35">
        <f>VENTAS[[#This Row],[Cantidad]]*VENTAS[[#This Row],[Precio Venta]]</f>
        <v>25</v>
      </c>
      <c r="J1463" s="35">
        <f>IF(VENTAS[[#This Row],[Nombre del Gestor]]&gt;1,VENTAS[[#This Row],[Total]]*10%,0)</f>
        <v>2.5</v>
      </c>
      <c r="K1463" s="35">
        <f>IFERROR(VLOOKUP(VENTAS[[#This Row],[Código del producto Vendido]],STOCK[],16,FALSE)*VENTAS[[#This Row],[Cantidad]]+VLOOKUP(VENTAS[[#This Row],[Código del producto Vendido]],STOCK[],19,FALSE)*VENTAS[[#This Row],[Cantidad]],VENTAS[[#This Row],[Total]])</f>
        <v>11.79</v>
      </c>
      <c r="L1463" s="35">
        <f>VENTAS[[#This Row],[Total]]-VENTAS[[#This Row],[Comisión 10%]]-VENTAS[[#This Row],[Costo SIN Comision]]</f>
        <v>10.71</v>
      </c>
      <c r="M1463" s="35"/>
    </row>
    <row r="1464" ht="20" customHeight="1" spans="1:13">
      <c r="A1464" s="29">
        <v>45558</v>
      </c>
      <c r="B1464" s="30"/>
      <c r="C1464" s="30" t="s">
        <v>3666</v>
      </c>
      <c r="D1464" s="30" t="s">
        <v>3478</v>
      </c>
      <c r="E1464" s="30" t="s">
        <v>1487</v>
      </c>
      <c r="F1464" s="34" t="str">
        <f>IFERROR(VLOOKUP(VENTAS[[#This Row],[Código del producto Vendido]],STOCK[],5,FALSE),"-")</f>
        <v>Falda satinada negra línea A </v>
      </c>
      <c r="G1464" s="34">
        <v>2</v>
      </c>
      <c r="H1464" s="35">
        <v>25</v>
      </c>
      <c r="I1464" s="35">
        <f>VENTAS[[#This Row],[Cantidad]]*VENTAS[[#This Row],[Precio Venta]]</f>
        <v>50</v>
      </c>
      <c r="J1464" s="35">
        <f>IF(VENTAS[[#This Row],[Nombre del Gestor]]&gt;1,VENTAS[[#This Row],[Total]]*10%,0)</f>
        <v>5</v>
      </c>
      <c r="K1464" s="35">
        <f>IFERROR(VLOOKUP(VENTAS[[#This Row],[Código del producto Vendido]],STOCK[],16,FALSE)*VENTAS[[#This Row],[Cantidad]]+VLOOKUP(VENTAS[[#This Row],[Código del producto Vendido]],STOCK[],19,FALSE)*VENTAS[[#This Row],[Cantidad]],VENTAS[[#This Row],[Total]])</f>
        <v>30</v>
      </c>
      <c r="L1464" s="35">
        <f>VENTAS[[#This Row],[Total]]-VENTAS[[#This Row],[Comisión 10%]]-VENTAS[[#This Row],[Costo SIN Comision]]</f>
        <v>15</v>
      </c>
      <c r="M1464" s="35"/>
    </row>
    <row r="1465" ht="20" customHeight="1" spans="1:13">
      <c r="A1465" s="29">
        <v>45558</v>
      </c>
      <c r="B1465" s="30"/>
      <c r="C1465" s="30" t="s">
        <v>3666</v>
      </c>
      <c r="D1465" s="30" t="s">
        <v>3478</v>
      </c>
      <c r="E1465" s="30" t="s">
        <v>2508</v>
      </c>
      <c r="F1465" s="34" t="str">
        <f>IFERROR(VLOOKUP(VENTAS[[#This Row],[Código del producto Vendido]],STOCK[],5,FALSE),"-")</f>
        <v>Camisa elegante de listas</v>
      </c>
      <c r="G1465" s="34">
        <v>1</v>
      </c>
      <c r="H1465" s="35">
        <v>22</v>
      </c>
      <c r="I1465" s="35">
        <f>VENTAS[[#This Row],[Cantidad]]*VENTAS[[#This Row],[Precio Venta]]</f>
        <v>22</v>
      </c>
      <c r="J1465" s="35">
        <f>IF(VENTAS[[#This Row],[Nombre del Gestor]]&gt;1,VENTAS[[#This Row],[Total]]*10%,0)</f>
        <v>2.2</v>
      </c>
      <c r="K1465" s="35">
        <f>IFERROR(VLOOKUP(VENTAS[[#This Row],[Código del producto Vendido]],STOCK[],16,FALSE)*VENTAS[[#This Row],[Cantidad]]+VLOOKUP(VENTAS[[#This Row],[Código del producto Vendido]],STOCK[],19,FALSE)*VENTAS[[#This Row],[Cantidad]],VENTAS[[#This Row],[Total]])</f>
        <v>11.3</v>
      </c>
      <c r="L1465" s="35">
        <f>VENTAS[[#This Row],[Total]]-VENTAS[[#This Row],[Comisión 10%]]-VENTAS[[#This Row],[Costo SIN Comision]]</f>
        <v>8.5</v>
      </c>
      <c r="M1465" s="35"/>
    </row>
    <row r="1466" ht="20" customHeight="1" spans="1:13">
      <c r="A1466" s="29">
        <v>45553</v>
      </c>
      <c r="B1466" s="30"/>
      <c r="C1466" s="30" t="s">
        <v>3667</v>
      </c>
      <c r="D1466" s="30" t="s">
        <v>3478</v>
      </c>
      <c r="E1466" s="30" t="s">
        <v>2482</v>
      </c>
      <c r="F1466" s="34" t="str">
        <f>IFERROR(VLOOKUP(VENTAS[[#This Row],[Código del producto Vendido]],STOCK[],5,FALSE),"-")</f>
        <v>Zapatos elegantes de punta fina negros</v>
      </c>
      <c r="G1466" s="34">
        <v>1</v>
      </c>
      <c r="H1466" s="35">
        <v>40</v>
      </c>
      <c r="I1466" s="35">
        <f>VENTAS[[#This Row],[Cantidad]]*VENTAS[[#This Row],[Precio Venta]]</f>
        <v>40</v>
      </c>
      <c r="J1466" s="35">
        <f>IF(VENTAS[[#This Row],[Nombre del Gestor]]&gt;1,VENTAS[[#This Row],[Total]]*10%,0)</f>
        <v>4</v>
      </c>
      <c r="K1466" s="35">
        <f>IFERROR(VLOOKUP(VENTAS[[#This Row],[Código del producto Vendido]],STOCK[],16,FALSE)*VENTAS[[#This Row],[Cantidad]]+VLOOKUP(VENTAS[[#This Row],[Código del producto Vendido]],STOCK[],19,FALSE)*VENTAS[[#This Row],[Cantidad]],VENTAS[[#This Row],[Total]])</f>
        <v>21.11405</v>
      </c>
      <c r="L1466" s="35">
        <f>VENTAS[[#This Row],[Total]]-VENTAS[[#This Row],[Comisión 10%]]-VENTAS[[#This Row],[Costo SIN Comision]]</f>
        <v>14.88595</v>
      </c>
      <c r="M1466" s="35"/>
    </row>
    <row r="1467" ht="20" customHeight="1" spans="1:13">
      <c r="A1467" s="29">
        <v>45553</v>
      </c>
      <c r="B1467" s="30"/>
      <c r="C1467" s="30" t="s">
        <v>3667</v>
      </c>
      <c r="D1467" s="30" t="s">
        <v>3478</v>
      </c>
      <c r="E1467" s="30" t="s">
        <v>2418</v>
      </c>
      <c r="F1467" s="34" t="str">
        <f>IFERROR(VLOOKUP(VENTAS[[#This Row],[Código del producto Vendido]],STOCK[],5,FALSE),"-")</f>
        <v>Camisa blanca en mezcla de algodón</v>
      </c>
      <c r="G1467" s="34">
        <v>1</v>
      </c>
      <c r="H1467" s="35">
        <v>25</v>
      </c>
      <c r="I1467" s="35">
        <f>VENTAS[[#This Row],[Cantidad]]*VENTAS[[#This Row],[Precio Venta]]</f>
        <v>25</v>
      </c>
      <c r="J1467" s="35">
        <f>IF(VENTAS[[#This Row],[Nombre del Gestor]]&gt;1,VENTAS[[#This Row],[Total]]*10%,0)</f>
        <v>2.5</v>
      </c>
      <c r="K1467" s="35">
        <f>IFERROR(VLOOKUP(VENTAS[[#This Row],[Código del producto Vendido]],STOCK[],16,FALSE)*VENTAS[[#This Row],[Cantidad]]+VLOOKUP(VENTAS[[#This Row],[Código del producto Vendido]],STOCK[],19,FALSE)*VENTAS[[#This Row],[Cantidad]],VENTAS[[#This Row],[Total]])</f>
        <v>17.7808108108108</v>
      </c>
      <c r="L1467" s="35">
        <f>VENTAS[[#This Row],[Total]]-VENTAS[[#This Row],[Comisión 10%]]-VENTAS[[#This Row],[Costo SIN Comision]]</f>
        <v>4.7191891891892</v>
      </c>
      <c r="M1467" s="35"/>
    </row>
    <row r="1468" ht="20" customHeight="1" spans="1:13">
      <c r="A1468" s="29">
        <v>45546</v>
      </c>
      <c r="B1468" s="30"/>
      <c r="C1468" s="30" t="s">
        <v>3668</v>
      </c>
      <c r="D1468" s="30" t="s">
        <v>3478</v>
      </c>
      <c r="E1468" s="30" t="s">
        <v>2759</v>
      </c>
      <c r="F1468" s="34" t="str">
        <f>IFERROR(VLOOKUP(VENTAS[[#This Row],[Código del producto Vendido]],STOCK[],5,FALSE),"-")</f>
        <v>Set de bikini estilo europeo blanco en tendencia</v>
      </c>
      <c r="G1468" s="34">
        <v>1</v>
      </c>
      <c r="H1468" s="35">
        <v>22</v>
      </c>
      <c r="I1468" s="35">
        <f>VENTAS[[#This Row],[Cantidad]]*VENTAS[[#This Row],[Precio Venta]]</f>
        <v>22</v>
      </c>
      <c r="J1468" s="35">
        <f>IF(VENTAS[[#This Row],[Nombre del Gestor]]&gt;1,VENTAS[[#This Row],[Total]]*10%,0)</f>
        <v>2.2</v>
      </c>
      <c r="K1468" s="35">
        <f>IFERROR(VLOOKUP(VENTAS[[#This Row],[Código del producto Vendido]],STOCK[],16,FALSE)*VENTAS[[#This Row],[Cantidad]]+VLOOKUP(VENTAS[[#This Row],[Código del producto Vendido]],STOCK[],19,FALSE)*VENTAS[[#This Row],[Cantidad]],VENTAS[[#This Row],[Total]])</f>
        <v>13.23</v>
      </c>
      <c r="L1468" s="35">
        <f>VENTAS[[#This Row],[Total]]-VENTAS[[#This Row],[Comisión 10%]]-VENTAS[[#This Row],[Costo SIN Comision]]</f>
        <v>6.57</v>
      </c>
      <c r="M1468" s="35"/>
    </row>
    <row r="1469" ht="20" customHeight="1" spans="1:13">
      <c r="A1469" s="29">
        <v>45547</v>
      </c>
      <c r="B1469" s="30"/>
      <c r="C1469" s="30" t="s">
        <v>3669</v>
      </c>
      <c r="D1469" s="30" t="s">
        <v>3478</v>
      </c>
      <c r="E1469" s="30" t="s">
        <v>2766</v>
      </c>
      <c r="F1469" s="34" t="str">
        <f>IFERROR(VLOOKUP(VENTAS[[#This Row],[Código del producto Vendido]],STOCK[],5,FALSE),"-")</f>
        <v>Set de bikini de estilo europeo de moda color Oliva</v>
      </c>
      <c r="G1469" s="34">
        <v>1</v>
      </c>
      <c r="H1469" s="35">
        <v>22</v>
      </c>
      <c r="I1469" s="35">
        <f>VENTAS[[#This Row],[Cantidad]]*VENTAS[[#This Row],[Precio Venta]]</f>
        <v>22</v>
      </c>
      <c r="J1469" s="35">
        <f>IF(VENTAS[[#This Row],[Nombre del Gestor]]&gt;1,VENTAS[[#This Row],[Total]]*10%,0)</f>
        <v>2.2</v>
      </c>
      <c r="K1469" s="35">
        <f>IFERROR(VLOOKUP(VENTAS[[#This Row],[Código del producto Vendido]],STOCK[],16,FALSE)*VENTAS[[#This Row],[Cantidad]]+VLOOKUP(VENTAS[[#This Row],[Código del producto Vendido]],STOCK[],19,FALSE)*VENTAS[[#This Row],[Cantidad]],VENTAS[[#This Row],[Total]])</f>
        <v>12.87</v>
      </c>
      <c r="L1469" s="35">
        <f>VENTAS[[#This Row],[Total]]-VENTAS[[#This Row],[Comisión 10%]]-VENTAS[[#This Row],[Costo SIN Comision]]</f>
        <v>6.93</v>
      </c>
      <c r="M1469" s="35"/>
    </row>
    <row r="1470" ht="20" customHeight="1" spans="1:13">
      <c r="A1470" s="29">
        <v>45548</v>
      </c>
      <c r="B1470" s="30"/>
      <c r="C1470" s="30" t="s">
        <v>3660</v>
      </c>
      <c r="D1470" s="30" t="s">
        <v>3478</v>
      </c>
      <c r="E1470" s="30" t="s">
        <v>1923</v>
      </c>
      <c r="F1470" s="34" t="str">
        <f>IFERROR(VLOOKUP(VENTAS[[#This Row],[Código del producto Vendido]],STOCK[],5,FALSE),"-")</f>
        <v>Vestido Fresco Verano en Bloque de Color</v>
      </c>
      <c r="G1470" s="34">
        <v>1</v>
      </c>
      <c r="H1470" s="35">
        <v>30</v>
      </c>
      <c r="I1470" s="35">
        <f>VENTAS[[#This Row],[Cantidad]]*VENTAS[[#This Row],[Precio Venta]]</f>
        <v>30</v>
      </c>
      <c r="J1470" s="35">
        <f>IF(VENTAS[[#This Row],[Nombre del Gestor]]&gt;1,VENTAS[[#This Row],[Total]]*10%,0)</f>
        <v>3</v>
      </c>
      <c r="K1470" s="35">
        <f>IFERROR(VLOOKUP(VENTAS[[#This Row],[Código del producto Vendido]],STOCK[],16,FALSE)*VENTAS[[#This Row],[Cantidad]]+VLOOKUP(VENTAS[[#This Row],[Código del producto Vendido]],STOCK[],19,FALSE)*VENTAS[[#This Row],[Cantidad]],VENTAS[[#This Row],[Total]])</f>
        <v>11.61</v>
      </c>
      <c r="L1470" s="35">
        <f>VENTAS[[#This Row],[Total]]-VENTAS[[#This Row],[Comisión 10%]]-VENTAS[[#This Row],[Costo SIN Comision]]</f>
        <v>15.39</v>
      </c>
      <c r="M1470" s="35"/>
    </row>
    <row r="1471" ht="20" customHeight="1" spans="1:13">
      <c r="A1471" s="29"/>
      <c r="B1471" s="30"/>
      <c r="C1471" s="30" t="s">
        <v>3670</v>
      </c>
      <c r="D1471" s="30"/>
      <c r="E1471" s="30" t="s">
        <v>823</v>
      </c>
      <c r="F1471" s="34" t="str">
        <f>IFERROR(VLOOKUP(VENTAS[[#This Row],[Código del producto Vendido]],STOCK[],5,FALSE),"-")</f>
        <v>Bikini Rosa Viejo Satinado </v>
      </c>
      <c r="G1471" s="34">
        <v>1</v>
      </c>
      <c r="H1471" s="35">
        <v>12</v>
      </c>
      <c r="I1471" s="35">
        <f>VENTAS[[#This Row],[Cantidad]]*VENTAS[[#This Row],[Precio Venta]]</f>
        <v>12</v>
      </c>
      <c r="J1471" s="35">
        <f>IF(VENTAS[[#This Row],[Nombre del Gestor]]&gt;1,VENTAS[[#This Row],[Total]]*10%,0)</f>
        <v>0</v>
      </c>
      <c r="K1471" s="35">
        <f>IFERROR(VLOOKUP(VENTAS[[#This Row],[Código del producto Vendido]],STOCK[],16,FALSE)*VENTAS[[#This Row],[Cantidad]]+VLOOKUP(VENTAS[[#This Row],[Código del producto Vendido]],STOCK[],19,FALSE)*VENTAS[[#This Row],[Cantidad]],VENTAS[[#This Row],[Total]])</f>
        <v>6.55555555555556</v>
      </c>
      <c r="L1471" s="35">
        <f>VENTAS[[#This Row],[Total]]-VENTAS[[#This Row],[Comisión 10%]]-VENTAS[[#This Row],[Costo SIN Comision]]</f>
        <v>5.44444444444444</v>
      </c>
      <c r="M1471" s="35"/>
    </row>
    <row r="1472" ht="20" customHeight="1" spans="1:13">
      <c r="A1472" s="29"/>
      <c r="B1472" s="30"/>
      <c r="C1472" s="30" t="s">
        <v>3670</v>
      </c>
      <c r="D1472" s="30"/>
      <c r="E1472" s="30" t="s">
        <v>2191</v>
      </c>
      <c r="F1472" s="34" t="str">
        <f>IFERROR(VLOOKUP(VENTAS[[#This Row],[Código del producto Vendido]],STOCK[],5,FALSE),"-")</f>
        <v>Set de traje de baño elegante 2 piezas con adorno en forma de V</v>
      </c>
      <c r="G1472" s="34">
        <v>1</v>
      </c>
      <c r="H1472" s="35">
        <v>21</v>
      </c>
      <c r="I1472" s="35">
        <f>VENTAS[[#This Row],[Cantidad]]*VENTAS[[#This Row],[Precio Venta]]</f>
        <v>21</v>
      </c>
      <c r="J1472" s="35">
        <f>IF(VENTAS[[#This Row],[Nombre del Gestor]]&gt;1,VENTAS[[#This Row],[Total]]*10%,0)</f>
        <v>0</v>
      </c>
      <c r="K1472" s="35">
        <f>IFERROR(VLOOKUP(VENTAS[[#This Row],[Código del producto Vendido]],STOCK[],16,FALSE)*VENTAS[[#This Row],[Cantidad]]+VLOOKUP(VENTAS[[#This Row],[Código del producto Vendido]],STOCK[],19,FALSE)*VENTAS[[#This Row],[Cantidad]],VENTAS[[#This Row],[Total]])</f>
        <v>11.21</v>
      </c>
      <c r="L1472" s="35">
        <f>VENTAS[[#This Row],[Total]]-VENTAS[[#This Row],[Comisión 10%]]-VENTAS[[#This Row],[Costo SIN Comision]]</f>
        <v>9.79</v>
      </c>
      <c r="M1472" s="35"/>
    </row>
    <row r="1473" ht="20" customHeight="1" spans="1:13">
      <c r="A1473" s="29"/>
      <c r="B1473" s="30"/>
      <c r="C1473" s="30"/>
      <c r="D1473" s="30" t="s">
        <v>3657</v>
      </c>
      <c r="E1473" s="30" t="s">
        <v>2189</v>
      </c>
      <c r="F1473" s="34" t="str">
        <f>IFERROR(VLOOKUP(VENTAS[[#This Row],[Código del producto Vendido]],STOCK[],5,FALSE),"-")</f>
        <v>Conjunto Playero color verde 2 piezas</v>
      </c>
      <c r="G1473" s="34">
        <v>1</v>
      </c>
      <c r="H1473" s="35">
        <v>25</v>
      </c>
      <c r="I1473" s="35">
        <f>VENTAS[[#This Row],[Cantidad]]*VENTAS[[#This Row],[Precio Venta]]</f>
        <v>25</v>
      </c>
      <c r="J1473" s="35">
        <f>IF(VENTAS[[#This Row],[Nombre del Gestor]]&gt;1,VENTAS[[#This Row],[Total]]*10%,0)</f>
        <v>2.5</v>
      </c>
      <c r="K1473" s="35">
        <f>IFERROR(VLOOKUP(VENTAS[[#This Row],[Código del producto Vendido]],STOCK[],16,FALSE)*VENTAS[[#This Row],[Cantidad]]+VLOOKUP(VENTAS[[#This Row],[Código del producto Vendido]],STOCK[],19,FALSE)*VENTAS[[#This Row],[Cantidad]],VENTAS[[#This Row],[Total]])</f>
        <v>12.48</v>
      </c>
      <c r="L1473" s="35">
        <f>VENTAS[[#This Row],[Total]]-VENTAS[[#This Row],[Comisión 10%]]-VENTAS[[#This Row],[Costo SIN Comision]]</f>
        <v>10.02</v>
      </c>
      <c r="M1473" s="35"/>
    </row>
    <row r="1474" ht="20" customHeight="1" spans="1:13">
      <c r="A1474" s="29">
        <v>45566</v>
      </c>
      <c r="B1474" s="30"/>
      <c r="C1474" s="30"/>
      <c r="D1474" s="30" t="s">
        <v>3448</v>
      </c>
      <c r="E1474" s="30" t="s">
        <v>2854</v>
      </c>
      <c r="F1474" s="34" t="str">
        <f>IFERROR(VLOOKUP(VENTAS[[#This Row],[Código del producto Vendido]],STOCK[],5,FALSE),"-")</f>
        <v>Bolso cuadrado tejido de rafia Tamaño grande Color Carmelita</v>
      </c>
      <c r="G1474" s="34">
        <v>1</v>
      </c>
      <c r="H1474" s="35">
        <v>25</v>
      </c>
      <c r="I1474" s="35">
        <f>VENTAS[[#This Row],[Cantidad]]*VENTAS[[#This Row],[Precio Venta]]</f>
        <v>25</v>
      </c>
      <c r="J1474" s="35">
        <f>IF(VENTAS[[#This Row],[Nombre del Gestor]]&gt;1,VENTAS[[#This Row],[Total]]*10%,0)</f>
        <v>2.5</v>
      </c>
      <c r="K1474" s="35">
        <f>IFERROR(VLOOKUP(VENTAS[[#This Row],[Código del producto Vendido]],STOCK[],16,FALSE)*VENTAS[[#This Row],[Cantidad]]+VLOOKUP(VENTAS[[#This Row],[Código del producto Vendido]],STOCK[],19,FALSE)*VENTAS[[#This Row],[Cantidad]],VENTAS[[#This Row],[Total]])</f>
        <v>14.85</v>
      </c>
      <c r="L1474" s="35">
        <f>VENTAS[[#This Row],[Total]]-VENTAS[[#This Row],[Comisión 10%]]-VENTAS[[#This Row],[Costo SIN Comision]]</f>
        <v>7.65</v>
      </c>
      <c r="M1474" s="35"/>
    </row>
    <row r="1475" ht="20" customHeight="1" spans="1:13">
      <c r="A1475" s="29">
        <v>45565</v>
      </c>
      <c r="B1475" s="30"/>
      <c r="C1475" s="30"/>
      <c r="D1475" s="30" t="s">
        <v>3448</v>
      </c>
      <c r="E1475" s="30" t="s">
        <v>2817</v>
      </c>
      <c r="F1475" s="34" t="str">
        <f>IFERROR(VLOOKUP(VENTAS[[#This Row],[Código del producto Vendido]],STOCK[],5,FALSE),"-")</f>
        <v>Bolso de diario ligero y casual de gran capacidad elegante de cocodrilo</v>
      </c>
      <c r="G1475" s="34">
        <v>1</v>
      </c>
      <c r="H1475" s="35">
        <v>25</v>
      </c>
      <c r="I1475" s="35">
        <f>VENTAS[[#This Row],[Cantidad]]*VENTAS[[#This Row],[Precio Venta]]</f>
        <v>25</v>
      </c>
      <c r="J1475" s="35">
        <f>IF(VENTAS[[#This Row],[Nombre del Gestor]]&gt;1,VENTAS[[#This Row],[Total]]*10%,0)</f>
        <v>2.5</v>
      </c>
      <c r="K1475" s="35">
        <f>IFERROR(VLOOKUP(VENTAS[[#This Row],[Código del producto Vendido]],STOCK[],16,FALSE)*VENTAS[[#This Row],[Cantidad]]+VLOOKUP(VENTAS[[#This Row],[Código del producto Vendido]],STOCK[],19,FALSE)*VENTAS[[#This Row],[Cantidad]],VENTAS[[#This Row],[Total]])</f>
        <v>10.14</v>
      </c>
      <c r="L1475" s="35">
        <f>VENTAS[[#This Row],[Total]]-VENTAS[[#This Row],[Comisión 10%]]-VENTAS[[#This Row],[Costo SIN Comision]]</f>
        <v>12.36</v>
      </c>
      <c r="M1475" s="35"/>
    </row>
    <row r="1476" ht="20" customHeight="1" spans="1:13">
      <c r="A1476" s="29">
        <v>45563</v>
      </c>
      <c r="B1476" s="30"/>
      <c r="C1476" s="30"/>
      <c r="D1476" s="30" t="s">
        <v>3448</v>
      </c>
      <c r="E1476" s="30" t="s">
        <v>2783</v>
      </c>
      <c r="F1476" s="34" t="str">
        <f>IFERROR(VLOOKUP(VENTAS[[#This Row],[Código del producto Vendido]],STOCK[],5,FALSE),"-")</f>
        <v>Sandalias doradas de tiras anchas para toda ocasión</v>
      </c>
      <c r="G1476" s="34">
        <v>1</v>
      </c>
      <c r="H1476" s="35">
        <v>20</v>
      </c>
      <c r="I1476" s="35">
        <f>VENTAS[[#This Row],[Cantidad]]*VENTAS[[#This Row],[Precio Venta]]</f>
        <v>20</v>
      </c>
      <c r="J1476" s="35">
        <f>IF(VENTAS[[#This Row],[Nombre del Gestor]]&gt;1,VENTAS[[#This Row],[Total]]*10%,0)</f>
        <v>2</v>
      </c>
      <c r="K1476" s="35">
        <f>IFERROR(VLOOKUP(VENTAS[[#This Row],[Código del producto Vendido]],STOCK[],16,FALSE)*VENTAS[[#This Row],[Cantidad]]+VLOOKUP(VENTAS[[#This Row],[Código del producto Vendido]],STOCK[],19,FALSE)*VENTAS[[#This Row],[Cantidad]],VENTAS[[#This Row],[Total]])</f>
        <v>6.65</v>
      </c>
      <c r="L1476" s="35">
        <f>VENTAS[[#This Row],[Total]]-VENTAS[[#This Row],[Comisión 10%]]-VENTAS[[#This Row],[Costo SIN Comision]]</f>
        <v>11.35</v>
      </c>
      <c r="M1476" s="35"/>
    </row>
    <row r="1477" ht="20" customHeight="1" spans="1:13">
      <c r="A1477" s="29">
        <v>45563</v>
      </c>
      <c r="B1477" s="30"/>
      <c r="C1477" s="30"/>
      <c r="D1477" s="30" t="s">
        <v>3448</v>
      </c>
      <c r="E1477" s="30" t="s">
        <v>2839</v>
      </c>
      <c r="F1477" s="34" t="str">
        <f>IFERROR(VLOOKUP(VENTAS[[#This Row],[Código del producto Vendido]],STOCK[],5,FALSE),"-")</f>
        <v>Bolso de ratán unicolor con ribete negro</v>
      </c>
      <c r="G1477" s="34">
        <v>1</v>
      </c>
      <c r="H1477" s="35">
        <v>30</v>
      </c>
      <c r="I1477" s="35">
        <f>VENTAS[[#This Row],[Cantidad]]*VENTAS[[#This Row],[Precio Venta]]</f>
        <v>30</v>
      </c>
      <c r="J1477" s="35">
        <f>IF(VENTAS[[#This Row],[Nombre del Gestor]]&gt;1,VENTAS[[#This Row],[Total]]*10%,0)</f>
        <v>3</v>
      </c>
      <c r="K1477" s="35">
        <f>IFERROR(VLOOKUP(VENTAS[[#This Row],[Código del producto Vendido]],STOCK[],16,FALSE)*VENTAS[[#This Row],[Cantidad]]+VLOOKUP(VENTAS[[#This Row],[Código del producto Vendido]],STOCK[],19,FALSE)*VENTAS[[#This Row],[Cantidad]],VENTAS[[#This Row],[Total]])</f>
        <v>15.59</v>
      </c>
      <c r="L1477" s="35">
        <f>VENTAS[[#This Row],[Total]]-VENTAS[[#This Row],[Comisión 10%]]-VENTAS[[#This Row],[Costo SIN Comision]]</f>
        <v>11.41</v>
      </c>
      <c r="M1477" s="35"/>
    </row>
    <row r="1478" ht="20" customHeight="1" spans="1:13">
      <c r="A1478" s="29">
        <v>45562</v>
      </c>
      <c r="B1478" s="30"/>
      <c r="C1478" s="30"/>
      <c r="D1478" s="30" t="s">
        <v>3448</v>
      </c>
      <c r="E1478" s="30" t="s">
        <v>2954</v>
      </c>
      <c r="F1478" s="34" t="str">
        <f>IFERROR(VLOOKUP(VENTAS[[#This Row],[Código del producto Vendido]],STOCK[],5,FALSE),"-")</f>
        <v>Vestido elegante largo ajustado con hombro atado</v>
      </c>
      <c r="G1478" s="34">
        <v>1</v>
      </c>
      <c r="H1478" s="35">
        <v>30</v>
      </c>
      <c r="I1478" s="35">
        <f>VENTAS[[#This Row],[Cantidad]]*VENTAS[[#This Row],[Precio Venta]]</f>
        <v>30</v>
      </c>
      <c r="J1478" s="35">
        <f>IF(VENTAS[[#This Row],[Nombre del Gestor]]&gt;1,VENTAS[[#This Row],[Total]]*10%,0)</f>
        <v>3</v>
      </c>
      <c r="K1478" s="35">
        <f>IFERROR(VLOOKUP(VENTAS[[#This Row],[Código del producto Vendido]],STOCK[],16,FALSE)*VENTAS[[#This Row],[Cantidad]]+VLOOKUP(VENTAS[[#This Row],[Código del producto Vendido]],STOCK[],19,FALSE)*VENTAS[[#This Row],[Cantidad]],VENTAS[[#This Row],[Total]])</f>
        <v>15.13</v>
      </c>
      <c r="L1478" s="35">
        <f>VENTAS[[#This Row],[Total]]-VENTAS[[#This Row],[Comisión 10%]]-VENTAS[[#This Row],[Costo SIN Comision]]</f>
        <v>11.87</v>
      </c>
      <c r="M1478" s="35"/>
    </row>
    <row r="1479" ht="20" customHeight="1" spans="1:13">
      <c r="A1479" s="29">
        <v>45560</v>
      </c>
      <c r="B1479" s="30"/>
      <c r="C1479" s="30"/>
      <c r="D1479" s="30" t="s">
        <v>3448</v>
      </c>
      <c r="E1479" s="30" t="s">
        <v>2830</v>
      </c>
      <c r="F1479" s="34" t="str">
        <f>IFERROR(VLOOKUP(VENTAS[[#This Row],[Código del producto Vendido]],STOCK[],5,FALSE),"-")</f>
        <v>Vestido elegante de crochet de de cuello profundo y espalda cruzada</v>
      </c>
      <c r="G1479" s="34">
        <v>1</v>
      </c>
      <c r="H1479" s="35">
        <v>30</v>
      </c>
      <c r="I1479" s="35">
        <f>VENTAS[[#This Row],[Cantidad]]*VENTAS[[#This Row],[Precio Venta]]</f>
        <v>30</v>
      </c>
      <c r="J1479" s="35">
        <f>IF(VENTAS[[#This Row],[Nombre del Gestor]]&gt;1,VENTAS[[#This Row],[Total]]*10%,0)</f>
        <v>3</v>
      </c>
      <c r="K1479" s="35">
        <f>IFERROR(VLOOKUP(VENTAS[[#This Row],[Código del producto Vendido]],STOCK[],16,FALSE)*VENTAS[[#This Row],[Cantidad]]+VLOOKUP(VENTAS[[#This Row],[Código del producto Vendido]],STOCK[],19,FALSE)*VENTAS[[#This Row],[Cantidad]],VENTAS[[#This Row],[Total]])</f>
        <v>13.5</v>
      </c>
      <c r="L1479" s="35">
        <f>VENTAS[[#This Row],[Total]]-VENTAS[[#This Row],[Comisión 10%]]-VENTAS[[#This Row],[Costo SIN Comision]]</f>
        <v>13.5</v>
      </c>
      <c r="M1479" s="35"/>
    </row>
    <row r="1480" ht="20" customHeight="1" spans="1:13">
      <c r="A1480" s="29">
        <v>45565</v>
      </c>
      <c r="B1480" s="30" t="s">
        <v>3671</v>
      </c>
      <c r="C1480" s="30" t="s">
        <v>3672</v>
      </c>
      <c r="D1480" s="30" t="s">
        <v>3312</v>
      </c>
      <c r="E1480" s="30" t="s">
        <v>2793</v>
      </c>
      <c r="F1480" s="34" t="str">
        <f>IFERROR(VLOOKUP(VENTAS[[#This Row],[Código del producto Vendido]],STOCK[],5,FALSE),"-")</f>
        <v>Sandalias estilo chunky de suela gruesa en contraste de color</v>
      </c>
      <c r="G1480" s="34">
        <v>1</v>
      </c>
      <c r="H1480" s="35">
        <v>35</v>
      </c>
      <c r="I1480" s="35">
        <f>VENTAS[[#This Row],[Cantidad]]*VENTAS[[#This Row],[Precio Venta]]</f>
        <v>35</v>
      </c>
      <c r="J1480" s="35">
        <f>IF(VENTAS[[#This Row],[Nombre del Gestor]]&gt;1,VENTAS[[#This Row],[Total]]*10%,0)</f>
        <v>3.5</v>
      </c>
      <c r="K1480" s="35">
        <f>IFERROR(VLOOKUP(VENTAS[[#This Row],[Código del producto Vendido]],STOCK[],16,FALSE)*VENTAS[[#This Row],[Cantidad]]+VLOOKUP(VENTAS[[#This Row],[Código del producto Vendido]],STOCK[],19,FALSE)*VENTAS[[#This Row],[Cantidad]],VENTAS[[#This Row],[Total]])</f>
        <v>13.4</v>
      </c>
      <c r="L1480" s="35">
        <f>VENTAS[[#This Row],[Total]]-VENTAS[[#This Row],[Comisión 10%]]-VENTAS[[#This Row],[Costo SIN Comision]]</f>
        <v>18.1</v>
      </c>
      <c r="M1480" s="35"/>
    </row>
    <row r="1481" ht="20" customHeight="1" spans="1:13">
      <c r="A1481" s="29">
        <v>45565</v>
      </c>
      <c r="B1481" s="30"/>
      <c r="C1481" s="30" t="s">
        <v>3672</v>
      </c>
      <c r="D1481" s="30" t="s">
        <v>3312</v>
      </c>
      <c r="E1481" s="30" t="s">
        <v>2770</v>
      </c>
      <c r="F1481" s="34" t="str">
        <f>IFERROR(VLOOKUP(VENTAS[[#This Row],[Código del producto Vendido]],STOCK[],5,FALSE),"-")</f>
        <v>Sandalias de plataforma de rafia natural</v>
      </c>
      <c r="G1481" s="34">
        <v>1</v>
      </c>
      <c r="H1481" s="35">
        <v>45</v>
      </c>
      <c r="I1481" s="35">
        <f>VENTAS[[#This Row],[Cantidad]]*VENTAS[[#This Row],[Precio Venta]]</f>
        <v>45</v>
      </c>
      <c r="J1481" s="35">
        <f>IF(VENTAS[[#This Row],[Nombre del Gestor]]&gt;1,VENTAS[[#This Row],[Total]]*10%,0)</f>
        <v>4.5</v>
      </c>
      <c r="K1481" s="35">
        <f>IFERROR(VLOOKUP(VENTAS[[#This Row],[Código del producto Vendido]],STOCK[],16,FALSE)*VENTAS[[#This Row],[Cantidad]]+VLOOKUP(VENTAS[[#This Row],[Código del producto Vendido]],STOCK[],19,FALSE)*VENTAS[[#This Row],[Cantidad]],VENTAS[[#This Row],[Total]])</f>
        <v>19.65</v>
      </c>
      <c r="L1481" s="35">
        <f>VENTAS[[#This Row],[Total]]-VENTAS[[#This Row],[Comisión 10%]]-VENTAS[[#This Row],[Costo SIN Comision]]</f>
        <v>20.85</v>
      </c>
      <c r="M1481" s="35"/>
    </row>
    <row r="1482" ht="20" customHeight="1" spans="1:13">
      <c r="A1482" s="29">
        <v>45546</v>
      </c>
      <c r="B1482" s="30"/>
      <c r="C1482" s="30" t="s">
        <v>3673</v>
      </c>
      <c r="D1482" s="30" t="s">
        <v>3312</v>
      </c>
      <c r="E1482" s="30" t="s">
        <v>1407</v>
      </c>
      <c r="F1482" s="34" t="str">
        <f>IFERROR(VLOOKUP(VENTAS[[#This Row],[Código del producto Vendido]],STOCK[],5,FALSE),"-")</f>
        <v>Pantaloneta con abertura y bolsillos</v>
      </c>
      <c r="G1482" s="34">
        <v>1</v>
      </c>
      <c r="H1482" s="35">
        <v>20.7</v>
      </c>
      <c r="I1482" s="35">
        <f>VENTAS[[#This Row],[Cantidad]]*VENTAS[[#This Row],[Precio Venta]]</f>
        <v>20.7</v>
      </c>
      <c r="J1482" s="35">
        <f>IF(VENTAS[[#This Row],[Nombre del Gestor]]&gt;1,VENTAS[[#This Row],[Total]]*10%,0)</f>
        <v>2.07</v>
      </c>
      <c r="K1482" s="35">
        <f>IFERROR(VLOOKUP(VENTAS[[#This Row],[Código del producto Vendido]],STOCK[],16,FALSE)*VENTAS[[#This Row],[Cantidad]]+VLOOKUP(VENTAS[[#This Row],[Código del producto Vendido]],STOCK[],19,FALSE)*VENTAS[[#This Row],[Cantidad]],VENTAS[[#This Row],[Total]])</f>
        <v>14.22</v>
      </c>
      <c r="L1482" s="35">
        <f>VENTAS[[#This Row],[Total]]-VENTAS[[#This Row],[Comisión 10%]]-VENTAS[[#This Row],[Costo SIN Comision]]</f>
        <v>4.41</v>
      </c>
      <c r="M1482" s="35"/>
    </row>
    <row r="1483" ht="20" customHeight="1" spans="1:13">
      <c r="A1483" s="29">
        <v>45565</v>
      </c>
      <c r="B1483" s="30"/>
      <c r="C1483" s="30" t="s">
        <v>3674</v>
      </c>
      <c r="D1483" s="30" t="s">
        <v>3537</v>
      </c>
      <c r="E1483" s="30" t="s">
        <v>2935</v>
      </c>
      <c r="F1483" s="34" t="str">
        <f>IFERROR(VLOOKUP(VENTAS[[#This Row],[Código del producto Vendido]],STOCK[],5,FALSE),"-")</f>
        <v>Vestido maxi sólido con espalda ajustable</v>
      </c>
      <c r="G1483" s="34">
        <v>1</v>
      </c>
      <c r="H1483" s="35">
        <v>25</v>
      </c>
      <c r="I1483" s="35">
        <f>VENTAS[[#This Row],[Cantidad]]*VENTAS[[#This Row],[Precio Venta]]</f>
        <v>25</v>
      </c>
      <c r="J1483" s="35">
        <f>IF(VENTAS[[#This Row],[Nombre del Gestor]]&gt;1,VENTAS[[#This Row],[Total]]*10%,0)</f>
        <v>2.5</v>
      </c>
      <c r="K1483" s="35">
        <f>IFERROR(VLOOKUP(VENTAS[[#This Row],[Código del producto Vendido]],STOCK[],16,FALSE)*VENTAS[[#This Row],[Cantidad]]+VLOOKUP(VENTAS[[#This Row],[Código del producto Vendido]],STOCK[],19,FALSE)*VENTAS[[#This Row],[Cantidad]],VENTAS[[#This Row],[Total]])</f>
        <v>10.79</v>
      </c>
      <c r="L1483" s="35">
        <f>VENTAS[[#This Row],[Total]]-VENTAS[[#This Row],[Comisión 10%]]-VENTAS[[#This Row],[Costo SIN Comision]]</f>
        <v>11.71</v>
      </c>
      <c r="M1483" s="35"/>
    </row>
    <row r="1484" ht="20" customHeight="1" spans="1:13">
      <c r="A1484" s="29">
        <v>45564</v>
      </c>
      <c r="B1484" s="30"/>
      <c r="C1484" s="30" t="s">
        <v>3669</v>
      </c>
      <c r="D1484" s="30" t="s">
        <v>3537</v>
      </c>
      <c r="E1484" s="30" t="s">
        <v>1935</v>
      </c>
      <c r="F1484" s="34" t="str">
        <f>IFERROR(VLOOKUP(VENTAS[[#This Row],[Código del producto Vendido]],STOCK[],5,FALSE),"-")</f>
        <v>Sujetador suave de encaje y satén Beige</v>
      </c>
      <c r="G1484" s="34">
        <v>1</v>
      </c>
      <c r="H1484" s="35">
        <v>8</v>
      </c>
      <c r="I1484" s="35">
        <f>VENTAS[[#This Row],[Cantidad]]*VENTAS[[#This Row],[Precio Venta]]</f>
        <v>8</v>
      </c>
      <c r="J1484" s="35">
        <f>IF(VENTAS[[#This Row],[Nombre del Gestor]]&gt;1,VENTAS[[#This Row],[Total]]*10%,0)</f>
        <v>0.8</v>
      </c>
      <c r="K1484" s="35">
        <f>IFERROR(VLOOKUP(VENTAS[[#This Row],[Código del producto Vendido]],STOCK[],16,FALSE)*VENTAS[[#This Row],[Cantidad]]+VLOOKUP(VENTAS[[#This Row],[Código del producto Vendido]],STOCK[],19,FALSE)*VENTAS[[#This Row],[Cantidad]],VENTAS[[#This Row],[Total]])</f>
        <v>3.85</v>
      </c>
      <c r="L1484" s="35">
        <f>VENTAS[[#This Row],[Total]]-VENTAS[[#This Row],[Comisión 10%]]-VENTAS[[#This Row],[Costo SIN Comision]]</f>
        <v>3.35</v>
      </c>
      <c r="M1484" s="35"/>
    </row>
    <row r="1485" ht="20" customHeight="1" spans="1:13">
      <c r="A1485" s="29">
        <v>45562</v>
      </c>
      <c r="B1485" s="30"/>
      <c r="C1485" s="30" t="s">
        <v>3675</v>
      </c>
      <c r="D1485" s="30" t="s">
        <v>3537</v>
      </c>
      <c r="E1485" s="30" t="s">
        <v>2794</v>
      </c>
      <c r="F1485" s="34" t="str">
        <f>IFERROR(VLOOKUP(VENTAS[[#This Row],[Código del producto Vendido]],STOCK[],5,FALSE),"-")</f>
        <v>Sandalias estilo chunky de suela gruesa en contraste de color</v>
      </c>
      <c r="G1485" s="34">
        <v>1</v>
      </c>
      <c r="H1485" s="35">
        <v>35</v>
      </c>
      <c r="I1485" s="35">
        <f>VENTAS[[#This Row],[Cantidad]]*VENTAS[[#This Row],[Precio Venta]]</f>
        <v>35</v>
      </c>
      <c r="J1485" s="35">
        <f>IF(VENTAS[[#This Row],[Nombre del Gestor]]&gt;1,VENTAS[[#This Row],[Total]]*10%,0)</f>
        <v>3.5</v>
      </c>
      <c r="K1485" s="35">
        <f>IFERROR(VLOOKUP(VENTAS[[#This Row],[Código del producto Vendido]],STOCK[],16,FALSE)*VENTAS[[#This Row],[Cantidad]]+VLOOKUP(VENTAS[[#This Row],[Código del producto Vendido]],STOCK[],19,FALSE)*VENTAS[[#This Row],[Cantidad]],VENTAS[[#This Row],[Total]])</f>
        <v>19.65</v>
      </c>
      <c r="L1485" s="35">
        <f>VENTAS[[#This Row],[Total]]-VENTAS[[#This Row],[Comisión 10%]]-VENTAS[[#This Row],[Costo SIN Comision]]</f>
        <v>11.85</v>
      </c>
      <c r="M1485" s="35"/>
    </row>
    <row r="1486" ht="20" customHeight="1" spans="1:13">
      <c r="A1486" s="29">
        <v>45562</v>
      </c>
      <c r="B1486" s="30"/>
      <c r="C1486" s="30" t="s">
        <v>3676</v>
      </c>
      <c r="D1486" s="30" t="s">
        <v>3537</v>
      </c>
      <c r="E1486" s="30" t="s">
        <v>2812</v>
      </c>
      <c r="F1486" s="34" t="str">
        <f>IFERROR(VLOOKUP(VENTAS[[#This Row],[Código del producto Vendido]],STOCK[],5,FALSE),"-")</f>
        <v>Bolso de ratán de Moda para vacaciones tamaño mediano con diseño de listas negras</v>
      </c>
      <c r="G1486" s="34">
        <v>1</v>
      </c>
      <c r="H1486" s="35">
        <v>22</v>
      </c>
      <c r="I1486" s="35">
        <f>VENTAS[[#This Row],[Cantidad]]*VENTAS[[#This Row],[Precio Venta]]</f>
        <v>22</v>
      </c>
      <c r="J1486" s="35">
        <f>IF(VENTAS[[#This Row],[Nombre del Gestor]]&gt;1,VENTAS[[#This Row],[Total]]*10%,0)</f>
        <v>2.2</v>
      </c>
      <c r="K1486" s="35">
        <f>IFERROR(VLOOKUP(VENTAS[[#This Row],[Código del producto Vendido]],STOCK[],16,FALSE)*VENTAS[[#This Row],[Cantidad]]+VLOOKUP(VENTAS[[#This Row],[Código del producto Vendido]],STOCK[],19,FALSE)*VENTAS[[#This Row],[Cantidad]],VENTAS[[#This Row],[Total]])</f>
        <v>12.17</v>
      </c>
      <c r="L1486" s="35">
        <f>VENTAS[[#This Row],[Total]]-VENTAS[[#This Row],[Comisión 10%]]-VENTAS[[#This Row],[Costo SIN Comision]]</f>
        <v>7.63</v>
      </c>
      <c r="M1486" s="35"/>
    </row>
    <row r="1487" ht="20" customHeight="1" spans="1:13">
      <c r="A1487" s="29">
        <v>45558</v>
      </c>
      <c r="B1487" s="30"/>
      <c r="C1487" s="30" t="s">
        <v>3677</v>
      </c>
      <c r="D1487" s="30" t="s">
        <v>3537</v>
      </c>
      <c r="E1487" s="30" t="s">
        <v>2730</v>
      </c>
      <c r="F1487" s="34" t="str">
        <f>IFERROR(VLOOKUP(VENTAS[[#This Row],[Código del producto Vendido]],STOCK[],5,FALSE),"-")</f>
        <v>Traje de baño sexy de una sola pieza negro</v>
      </c>
      <c r="G1487" s="34">
        <v>1</v>
      </c>
      <c r="H1487" s="35">
        <v>20</v>
      </c>
      <c r="I1487" s="35">
        <f>VENTAS[[#This Row],[Cantidad]]*VENTAS[[#This Row],[Precio Venta]]</f>
        <v>20</v>
      </c>
      <c r="J1487" s="35">
        <f>IF(VENTAS[[#This Row],[Nombre del Gestor]]&gt;1,VENTAS[[#This Row],[Total]]*10%,0)</f>
        <v>2</v>
      </c>
      <c r="K1487" s="35">
        <f>IFERROR(VLOOKUP(VENTAS[[#This Row],[Código del producto Vendido]],STOCK[],16,FALSE)*VENTAS[[#This Row],[Cantidad]]+VLOOKUP(VENTAS[[#This Row],[Código del producto Vendido]],STOCK[],19,FALSE)*VENTAS[[#This Row],[Cantidad]],VENTAS[[#This Row],[Total]])</f>
        <v>11.06</v>
      </c>
      <c r="L1487" s="35">
        <f>VENTAS[[#This Row],[Total]]-VENTAS[[#This Row],[Comisión 10%]]-VENTAS[[#This Row],[Costo SIN Comision]]</f>
        <v>6.94</v>
      </c>
      <c r="M1487" s="35"/>
    </row>
    <row r="1488" ht="20" customHeight="1" spans="1:13">
      <c r="A1488" s="29">
        <v>45565</v>
      </c>
      <c r="B1488" s="30"/>
      <c r="C1488" s="30" t="s">
        <v>3678</v>
      </c>
      <c r="D1488" s="30" t="s">
        <v>3478</v>
      </c>
      <c r="E1488" s="30" t="s">
        <v>2822</v>
      </c>
      <c r="F1488" s="34" t="str">
        <f>IFERROR(VLOOKUP(VENTAS[[#This Row],[Código del producto Vendido]],STOCK[],5,FALSE),"-")</f>
        <v>Bolso tejido redondo de gran capacidad Beis</v>
      </c>
      <c r="G1488" s="34">
        <v>1</v>
      </c>
      <c r="H1488" s="35">
        <v>25</v>
      </c>
      <c r="I1488" s="35">
        <f>VENTAS[[#This Row],[Cantidad]]*VENTAS[[#This Row],[Precio Venta]]</f>
        <v>25</v>
      </c>
      <c r="J1488" s="35">
        <f>IF(VENTAS[[#This Row],[Nombre del Gestor]]&gt;1,VENTAS[[#This Row],[Total]]*10%,0)</f>
        <v>2.5</v>
      </c>
      <c r="K1488" s="35">
        <f>IFERROR(VLOOKUP(VENTAS[[#This Row],[Código del producto Vendido]],STOCK[],16,FALSE)*VENTAS[[#This Row],[Cantidad]]+VLOOKUP(VENTAS[[#This Row],[Código del producto Vendido]],STOCK[],19,FALSE)*VENTAS[[#This Row],[Cantidad]],VENTAS[[#This Row],[Total]])</f>
        <v>12.74</v>
      </c>
      <c r="L1488" s="35">
        <f>VENTAS[[#This Row],[Total]]-VENTAS[[#This Row],[Comisión 10%]]-VENTAS[[#This Row],[Costo SIN Comision]]</f>
        <v>9.76</v>
      </c>
      <c r="M1488" s="35"/>
    </row>
    <row r="1489" ht="20" customHeight="1" spans="1:13">
      <c r="A1489" s="29">
        <v>45565</v>
      </c>
      <c r="B1489" s="30"/>
      <c r="C1489" s="30" t="s">
        <v>3679</v>
      </c>
      <c r="D1489" s="30" t="s">
        <v>3478</v>
      </c>
      <c r="E1489" s="30" t="s">
        <v>2826</v>
      </c>
      <c r="F1489" s="34" t="str">
        <f>IFERROR(VLOOKUP(VENTAS[[#This Row],[Código del producto Vendido]],STOCK[],5,FALSE),"-")</f>
        <v>Bolso tejido redondo de gran capacidad Ojo Turco</v>
      </c>
      <c r="G1489" s="34">
        <v>1</v>
      </c>
      <c r="H1489" s="35">
        <v>25</v>
      </c>
      <c r="I1489" s="35">
        <f>VENTAS[[#This Row],[Cantidad]]*VENTAS[[#This Row],[Precio Venta]]</f>
        <v>25</v>
      </c>
      <c r="J1489" s="35">
        <f>IF(VENTAS[[#This Row],[Nombre del Gestor]]&gt;1,VENTAS[[#This Row],[Total]]*10%,0)</f>
        <v>2.5</v>
      </c>
      <c r="K1489" s="35">
        <f>IFERROR(VLOOKUP(VENTAS[[#This Row],[Código del producto Vendido]],STOCK[],16,FALSE)*VENTAS[[#This Row],[Cantidad]]+VLOOKUP(VENTAS[[#This Row],[Código del producto Vendido]],STOCK[],19,FALSE)*VENTAS[[#This Row],[Cantidad]],VENTAS[[#This Row],[Total]])</f>
        <v>13.03</v>
      </c>
      <c r="L1489" s="35">
        <f>VENTAS[[#This Row],[Total]]-VENTAS[[#This Row],[Comisión 10%]]-VENTAS[[#This Row],[Costo SIN Comision]]</f>
        <v>9.47</v>
      </c>
      <c r="M1489" s="35"/>
    </row>
    <row r="1490" ht="20" customHeight="1" spans="1:13">
      <c r="A1490" s="29">
        <v>45564</v>
      </c>
      <c r="B1490" s="30"/>
      <c r="C1490" s="30" t="s">
        <v>3680</v>
      </c>
      <c r="D1490" s="30" t="s">
        <v>3478</v>
      </c>
      <c r="E1490" s="30" t="s">
        <v>2817</v>
      </c>
      <c r="F1490" s="34" t="str">
        <f>IFERROR(VLOOKUP(VENTAS[[#This Row],[Código del producto Vendido]],STOCK[],5,FALSE),"-")</f>
        <v>Bolso de diario ligero y casual de gran capacidad elegante de cocodrilo</v>
      </c>
      <c r="G1490" s="34">
        <v>1</v>
      </c>
      <c r="H1490" s="35">
        <v>25</v>
      </c>
      <c r="I1490" s="35">
        <f>VENTAS[[#This Row],[Cantidad]]*VENTAS[[#This Row],[Precio Venta]]</f>
        <v>25</v>
      </c>
      <c r="J1490" s="35">
        <f>IF(VENTAS[[#This Row],[Nombre del Gestor]]&gt;1,VENTAS[[#This Row],[Total]]*10%,0)</f>
        <v>2.5</v>
      </c>
      <c r="K1490" s="35">
        <f>IFERROR(VLOOKUP(VENTAS[[#This Row],[Código del producto Vendido]],STOCK[],16,FALSE)*VENTAS[[#This Row],[Cantidad]]+VLOOKUP(VENTAS[[#This Row],[Código del producto Vendido]],STOCK[],19,FALSE)*VENTAS[[#This Row],[Cantidad]],VENTAS[[#This Row],[Total]])</f>
        <v>10.14</v>
      </c>
      <c r="L1490" s="35">
        <f>VENTAS[[#This Row],[Total]]-VENTAS[[#This Row],[Comisión 10%]]-VENTAS[[#This Row],[Costo SIN Comision]]</f>
        <v>12.36</v>
      </c>
      <c r="M1490" s="35"/>
    </row>
    <row r="1491" ht="20" customHeight="1" spans="1:13">
      <c r="A1491" s="29">
        <v>45564</v>
      </c>
      <c r="B1491" s="30"/>
      <c r="C1491" s="30" t="s">
        <v>3681</v>
      </c>
      <c r="D1491" s="30" t="s">
        <v>3478</v>
      </c>
      <c r="E1491" s="30" t="s">
        <v>2812</v>
      </c>
      <c r="F1491" s="34" t="str">
        <f>IFERROR(VLOOKUP(VENTAS[[#This Row],[Código del producto Vendido]],STOCK[],5,FALSE),"-")</f>
        <v>Bolso de ratán de Moda para vacaciones tamaño mediano con diseño de listas negras</v>
      </c>
      <c r="G1491" s="34">
        <v>1</v>
      </c>
      <c r="H1491" s="35">
        <v>22</v>
      </c>
      <c r="I1491" s="35">
        <f>VENTAS[[#This Row],[Cantidad]]*VENTAS[[#This Row],[Precio Venta]]</f>
        <v>22</v>
      </c>
      <c r="J1491" s="35">
        <f>IF(VENTAS[[#This Row],[Nombre del Gestor]]&gt;1,VENTAS[[#This Row],[Total]]*10%,0)</f>
        <v>2.2</v>
      </c>
      <c r="K1491" s="35">
        <f>IFERROR(VLOOKUP(VENTAS[[#This Row],[Código del producto Vendido]],STOCK[],16,FALSE)*VENTAS[[#This Row],[Cantidad]]+VLOOKUP(VENTAS[[#This Row],[Código del producto Vendido]],STOCK[],19,FALSE)*VENTAS[[#This Row],[Cantidad]],VENTAS[[#This Row],[Total]])</f>
        <v>12.17</v>
      </c>
      <c r="L1491" s="35">
        <f>VENTAS[[#This Row],[Total]]-VENTAS[[#This Row],[Comisión 10%]]-VENTAS[[#This Row],[Costo SIN Comision]]</f>
        <v>7.63</v>
      </c>
      <c r="M1491" s="35"/>
    </row>
    <row r="1492" ht="20" customHeight="1" spans="1:13">
      <c r="A1492" s="29">
        <v>45563</v>
      </c>
      <c r="B1492" s="30"/>
      <c r="C1492" s="30" t="s">
        <v>3682</v>
      </c>
      <c r="D1492" s="30" t="s">
        <v>3478</v>
      </c>
      <c r="E1492" s="30" t="s">
        <v>2801</v>
      </c>
      <c r="F1492" s="34" t="str">
        <f>IFERROR(VLOOKUP(VENTAS[[#This Row],[Código del producto Vendido]],STOCK[],5,FALSE),"-")</f>
        <v>Sandalias espadriles de cuña de correas transparentes</v>
      </c>
      <c r="G1492" s="34">
        <v>1</v>
      </c>
      <c r="H1492" s="35">
        <v>40</v>
      </c>
      <c r="I1492" s="35">
        <f>VENTAS[[#This Row],[Cantidad]]*VENTAS[[#This Row],[Precio Venta]]</f>
        <v>40</v>
      </c>
      <c r="J1492" s="35">
        <f>IF(VENTAS[[#This Row],[Nombre del Gestor]]&gt;1,VENTAS[[#This Row],[Total]]*10%,0)</f>
        <v>4</v>
      </c>
      <c r="K1492" s="35">
        <f>IFERROR(VLOOKUP(VENTAS[[#This Row],[Código del producto Vendido]],STOCK[],16,FALSE)*VENTAS[[#This Row],[Cantidad]]+VLOOKUP(VENTAS[[#This Row],[Código del producto Vendido]],STOCK[],19,FALSE)*VENTAS[[#This Row],[Cantidad]],VENTAS[[#This Row],[Total]])</f>
        <v>13.01</v>
      </c>
      <c r="L1492" s="35">
        <f>VENTAS[[#This Row],[Total]]-VENTAS[[#This Row],[Comisión 10%]]-VENTAS[[#This Row],[Costo SIN Comision]]</f>
        <v>22.99</v>
      </c>
      <c r="M1492" s="35"/>
    </row>
    <row r="1493" ht="20" customHeight="1" spans="1:13">
      <c r="A1493" s="29">
        <v>45565</v>
      </c>
      <c r="B1493" s="30"/>
      <c r="C1493" s="30" t="s">
        <v>3683</v>
      </c>
      <c r="D1493" s="30" t="s">
        <v>3478</v>
      </c>
      <c r="E1493" s="30" t="s">
        <v>2780</v>
      </c>
      <c r="F1493" s="34" t="str">
        <f>IFERROR(VLOOKUP(VENTAS[[#This Row],[Código del producto Vendido]],STOCK[],5,FALSE),"-")</f>
        <v>Sandalias naranjas espadriles de saco atadas con hebilla al tobillo</v>
      </c>
      <c r="G1493" s="34">
        <v>1</v>
      </c>
      <c r="H1493" s="35">
        <v>35</v>
      </c>
      <c r="I1493" s="35">
        <f>VENTAS[[#This Row],[Cantidad]]*VENTAS[[#This Row],[Precio Venta]]</f>
        <v>35</v>
      </c>
      <c r="J1493" s="35">
        <f>IF(VENTAS[[#This Row],[Nombre del Gestor]]&gt;1,VENTAS[[#This Row],[Total]]*10%,0)</f>
        <v>3.5</v>
      </c>
      <c r="K1493" s="35">
        <f>IFERROR(VLOOKUP(VENTAS[[#This Row],[Código del producto Vendido]],STOCK[],16,FALSE)*VENTAS[[#This Row],[Cantidad]]+VLOOKUP(VENTAS[[#This Row],[Código del producto Vendido]],STOCK[],19,FALSE)*VENTAS[[#This Row],[Cantidad]],VENTAS[[#This Row],[Total]])</f>
        <v>10.4</v>
      </c>
      <c r="L1493" s="35">
        <f>VENTAS[[#This Row],[Total]]-VENTAS[[#This Row],[Comisión 10%]]-VENTAS[[#This Row],[Costo SIN Comision]]</f>
        <v>21.1</v>
      </c>
      <c r="M1493" s="35"/>
    </row>
    <row r="1494" ht="20" customHeight="1" spans="1:13">
      <c r="A1494" s="29">
        <v>45560</v>
      </c>
      <c r="B1494" s="30"/>
      <c r="C1494" s="30" t="s">
        <v>3684</v>
      </c>
      <c r="D1494" s="30" t="s">
        <v>3478</v>
      </c>
      <c r="E1494" s="30" t="s">
        <v>2824</v>
      </c>
      <c r="F1494" s="34" t="str">
        <f>IFERROR(VLOOKUP(VENTAS[[#This Row],[Código del producto Vendido]],STOCK[],5,FALSE),"-")</f>
        <v>Bolso tejido redondo de gran capacidad Carmelita</v>
      </c>
      <c r="G1494" s="34">
        <v>1</v>
      </c>
      <c r="H1494" s="35">
        <v>25</v>
      </c>
      <c r="I1494" s="35">
        <f>VENTAS[[#This Row],[Cantidad]]*VENTAS[[#This Row],[Precio Venta]]</f>
        <v>25</v>
      </c>
      <c r="J1494" s="35">
        <f>IF(VENTAS[[#This Row],[Nombre del Gestor]]&gt;1,VENTAS[[#This Row],[Total]]*10%,0)</f>
        <v>2.5</v>
      </c>
      <c r="K1494" s="35">
        <f>IFERROR(VLOOKUP(VENTAS[[#This Row],[Código del producto Vendido]],STOCK[],16,FALSE)*VENTAS[[#This Row],[Cantidad]]+VLOOKUP(VENTAS[[#This Row],[Código del producto Vendido]],STOCK[],19,FALSE)*VENTAS[[#This Row],[Cantidad]],VENTAS[[#This Row],[Total]])</f>
        <v>13.31</v>
      </c>
      <c r="L1494" s="35">
        <f>VENTAS[[#This Row],[Total]]-VENTAS[[#This Row],[Comisión 10%]]-VENTAS[[#This Row],[Costo SIN Comision]]</f>
        <v>9.19</v>
      </c>
      <c r="M1494" s="35"/>
    </row>
    <row r="1495" ht="20" customHeight="1" spans="1:13">
      <c r="A1495" s="29">
        <v>45560</v>
      </c>
      <c r="B1495" s="30"/>
      <c r="C1495" s="30" t="s">
        <v>3685</v>
      </c>
      <c r="D1495" s="30" t="s">
        <v>3478</v>
      </c>
      <c r="E1495" s="30" t="s">
        <v>2854</v>
      </c>
      <c r="F1495" s="34" t="str">
        <f>IFERROR(VLOOKUP(VENTAS[[#This Row],[Código del producto Vendido]],STOCK[],5,FALSE),"-")</f>
        <v>Bolso cuadrado tejido de rafia Tamaño grande Color Carmelita</v>
      </c>
      <c r="G1495" s="34">
        <v>1</v>
      </c>
      <c r="H1495" s="35">
        <v>25</v>
      </c>
      <c r="I1495" s="35">
        <f>VENTAS[[#This Row],[Cantidad]]*VENTAS[[#This Row],[Precio Venta]]</f>
        <v>25</v>
      </c>
      <c r="J1495" s="35">
        <f>IF(VENTAS[[#This Row],[Nombre del Gestor]]&gt;1,VENTAS[[#This Row],[Total]]*10%,0)</f>
        <v>2.5</v>
      </c>
      <c r="K1495" s="35">
        <f>IFERROR(VLOOKUP(VENTAS[[#This Row],[Código del producto Vendido]],STOCK[],16,FALSE)*VENTAS[[#This Row],[Cantidad]]+VLOOKUP(VENTAS[[#This Row],[Código del producto Vendido]],STOCK[],19,FALSE)*VENTAS[[#This Row],[Cantidad]],VENTAS[[#This Row],[Total]])</f>
        <v>14.85</v>
      </c>
      <c r="L1495" s="35">
        <f>VENTAS[[#This Row],[Total]]-VENTAS[[#This Row],[Comisión 10%]]-VENTAS[[#This Row],[Costo SIN Comision]]</f>
        <v>7.65</v>
      </c>
      <c r="M1495" s="35"/>
    </row>
    <row r="1496" ht="20" customHeight="1" spans="1:13">
      <c r="A1496" s="29">
        <v>45560</v>
      </c>
      <c r="B1496" s="30"/>
      <c r="C1496" s="30" t="s">
        <v>3686</v>
      </c>
      <c r="D1496" s="30" t="s">
        <v>3478</v>
      </c>
      <c r="E1496" s="30" t="s">
        <v>2812</v>
      </c>
      <c r="F1496" s="34" t="str">
        <f>IFERROR(VLOOKUP(VENTAS[[#This Row],[Código del producto Vendido]],STOCK[],5,FALSE),"-")</f>
        <v>Bolso de ratán de Moda para vacaciones tamaño mediano con diseño de listas negras</v>
      </c>
      <c r="G1496" s="34">
        <v>1</v>
      </c>
      <c r="H1496" s="35">
        <v>22</v>
      </c>
      <c r="I1496" s="35">
        <f>VENTAS[[#This Row],[Cantidad]]*VENTAS[[#This Row],[Precio Venta]]</f>
        <v>22</v>
      </c>
      <c r="J1496" s="35">
        <f>IF(VENTAS[[#This Row],[Nombre del Gestor]]&gt;1,VENTAS[[#This Row],[Total]]*10%,0)</f>
        <v>2.2</v>
      </c>
      <c r="K1496" s="35">
        <f>IFERROR(VLOOKUP(VENTAS[[#This Row],[Código del producto Vendido]],STOCK[],16,FALSE)*VENTAS[[#This Row],[Cantidad]]+VLOOKUP(VENTAS[[#This Row],[Código del producto Vendido]],STOCK[],19,FALSE)*VENTAS[[#This Row],[Cantidad]],VENTAS[[#This Row],[Total]])</f>
        <v>12.17</v>
      </c>
      <c r="L1496" s="35">
        <f>VENTAS[[#This Row],[Total]]-VENTAS[[#This Row],[Comisión 10%]]-VENTAS[[#This Row],[Costo SIN Comision]]</f>
        <v>7.63</v>
      </c>
      <c r="M1496" s="35"/>
    </row>
    <row r="1497" ht="20" customHeight="1" spans="1:13">
      <c r="A1497" s="29">
        <v>45558</v>
      </c>
      <c r="B1497" s="30"/>
      <c r="C1497" s="30" t="s">
        <v>3666</v>
      </c>
      <c r="D1497" s="30" t="s">
        <v>3478</v>
      </c>
      <c r="E1497" s="30" t="s">
        <v>3019</v>
      </c>
      <c r="F1497" s="34" t="str">
        <f>IFERROR(VLOOKUP(VENTAS[[#This Row],[Código del producto Vendido]],STOCK[],5,FALSE),"-")</f>
        <v>falda negra con abertura H&amp;M</v>
      </c>
      <c r="G1497" s="34">
        <v>1</v>
      </c>
      <c r="H1497" s="35">
        <v>25</v>
      </c>
      <c r="I1497" s="35">
        <f>VENTAS[[#This Row],[Cantidad]]*VENTAS[[#This Row],[Precio Venta]]</f>
        <v>25</v>
      </c>
      <c r="J1497" s="35">
        <f>IF(VENTAS[[#This Row],[Nombre del Gestor]]&gt;1,VENTAS[[#This Row],[Total]]*10%,0)</f>
        <v>2.5</v>
      </c>
      <c r="K1497" s="35">
        <f>IFERROR(VLOOKUP(VENTAS[[#This Row],[Código del producto Vendido]],STOCK[],16,FALSE)*VENTAS[[#This Row],[Cantidad]]+VLOOKUP(VENTAS[[#This Row],[Código del producto Vendido]],STOCK[],19,FALSE)*VENTAS[[#This Row],[Cantidad]],VENTAS[[#This Row],[Total]])</f>
        <v>14.6</v>
      </c>
      <c r="L1497" s="35">
        <f>VENTAS[[#This Row],[Total]]-VENTAS[[#This Row],[Comisión 10%]]-VENTAS[[#This Row],[Costo SIN Comision]]</f>
        <v>7.9</v>
      </c>
      <c r="M1497" s="35"/>
    </row>
    <row r="1498" ht="20" customHeight="1" spans="1:13">
      <c r="A1498" s="29">
        <v>45536</v>
      </c>
      <c r="B1498" s="30"/>
      <c r="C1498" s="30" t="s">
        <v>3687</v>
      </c>
      <c r="D1498" s="30" t="s">
        <v>3478</v>
      </c>
      <c r="E1498" s="30" t="s">
        <v>2452</v>
      </c>
      <c r="F1498" s="34" t="str">
        <f>IFERROR(VLOOKUP(VENTAS[[#This Row],[Código del producto Vendido]],STOCK[],5,FALSE),"-")</f>
        <v>Sandalias prácticas Chunky Negras</v>
      </c>
      <c r="G1498" s="34">
        <v>1</v>
      </c>
      <c r="H1498" s="35">
        <v>35</v>
      </c>
      <c r="I1498" s="35">
        <f>VENTAS[[#This Row],[Cantidad]]*VENTAS[[#This Row],[Precio Venta]]</f>
        <v>35</v>
      </c>
      <c r="J1498" s="35">
        <f>IF(VENTAS[[#This Row],[Nombre del Gestor]]&gt;1,VENTAS[[#This Row],[Total]]*10%,0)</f>
        <v>3.5</v>
      </c>
      <c r="K1498" s="35">
        <f>IFERROR(VLOOKUP(VENTAS[[#This Row],[Código del producto Vendido]],STOCK[],16,FALSE)*VENTAS[[#This Row],[Cantidad]]+VLOOKUP(VENTAS[[#This Row],[Código del producto Vendido]],STOCK[],19,FALSE)*VENTAS[[#This Row],[Cantidad]],VENTAS[[#This Row],[Total]])</f>
        <v>21.97</v>
      </c>
      <c r="L1498" s="35">
        <f>VENTAS[[#This Row],[Total]]-VENTAS[[#This Row],[Comisión 10%]]-VENTAS[[#This Row],[Costo SIN Comision]]</f>
        <v>9.53</v>
      </c>
      <c r="M1498" s="35"/>
    </row>
    <row r="1499" ht="20" customHeight="1" spans="1:13">
      <c r="A1499" s="29">
        <v>45565</v>
      </c>
      <c r="B1499" s="30"/>
      <c r="C1499" s="30" t="s">
        <v>3598</v>
      </c>
      <c r="D1499" s="30" t="s">
        <v>3503</v>
      </c>
      <c r="E1499" s="30" t="s">
        <v>2817</v>
      </c>
      <c r="F1499" s="34" t="str">
        <f>IFERROR(VLOOKUP(VENTAS[[#This Row],[Código del producto Vendido]],STOCK[],5,FALSE),"-")</f>
        <v>Bolso de diario ligero y casual de gran capacidad elegante de cocodrilo</v>
      </c>
      <c r="G1499" s="34">
        <v>1</v>
      </c>
      <c r="H1499" s="35">
        <v>25</v>
      </c>
      <c r="I1499" s="35">
        <f>VENTAS[[#This Row],[Cantidad]]*VENTAS[[#This Row],[Precio Venta]]</f>
        <v>25</v>
      </c>
      <c r="J1499" s="35">
        <f>IF(VENTAS[[#This Row],[Nombre del Gestor]]&gt;1,VENTAS[[#This Row],[Total]]*10%,0)</f>
        <v>2.5</v>
      </c>
      <c r="K1499" s="35">
        <f>IFERROR(VLOOKUP(VENTAS[[#This Row],[Código del producto Vendido]],STOCK[],16,FALSE)*VENTAS[[#This Row],[Cantidad]]+VLOOKUP(VENTAS[[#This Row],[Código del producto Vendido]],STOCK[],19,FALSE)*VENTAS[[#This Row],[Cantidad]],VENTAS[[#This Row],[Total]])</f>
        <v>10.14</v>
      </c>
      <c r="L1499" s="35">
        <f>VENTAS[[#This Row],[Total]]-VENTAS[[#This Row],[Comisión 10%]]-VENTAS[[#This Row],[Costo SIN Comision]]</f>
        <v>12.36</v>
      </c>
      <c r="M1499" s="35"/>
    </row>
    <row r="1500" ht="20" customHeight="1" spans="1:13">
      <c r="A1500" s="29">
        <v>45565</v>
      </c>
      <c r="B1500" s="30"/>
      <c r="C1500" s="30" t="s">
        <v>3446</v>
      </c>
      <c r="D1500" s="30"/>
      <c r="E1500" s="30" t="s">
        <v>2452</v>
      </c>
      <c r="F1500" s="34" t="str">
        <f>IFERROR(VLOOKUP(VENTAS[[#This Row],[Código del producto Vendido]],STOCK[],5,FALSE),"-")</f>
        <v>Sandalias prácticas Chunky Negras</v>
      </c>
      <c r="G1500" s="34">
        <v>2</v>
      </c>
      <c r="H1500" s="35">
        <v>35</v>
      </c>
      <c r="I1500" s="35">
        <f>VENTAS[[#This Row],[Cantidad]]*VENTAS[[#This Row],[Precio Venta]]</f>
        <v>70</v>
      </c>
      <c r="J1500" s="35">
        <f>IF(VENTAS[[#This Row],[Nombre del Gestor]]&gt;1,VENTAS[[#This Row],[Total]]*10%,0)</f>
        <v>0</v>
      </c>
      <c r="K1500" s="35">
        <f>IFERROR(VLOOKUP(VENTAS[[#This Row],[Código del producto Vendido]],STOCK[],16,FALSE)*VENTAS[[#This Row],[Cantidad]]+VLOOKUP(VENTAS[[#This Row],[Código del producto Vendido]],STOCK[],19,FALSE)*VENTAS[[#This Row],[Cantidad]],VENTAS[[#This Row],[Total]])</f>
        <v>43.94</v>
      </c>
      <c r="L1500" s="35">
        <f>VENTAS[[#This Row],[Total]]-VENTAS[[#This Row],[Comisión 10%]]-VENTAS[[#This Row],[Costo SIN Comision]]</f>
        <v>26.06</v>
      </c>
      <c r="M1500" s="35"/>
    </row>
    <row r="1501" ht="20" customHeight="1" spans="1:13">
      <c r="A1501" s="29">
        <v>45564</v>
      </c>
      <c r="B1501" s="30"/>
      <c r="C1501" s="30" t="s">
        <v>3617</v>
      </c>
      <c r="D1501" s="30" t="s">
        <v>3312</v>
      </c>
      <c r="E1501" s="30" t="s">
        <v>2503</v>
      </c>
      <c r="F1501" s="34" t="str">
        <f>IFERROR(VLOOKUP(VENTAS[[#This Row],[Código del producto Vendido]],STOCK[],5,FALSE),"-")</f>
        <v>Camisa elegante con lazo grande</v>
      </c>
      <c r="G1501" s="34">
        <v>1</v>
      </c>
      <c r="H1501" s="35">
        <v>20</v>
      </c>
      <c r="I1501" s="35">
        <f>VENTAS[[#This Row],[Cantidad]]*VENTAS[[#This Row],[Precio Venta]]</f>
        <v>20</v>
      </c>
      <c r="J1501" s="35">
        <f>IF(VENTAS[[#This Row],[Nombre del Gestor]]&gt;1,VENTAS[[#This Row],[Total]]*10%,0)</f>
        <v>2</v>
      </c>
      <c r="K1501" s="35">
        <f>IFERROR(VLOOKUP(VENTAS[[#This Row],[Código del producto Vendido]],STOCK[],16,FALSE)*VENTAS[[#This Row],[Cantidad]]+VLOOKUP(VENTAS[[#This Row],[Código del producto Vendido]],STOCK[],19,FALSE)*VENTAS[[#This Row],[Cantidad]],VENTAS[[#This Row],[Total]])</f>
        <v>10.92</v>
      </c>
      <c r="L1501" s="35">
        <f>VENTAS[[#This Row],[Total]]-VENTAS[[#This Row],[Comisión 10%]]-VENTAS[[#This Row],[Costo SIN Comision]]</f>
        <v>7.08</v>
      </c>
      <c r="M1501" s="35"/>
    </row>
    <row r="1502" ht="20" customHeight="1" spans="1:13">
      <c r="A1502" s="29">
        <v>45565</v>
      </c>
      <c r="B1502" s="30"/>
      <c r="C1502" s="30" t="s">
        <v>3688</v>
      </c>
      <c r="D1502" s="30" t="s">
        <v>3503</v>
      </c>
      <c r="E1502" s="30" t="s">
        <v>3010</v>
      </c>
      <c r="F1502" s="34" t="str">
        <f>IFERROR(VLOOKUP(VENTAS[[#This Row],[Código del producto Vendido]],STOCK[],5,FALSE),"-")</f>
        <v>Pantalón alto de pierna ancha color caramelo</v>
      </c>
      <c r="G1502" s="34">
        <v>1</v>
      </c>
      <c r="H1502" s="35">
        <v>30</v>
      </c>
      <c r="I1502" s="35">
        <f>VENTAS[[#This Row],[Cantidad]]*VENTAS[[#This Row],[Precio Venta]]</f>
        <v>30</v>
      </c>
      <c r="J1502" s="35">
        <f>IF(VENTAS[[#This Row],[Nombre del Gestor]]&gt;1,VENTAS[[#This Row],[Total]]*10%,0)</f>
        <v>3</v>
      </c>
      <c r="K1502" s="35">
        <f>IFERROR(VLOOKUP(VENTAS[[#This Row],[Código del producto Vendido]],STOCK[],16,FALSE)*VENTAS[[#This Row],[Cantidad]]+VLOOKUP(VENTAS[[#This Row],[Código del producto Vendido]],STOCK[],19,FALSE)*VENTAS[[#This Row],[Cantidad]],VENTAS[[#This Row],[Total]])</f>
        <v>12.63</v>
      </c>
      <c r="L1502" s="35">
        <f>VENTAS[[#This Row],[Total]]-VENTAS[[#This Row],[Comisión 10%]]-VENTAS[[#This Row],[Costo SIN Comision]]</f>
        <v>14.37</v>
      </c>
      <c r="M1502" s="35"/>
    </row>
    <row r="1503" ht="20" customHeight="1" spans="1:13">
      <c r="A1503" s="29">
        <v>45565</v>
      </c>
      <c r="B1503" s="30"/>
      <c r="C1503" s="30" t="s">
        <v>3689</v>
      </c>
      <c r="D1503" s="30" t="s">
        <v>3503</v>
      </c>
      <c r="E1503" s="30" t="s">
        <v>2810</v>
      </c>
      <c r="F1503" s="34" t="str">
        <f>IFERROR(VLOOKUP(VENTAS[[#This Row],[Código del producto Vendido]],STOCK[],5,FALSE),"-")</f>
        <v>Bolso elegante de estilo sillín</v>
      </c>
      <c r="G1503" s="34">
        <v>1</v>
      </c>
      <c r="H1503" s="35">
        <v>22</v>
      </c>
      <c r="I1503" s="35">
        <f>VENTAS[[#This Row],[Cantidad]]*VENTAS[[#This Row],[Precio Venta]]</f>
        <v>22</v>
      </c>
      <c r="J1503" s="35">
        <f>IF(VENTAS[[#This Row],[Nombre del Gestor]]&gt;1,VENTAS[[#This Row],[Total]]*10%,0)</f>
        <v>2.2</v>
      </c>
      <c r="K1503" s="35">
        <f>IFERROR(VLOOKUP(VENTAS[[#This Row],[Código del producto Vendido]],STOCK[],16,FALSE)*VENTAS[[#This Row],[Cantidad]]+VLOOKUP(VENTAS[[#This Row],[Código del producto Vendido]],STOCK[],19,FALSE)*VENTAS[[#This Row],[Cantidad]],VENTAS[[#This Row],[Total]])</f>
        <v>10.28</v>
      </c>
      <c r="L1503" s="35">
        <f>VENTAS[[#This Row],[Total]]-VENTAS[[#This Row],[Comisión 10%]]-VENTAS[[#This Row],[Costo SIN Comision]]</f>
        <v>9.52</v>
      </c>
      <c r="M1503" s="35"/>
    </row>
    <row r="1504" ht="20" customHeight="1" spans="1:13">
      <c r="A1504" s="29">
        <v>45565</v>
      </c>
      <c r="B1504" s="30"/>
      <c r="C1504" s="30" t="s">
        <v>3690</v>
      </c>
      <c r="D1504" s="30" t="s">
        <v>3503</v>
      </c>
      <c r="E1504" s="30" t="s">
        <v>1062</v>
      </c>
      <c r="F1504" s="34" t="str">
        <f>IFERROR(VLOOKUP(VENTAS[[#This Row],[Código del producto Vendido]],STOCK[],5,FALSE),"-")</f>
        <v>Top cami carrera</v>
      </c>
      <c r="G1504" s="34">
        <v>1</v>
      </c>
      <c r="H1504" s="35">
        <v>7</v>
      </c>
      <c r="I1504" s="35">
        <f>VENTAS[[#This Row],[Cantidad]]*VENTAS[[#This Row],[Precio Venta]]</f>
        <v>7</v>
      </c>
      <c r="J1504" s="35">
        <f>IF(VENTAS[[#This Row],[Nombre del Gestor]]&gt;1,VENTAS[[#This Row],[Total]]*10%,0)</f>
        <v>0.7</v>
      </c>
      <c r="K1504" s="35">
        <f>IFERROR(VLOOKUP(VENTAS[[#This Row],[Código del producto Vendido]],STOCK[],16,FALSE)*VENTAS[[#This Row],[Cantidad]]+VLOOKUP(VENTAS[[#This Row],[Código del producto Vendido]],STOCK[],19,FALSE)*VENTAS[[#This Row],[Cantidad]],VENTAS[[#This Row],[Total]])</f>
        <v>4.99264705882353</v>
      </c>
      <c r="L1504" s="35">
        <f>VENTAS[[#This Row],[Total]]-VENTAS[[#This Row],[Comisión 10%]]-VENTAS[[#This Row],[Costo SIN Comision]]</f>
        <v>1.30735294117647</v>
      </c>
      <c r="M1504" s="35"/>
    </row>
    <row r="1505" ht="20" customHeight="1" spans="1:13">
      <c r="A1505" s="29">
        <v>45565</v>
      </c>
      <c r="B1505" s="30"/>
      <c r="C1505" s="30" t="s">
        <v>3690</v>
      </c>
      <c r="D1505" s="30" t="s">
        <v>3503</v>
      </c>
      <c r="E1505" s="30" t="s">
        <v>2992</v>
      </c>
      <c r="F1505" s="34" t="str">
        <f>IFERROR(VLOOKUP(VENTAS[[#This Row],[Código del producto Vendido]],STOCK[],5,FALSE),"-")</f>
        <v>Camiseta de moda con estampado de cereza</v>
      </c>
      <c r="G1505" s="34">
        <v>1</v>
      </c>
      <c r="H1505" s="35">
        <v>15</v>
      </c>
      <c r="I1505" s="35">
        <f>VENTAS[[#This Row],[Cantidad]]*VENTAS[[#This Row],[Precio Venta]]</f>
        <v>15</v>
      </c>
      <c r="J1505" s="35">
        <f>IF(VENTAS[[#This Row],[Nombre del Gestor]]&gt;1,VENTAS[[#This Row],[Total]]*10%,0)</f>
        <v>1.5</v>
      </c>
      <c r="K1505" s="35">
        <f>IFERROR(VLOOKUP(VENTAS[[#This Row],[Código del producto Vendido]],STOCK[],16,FALSE)*VENTAS[[#This Row],[Cantidad]]+VLOOKUP(VENTAS[[#This Row],[Código del producto Vendido]],STOCK[],19,FALSE)*VENTAS[[#This Row],[Cantidad]],VENTAS[[#This Row],[Total]])</f>
        <v>5.92</v>
      </c>
      <c r="L1505" s="35">
        <f>VENTAS[[#This Row],[Total]]-VENTAS[[#This Row],[Comisión 10%]]-VENTAS[[#This Row],[Costo SIN Comision]]</f>
        <v>7.58</v>
      </c>
      <c r="M1505" s="35"/>
    </row>
    <row r="1506" ht="20" customHeight="1" spans="1:13">
      <c r="A1506" s="29">
        <v>45564</v>
      </c>
      <c r="B1506" s="30"/>
      <c r="C1506" s="30" t="s">
        <v>3457</v>
      </c>
      <c r="D1506" s="30" t="s">
        <v>3503</v>
      </c>
      <c r="E1506" s="30" t="s">
        <v>2749</v>
      </c>
      <c r="F1506" s="34" t="str">
        <f>IFERROR(VLOOKUP(VENTAS[[#This Row],[Código del producto Vendido]],STOCK[],5,FALSE),"-")</f>
        <v>Vestido Privé Unicolor Sin Mangas ajustado con pliegues color negro</v>
      </c>
      <c r="G1506" s="34">
        <v>1</v>
      </c>
      <c r="H1506" s="35">
        <v>20</v>
      </c>
      <c r="I1506" s="35">
        <f>VENTAS[[#This Row],[Cantidad]]*VENTAS[[#This Row],[Precio Venta]]</f>
        <v>20</v>
      </c>
      <c r="J1506" s="35">
        <f>IF(VENTAS[[#This Row],[Nombre del Gestor]]&gt;1,VENTAS[[#This Row],[Total]]*10%,0)</f>
        <v>2</v>
      </c>
      <c r="K1506" s="35">
        <f>IFERROR(VLOOKUP(VENTAS[[#This Row],[Código del producto Vendido]],STOCK[],16,FALSE)*VENTAS[[#This Row],[Cantidad]]+VLOOKUP(VENTAS[[#This Row],[Código del producto Vendido]],STOCK[],19,FALSE)*VENTAS[[#This Row],[Cantidad]],VENTAS[[#This Row],[Total]])</f>
        <v>6.12</v>
      </c>
      <c r="L1506" s="35">
        <f>VENTAS[[#This Row],[Total]]-VENTAS[[#This Row],[Comisión 10%]]-VENTAS[[#This Row],[Costo SIN Comision]]</f>
        <v>11.88</v>
      </c>
      <c r="M1506" s="35"/>
    </row>
    <row r="1507" ht="20" customHeight="1" spans="1:13">
      <c r="A1507" s="29">
        <v>45564</v>
      </c>
      <c r="B1507" s="30"/>
      <c r="C1507" s="30" t="s">
        <v>3557</v>
      </c>
      <c r="D1507" s="30" t="s">
        <v>3503</v>
      </c>
      <c r="E1507" s="30" t="s">
        <v>2830</v>
      </c>
      <c r="F1507" s="34" t="str">
        <f>IFERROR(VLOOKUP(VENTAS[[#This Row],[Código del producto Vendido]],STOCK[],5,FALSE),"-")</f>
        <v>Vestido elegante de crochet de de cuello profundo y espalda cruzada</v>
      </c>
      <c r="G1507" s="34">
        <v>1</v>
      </c>
      <c r="H1507" s="35">
        <v>30</v>
      </c>
      <c r="I1507" s="35">
        <f>VENTAS[[#This Row],[Cantidad]]*VENTAS[[#This Row],[Precio Venta]]</f>
        <v>30</v>
      </c>
      <c r="J1507" s="35">
        <f>IF(VENTAS[[#This Row],[Nombre del Gestor]]&gt;1,VENTAS[[#This Row],[Total]]*10%,0)</f>
        <v>3</v>
      </c>
      <c r="K1507" s="35">
        <f>IFERROR(VLOOKUP(VENTAS[[#This Row],[Código del producto Vendido]],STOCK[],16,FALSE)*VENTAS[[#This Row],[Cantidad]]+VLOOKUP(VENTAS[[#This Row],[Código del producto Vendido]],STOCK[],19,FALSE)*VENTAS[[#This Row],[Cantidad]],VENTAS[[#This Row],[Total]])</f>
        <v>13.5</v>
      </c>
      <c r="L1507" s="35">
        <f>VENTAS[[#This Row],[Total]]-VENTAS[[#This Row],[Comisión 10%]]-VENTAS[[#This Row],[Costo SIN Comision]]</f>
        <v>13.5</v>
      </c>
      <c r="M1507" s="35"/>
    </row>
    <row r="1508" ht="20" customHeight="1" spans="1:13">
      <c r="A1508" s="29">
        <v>45564</v>
      </c>
      <c r="B1508" s="30"/>
      <c r="C1508" s="30" t="s">
        <v>3691</v>
      </c>
      <c r="D1508" s="30" t="s">
        <v>3503</v>
      </c>
      <c r="E1508" s="30" t="s">
        <v>2833</v>
      </c>
      <c r="F1508" s="34" t="str">
        <f>IFERROR(VLOOKUP(VENTAS[[#This Row],[Código del producto Vendido]],STOCK[],5,FALSE),"-")</f>
        <v>Vestido elegante de crochet de de cuello profundo y espalda cruzada</v>
      </c>
      <c r="G1508" s="34">
        <v>1</v>
      </c>
      <c r="H1508" s="35">
        <v>30</v>
      </c>
      <c r="I1508" s="35">
        <f>VENTAS[[#This Row],[Cantidad]]*VENTAS[[#This Row],[Precio Venta]]</f>
        <v>30</v>
      </c>
      <c r="J1508" s="35">
        <f>IF(VENTAS[[#This Row],[Nombre del Gestor]]&gt;1,VENTAS[[#This Row],[Total]]*10%,0)</f>
        <v>3</v>
      </c>
      <c r="K1508" s="35">
        <f>IFERROR(VLOOKUP(VENTAS[[#This Row],[Código del producto Vendido]],STOCK[],16,FALSE)*VENTAS[[#This Row],[Cantidad]]+VLOOKUP(VENTAS[[#This Row],[Código del producto Vendido]],STOCK[],19,FALSE)*VENTAS[[#This Row],[Cantidad]],VENTAS[[#This Row],[Total]])</f>
        <v>13.5</v>
      </c>
      <c r="L1508" s="35">
        <f>VENTAS[[#This Row],[Total]]-VENTAS[[#This Row],[Comisión 10%]]-VENTAS[[#This Row],[Costo SIN Comision]]</f>
        <v>13.5</v>
      </c>
      <c r="M1508" s="35"/>
    </row>
    <row r="1509" ht="20" customHeight="1" spans="1:13">
      <c r="A1509" s="29">
        <v>45563</v>
      </c>
      <c r="B1509" s="30"/>
      <c r="C1509" s="30" t="s">
        <v>3692</v>
      </c>
      <c r="D1509" s="30" t="s">
        <v>3503</v>
      </c>
      <c r="E1509" s="30" t="s">
        <v>2950</v>
      </c>
      <c r="F1509" s="34" t="str">
        <f>IFERROR(VLOOKUP(VENTAS[[#This Row],[Código del producto Vendido]],STOCK[],5,FALSE),"-")</f>
        <v>Vestido camisola de ajustado romántico sexy</v>
      </c>
      <c r="G1509" s="34">
        <v>1</v>
      </c>
      <c r="H1509" s="35">
        <v>30</v>
      </c>
      <c r="I1509" s="35">
        <f>VENTAS[[#This Row],[Cantidad]]*VENTAS[[#This Row],[Precio Venta]]</f>
        <v>30</v>
      </c>
      <c r="J1509" s="35">
        <f>IF(VENTAS[[#This Row],[Nombre del Gestor]]&gt;1,VENTAS[[#This Row],[Total]]*10%,0)</f>
        <v>3</v>
      </c>
      <c r="K1509" s="35">
        <f>IFERROR(VLOOKUP(VENTAS[[#This Row],[Código del producto Vendido]],STOCK[],16,FALSE)*VENTAS[[#This Row],[Cantidad]]+VLOOKUP(VENTAS[[#This Row],[Código del producto Vendido]],STOCK[],19,FALSE)*VENTAS[[#This Row],[Cantidad]],VENTAS[[#This Row],[Total]])</f>
        <v>13.3</v>
      </c>
      <c r="L1509" s="35">
        <f>VENTAS[[#This Row],[Total]]-VENTAS[[#This Row],[Comisión 10%]]-VENTAS[[#This Row],[Costo SIN Comision]]</f>
        <v>13.7</v>
      </c>
      <c r="M1509" s="35"/>
    </row>
    <row r="1510" ht="20" customHeight="1" spans="1:13">
      <c r="A1510" s="29">
        <v>45563</v>
      </c>
      <c r="B1510" s="30"/>
      <c r="C1510" s="30" t="s">
        <v>3681</v>
      </c>
      <c r="D1510" s="30" t="s">
        <v>3503</v>
      </c>
      <c r="E1510" s="30" t="s">
        <v>2962</v>
      </c>
      <c r="F1510" s="34" t="str">
        <f>IFERROR(VLOOKUP(VENTAS[[#This Row],[Código del producto Vendido]],STOCK[],5,FALSE),"-")</f>
        <v>Vestido camisola negro con abertura</v>
      </c>
      <c r="G1510" s="34">
        <v>1</v>
      </c>
      <c r="H1510" s="35">
        <v>20</v>
      </c>
      <c r="I1510" s="35">
        <f>VENTAS[[#This Row],[Cantidad]]*VENTAS[[#This Row],[Precio Venta]]</f>
        <v>20</v>
      </c>
      <c r="J1510" s="35">
        <f>IF(VENTAS[[#This Row],[Nombre del Gestor]]&gt;1,VENTAS[[#This Row],[Total]]*10%,0)</f>
        <v>2</v>
      </c>
      <c r="K1510" s="35">
        <f>IFERROR(VLOOKUP(VENTAS[[#This Row],[Código del producto Vendido]],STOCK[],16,FALSE)*VENTAS[[#This Row],[Cantidad]]+VLOOKUP(VENTAS[[#This Row],[Código del producto Vendido]],STOCK[],19,FALSE)*VENTAS[[#This Row],[Cantidad]],VENTAS[[#This Row],[Total]])</f>
        <v>7.63</v>
      </c>
      <c r="L1510" s="35">
        <f>VENTAS[[#This Row],[Total]]-VENTAS[[#This Row],[Comisión 10%]]-VENTAS[[#This Row],[Costo SIN Comision]]</f>
        <v>10.37</v>
      </c>
      <c r="M1510" s="35"/>
    </row>
    <row r="1511" ht="20" customHeight="1" spans="1:13">
      <c r="A1511" s="29">
        <v>45563</v>
      </c>
      <c r="B1511" s="30"/>
      <c r="C1511" s="30" t="s">
        <v>3693</v>
      </c>
      <c r="D1511" s="30" t="s">
        <v>3503</v>
      </c>
      <c r="E1511" s="30" t="s">
        <v>2971</v>
      </c>
      <c r="F1511" s="34" t="str">
        <f>IFERROR(VLOOKUP(VENTAS[[#This Row],[Código del producto Vendido]],STOCK[],5,FALSE),"-")</f>
        <v>Vestido de un hombro con abertura trasera color azul celeste</v>
      </c>
      <c r="G1511" s="34">
        <v>1</v>
      </c>
      <c r="H1511" s="35">
        <v>25</v>
      </c>
      <c r="I1511" s="35">
        <f>VENTAS[[#This Row],[Cantidad]]*VENTAS[[#This Row],[Precio Venta]]</f>
        <v>25</v>
      </c>
      <c r="J1511" s="35">
        <f>IF(VENTAS[[#This Row],[Nombre del Gestor]]&gt;1,VENTAS[[#This Row],[Total]]*10%,0)</f>
        <v>2.5</v>
      </c>
      <c r="K1511" s="35">
        <f>IFERROR(VLOOKUP(VENTAS[[#This Row],[Código del producto Vendido]],STOCK[],16,FALSE)*VENTAS[[#This Row],[Cantidad]]+VLOOKUP(VENTAS[[#This Row],[Código del producto Vendido]],STOCK[],19,FALSE)*VENTAS[[#This Row],[Cantidad]],VENTAS[[#This Row],[Total]])</f>
        <v>12.32</v>
      </c>
      <c r="L1511" s="35">
        <f>VENTAS[[#This Row],[Total]]-VENTAS[[#This Row],[Comisión 10%]]-VENTAS[[#This Row],[Costo SIN Comision]]</f>
        <v>10.18</v>
      </c>
      <c r="M1511" s="35"/>
    </row>
    <row r="1512" ht="20" customHeight="1" spans="1:13">
      <c r="A1512" s="29">
        <v>45563</v>
      </c>
      <c r="B1512" s="30"/>
      <c r="C1512" s="30" t="s">
        <v>3694</v>
      </c>
      <c r="D1512" s="30" t="s">
        <v>3503</v>
      </c>
      <c r="E1512" s="30" t="s">
        <v>2846</v>
      </c>
      <c r="F1512" s="34" t="str">
        <f>IFERROR(VLOOKUP(VENTAS[[#This Row],[Código del producto Vendido]],STOCK[],5,FALSE),"-")</f>
        <v>Pantalones largros rayados de moda de gran comodidad</v>
      </c>
      <c r="G1512" s="34">
        <v>1</v>
      </c>
      <c r="H1512" s="35">
        <v>22</v>
      </c>
      <c r="I1512" s="35">
        <f>VENTAS[[#This Row],[Cantidad]]*VENTAS[[#This Row],[Precio Venta]]</f>
        <v>22</v>
      </c>
      <c r="J1512" s="35">
        <f>IF(VENTAS[[#This Row],[Nombre del Gestor]]&gt;1,VENTAS[[#This Row],[Total]]*10%,0)</f>
        <v>2.2</v>
      </c>
      <c r="K1512" s="35">
        <f>IFERROR(VLOOKUP(VENTAS[[#This Row],[Código del producto Vendido]],STOCK[],16,FALSE)*VENTAS[[#This Row],[Cantidad]]+VLOOKUP(VENTAS[[#This Row],[Código del producto Vendido]],STOCK[],19,FALSE)*VENTAS[[#This Row],[Cantidad]],VENTAS[[#This Row],[Total]])</f>
        <v>10.52</v>
      </c>
      <c r="L1512" s="35">
        <f>VENTAS[[#This Row],[Total]]-VENTAS[[#This Row],[Comisión 10%]]-VENTAS[[#This Row],[Costo SIN Comision]]</f>
        <v>9.28</v>
      </c>
      <c r="M1512" s="35"/>
    </row>
    <row r="1513" ht="20" customHeight="1" spans="1:13">
      <c r="A1513" s="29">
        <v>45562</v>
      </c>
      <c r="B1513" s="30"/>
      <c r="C1513" s="30" t="s">
        <v>3695</v>
      </c>
      <c r="D1513" s="30" t="s">
        <v>3503</v>
      </c>
      <c r="E1513" s="30" t="s">
        <v>2854</v>
      </c>
      <c r="F1513" s="34" t="str">
        <f>IFERROR(VLOOKUP(VENTAS[[#This Row],[Código del producto Vendido]],STOCK[],5,FALSE),"-")</f>
        <v>Bolso cuadrado tejido de rafia Tamaño grande Color Carmelita</v>
      </c>
      <c r="G1513" s="34">
        <v>1</v>
      </c>
      <c r="H1513" s="35">
        <v>25</v>
      </c>
      <c r="I1513" s="35">
        <f>VENTAS[[#This Row],[Cantidad]]*VENTAS[[#This Row],[Precio Venta]]</f>
        <v>25</v>
      </c>
      <c r="J1513" s="35">
        <f>IF(VENTAS[[#This Row],[Nombre del Gestor]]&gt;1,VENTAS[[#This Row],[Total]]*10%,0)</f>
        <v>2.5</v>
      </c>
      <c r="K1513" s="35">
        <f>IFERROR(VLOOKUP(VENTAS[[#This Row],[Código del producto Vendido]],STOCK[],16,FALSE)*VENTAS[[#This Row],[Cantidad]]+VLOOKUP(VENTAS[[#This Row],[Código del producto Vendido]],STOCK[],19,FALSE)*VENTAS[[#This Row],[Cantidad]],VENTAS[[#This Row],[Total]])</f>
        <v>14.85</v>
      </c>
      <c r="L1513" s="35">
        <f>VENTAS[[#This Row],[Total]]-VENTAS[[#This Row],[Comisión 10%]]-VENTAS[[#This Row],[Costo SIN Comision]]</f>
        <v>7.65</v>
      </c>
      <c r="M1513" s="35"/>
    </row>
    <row r="1514" ht="20" customHeight="1" spans="1:13">
      <c r="A1514" s="29">
        <v>45562</v>
      </c>
      <c r="B1514" s="30"/>
      <c r="C1514" s="30" t="s">
        <v>3696</v>
      </c>
      <c r="D1514" s="30" t="s">
        <v>3503</v>
      </c>
      <c r="E1514" s="30" t="s">
        <v>600</v>
      </c>
      <c r="F1514" s="34" t="str">
        <f>IFERROR(VLOOKUP(VENTAS[[#This Row],[Código del producto Vendido]],STOCK[],5,FALSE),"-")</f>
        <v>Top corsetero asimétrico</v>
      </c>
      <c r="G1514" s="34">
        <v>1</v>
      </c>
      <c r="H1514" s="35">
        <v>9</v>
      </c>
      <c r="I1514" s="35">
        <f>VENTAS[[#This Row],[Cantidad]]*VENTAS[[#This Row],[Precio Venta]]</f>
        <v>9</v>
      </c>
      <c r="J1514" s="35">
        <f>IF(VENTAS[[#This Row],[Nombre del Gestor]]&gt;1,VENTAS[[#This Row],[Total]]*10%,0)</f>
        <v>0.9</v>
      </c>
      <c r="K1514" s="35">
        <f>IFERROR(VLOOKUP(VENTAS[[#This Row],[Código del producto Vendido]],STOCK[],16,FALSE)*VENTAS[[#This Row],[Cantidad]]+VLOOKUP(VENTAS[[#This Row],[Código del producto Vendido]],STOCK[],19,FALSE)*VENTAS[[#This Row],[Cantidad]],VENTAS[[#This Row],[Total]])</f>
        <v>5.56833333333333</v>
      </c>
      <c r="L1514" s="35">
        <f>VENTAS[[#This Row],[Total]]-VENTAS[[#This Row],[Comisión 10%]]-VENTAS[[#This Row],[Costo SIN Comision]]</f>
        <v>2.53166666666667</v>
      </c>
      <c r="M1514" s="35"/>
    </row>
    <row r="1515" ht="20" customHeight="1" spans="1:13">
      <c r="A1515" s="29">
        <v>45561</v>
      </c>
      <c r="B1515" s="30"/>
      <c r="C1515" s="30" t="s">
        <v>3697</v>
      </c>
      <c r="D1515" s="30" t="s">
        <v>3503</v>
      </c>
      <c r="E1515" s="30" t="s">
        <v>1398</v>
      </c>
      <c r="F1515" s="34" t="str">
        <f>IFERROR(VLOOKUP(VENTAS[[#This Row],[Código del producto Vendido]],STOCK[],5,FALSE),"-")</f>
        <v>Camiseta acanalada de bajo asimétrico naranja</v>
      </c>
      <c r="G1515" s="34">
        <v>1</v>
      </c>
      <c r="H1515" s="35">
        <v>12</v>
      </c>
      <c r="I1515" s="35">
        <f>VENTAS[[#This Row],[Cantidad]]*VENTAS[[#This Row],[Precio Venta]]</f>
        <v>12</v>
      </c>
      <c r="J1515" s="35">
        <f>IF(VENTAS[[#This Row],[Nombre del Gestor]]&gt;1,VENTAS[[#This Row],[Total]]*10%,0)</f>
        <v>1.2</v>
      </c>
      <c r="K1515" s="35">
        <f>IFERROR(VLOOKUP(VENTAS[[#This Row],[Código del producto Vendido]],STOCK[],16,FALSE)*VENTAS[[#This Row],[Cantidad]]+VLOOKUP(VENTAS[[#This Row],[Código del producto Vendido]],STOCK[],19,FALSE)*VENTAS[[#This Row],[Cantidad]],VENTAS[[#This Row],[Total]])</f>
        <v>9</v>
      </c>
      <c r="L1515" s="35">
        <f>VENTAS[[#This Row],[Total]]-VENTAS[[#This Row],[Comisión 10%]]-VENTAS[[#This Row],[Costo SIN Comision]]</f>
        <v>1.8</v>
      </c>
      <c r="M1515" s="35"/>
    </row>
    <row r="1516" ht="20" customHeight="1" spans="1:13">
      <c r="A1516" s="29">
        <v>45560</v>
      </c>
      <c r="B1516" s="30"/>
      <c r="C1516" s="30" t="s">
        <v>3698</v>
      </c>
      <c r="D1516" s="30" t="s">
        <v>3503</v>
      </c>
      <c r="E1516" s="30" t="s">
        <v>1694</v>
      </c>
      <c r="F1516" s="34" t="str">
        <f>IFERROR(VLOOKUP(VENTAS[[#This Row],[Código del producto Vendido]],STOCK[],5,FALSE),"-")</f>
        <v>Jean Mom con bajo descosido</v>
      </c>
      <c r="G1516" s="34">
        <v>1</v>
      </c>
      <c r="H1516" s="35">
        <v>30</v>
      </c>
      <c r="I1516" s="35">
        <f>VENTAS[[#This Row],[Cantidad]]*VENTAS[[#This Row],[Precio Venta]]</f>
        <v>30</v>
      </c>
      <c r="J1516" s="35">
        <f>IF(VENTAS[[#This Row],[Nombre del Gestor]]&gt;1,VENTAS[[#This Row],[Total]]*10%,0)</f>
        <v>3</v>
      </c>
      <c r="K1516" s="35">
        <f>IFERROR(VLOOKUP(VENTAS[[#This Row],[Código del producto Vendido]],STOCK[],16,FALSE)*VENTAS[[#This Row],[Cantidad]]+VLOOKUP(VENTAS[[#This Row],[Código del producto Vendido]],STOCK[],19,FALSE)*VENTAS[[#This Row],[Cantidad]],VENTAS[[#This Row],[Total]])</f>
        <v>20.5</v>
      </c>
      <c r="L1516" s="35">
        <f>VENTAS[[#This Row],[Total]]-VENTAS[[#This Row],[Comisión 10%]]-VENTAS[[#This Row],[Costo SIN Comision]]</f>
        <v>6.5</v>
      </c>
      <c r="M1516" s="35"/>
    </row>
    <row r="1517" ht="20" customHeight="1" spans="1:13">
      <c r="A1517" s="29">
        <v>45560</v>
      </c>
      <c r="B1517" s="30"/>
      <c r="C1517" s="30" t="s">
        <v>3698</v>
      </c>
      <c r="D1517" s="30" t="s">
        <v>3503</v>
      </c>
      <c r="E1517" s="30" t="s">
        <v>2433</v>
      </c>
      <c r="F1517" s="34" t="str">
        <f>IFERROR(VLOOKUP(VENTAS[[#This Row],[Código del producto Vendido]],STOCK[],5,FALSE),"-")</f>
        <v>Pantalón cigarrette ajustado elegante</v>
      </c>
      <c r="G1517" s="34">
        <v>1</v>
      </c>
      <c r="H1517" s="35">
        <v>35</v>
      </c>
      <c r="I1517" s="35">
        <f>VENTAS[[#This Row],[Cantidad]]*VENTAS[[#This Row],[Precio Venta]]</f>
        <v>35</v>
      </c>
      <c r="J1517" s="35">
        <f>IF(VENTAS[[#This Row],[Nombre del Gestor]]&gt;1,VENTAS[[#This Row],[Total]]*10%,0)</f>
        <v>3.5</v>
      </c>
      <c r="K1517" s="35">
        <f>IFERROR(VLOOKUP(VENTAS[[#This Row],[Código del producto Vendido]],STOCK[],16,FALSE)*VENTAS[[#This Row],[Cantidad]]+VLOOKUP(VENTAS[[#This Row],[Código del producto Vendido]],STOCK[],19,FALSE)*VENTAS[[#This Row],[Cantidad]],VENTAS[[#This Row],[Total]])</f>
        <v>16.1944418331375</v>
      </c>
      <c r="L1517" s="35">
        <f>VENTAS[[#This Row],[Total]]-VENTAS[[#This Row],[Comisión 10%]]-VENTAS[[#This Row],[Costo SIN Comision]]</f>
        <v>15.3055581668625</v>
      </c>
      <c r="M1517" s="35"/>
    </row>
    <row r="1518" ht="20" customHeight="1" spans="1:13">
      <c r="A1518" s="29">
        <v>45554</v>
      </c>
      <c r="B1518" s="30"/>
      <c r="C1518" s="30" t="s">
        <v>3690</v>
      </c>
      <c r="D1518" s="30" t="s">
        <v>3503</v>
      </c>
      <c r="E1518" s="30" t="s">
        <v>661</v>
      </c>
      <c r="F1518" s="34" t="str">
        <f>IFERROR(VLOOKUP(VENTAS[[#This Row],[Código del producto Vendido]],STOCK[],5,FALSE),"-")</f>
        <v>Top Cruzado negro</v>
      </c>
      <c r="G1518" s="34">
        <v>1</v>
      </c>
      <c r="H1518" s="35">
        <v>9</v>
      </c>
      <c r="I1518" s="35">
        <f>VENTAS[[#This Row],[Cantidad]]*VENTAS[[#This Row],[Precio Venta]]</f>
        <v>9</v>
      </c>
      <c r="J1518" s="35">
        <f>IF(VENTAS[[#This Row],[Nombre del Gestor]]&gt;1,VENTAS[[#This Row],[Total]]*10%,0)</f>
        <v>0.9</v>
      </c>
      <c r="K1518" s="35">
        <f>IFERROR(VLOOKUP(VENTAS[[#This Row],[Código del producto Vendido]],STOCK[],16,FALSE)*VENTAS[[#This Row],[Cantidad]]+VLOOKUP(VENTAS[[#This Row],[Código del producto Vendido]],STOCK[],19,FALSE)*VENTAS[[#This Row],[Cantidad]],VENTAS[[#This Row],[Total]])</f>
        <v>4.90166666666667</v>
      </c>
      <c r="L1518" s="35">
        <f>VENTAS[[#This Row],[Total]]-VENTAS[[#This Row],[Comisión 10%]]-VENTAS[[#This Row],[Costo SIN Comision]]</f>
        <v>3.19833333333333</v>
      </c>
      <c r="M1518" s="35"/>
    </row>
    <row r="1519" ht="20" customHeight="1" spans="1:13">
      <c r="A1519" s="29">
        <v>45552</v>
      </c>
      <c r="B1519" s="30"/>
      <c r="C1519" s="30" t="s">
        <v>3681</v>
      </c>
      <c r="D1519" s="30" t="s">
        <v>3503</v>
      </c>
      <c r="E1519" s="30" t="s">
        <v>1903</v>
      </c>
      <c r="F1519" s="34" t="str">
        <f>IFERROR(VLOOKUP(VENTAS[[#This Row],[Código del producto Vendido]],STOCK[],5,FALSE),"-")</f>
        <v>Blusa estampada de Lunares</v>
      </c>
      <c r="G1519" s="34">
        <v>1</v>
      </c>
      <c r="H1519" s="35">
        <v>14</v>
      </c>
      <c r="I1519" s="35">
        <f>VENTAS[[#This Row],[Cantidad]]*VENTAS[[#This Row],[Precio Venta]]</f>
        <v>14</v>
      </c>
      <c r="J1519" s="35">
        <f>IF(VENTAS[[#This Row],[Nombre del Gestor]]&gt;1,VENTAS[[#This Row],[Total]]*10%,0)</f>
        <v>1.4</v>
      </c>
      <c r="K1519" s="35">
        <f>IFERROR(VLOOKUP(VENTAS[[#This Row],[Código del producto Vendido]],STOCK[],16,FALSE)*VENTAS[[#This Row],[Cantidad]]+VLOOKUP(VENTAS[[#This Row],[Código del producto Vendido]],STOCK[],19,FALSE)*VENTAS[[#This Row],[Cantidad]],VENTAS[[#This Row],[Total]])</f>
        <v>9.2</v>
      </c>
      <c r="L1519" s="35">
        <f>VENTAS[[#This Row],[Total]]-VENTAS[[#This Row],[Comisión 10%]]-VENTAS[[#This Row],[Costo SIN Comision]]</f>
        <v>3.4</v>
      </c>
      <c r="M1519" s="35"/>
    </row>
    <row r="1520" ht="20" customHeight="1" spans="1:13">
      <c r="A1520" s="29">
        <v>45548</v>
      </c>
      <c r="B1520" s="30"/>
      <c r="C1520" s="30" t="s">
        <v>3665</v>
      </c>
      <c r="D1520" s="30" t="s">
        <v>3503</v>
      </c>
      <c r="E1520" s="30" t="s">
        <v>586</v>
      </c>
      <c r="F1520" s="34" t="str">
        <f>IFERROR(VLOOKUP(VENTAS[[#This Row],[Código del producto Vendido]],STOCK[],5,FALSE),"-")</f>
        <v>Top cruzado blanco</v>
      </c>
      <c r="G1520" s="34">
        <v>1</v>
      </c>
      <c r="H1520" s="35">
        <v>9</v>
      </c>
      <c r="I1520" s="35">
        <f>VENTAS[[#This Row],[Cantidad]]*VENTAS[[#This Row],[Precio Venta]]</f>
        <v>9</v>
      </c>
      <c r="J1520" s="35">
        <f>IF(VENTAS[[#This Row],[Nombre del Gestor]]&gt;1,VENTAS[[#This Row],[Total]]*10%,0)</f>
        <v>0.9</v>
      </c>
      <c r="K1520" s="35">
        <f>IFERROR(VLOOKUP(VENTAS[[#This Row],[Código del producto Vendido]],STOCK[],16,FALSE)*VENTAS[[#This Row],[Cantidad]]+VLOOKUP(VENTAS[[#This Row],[Código del producto Vendido]],STOCK[],19,FALSE)*VENTAS[[#This Row],[Cantidad]],VENTAS[[#This Row],[Total]])</f>
        <v>5.19333333333333</v>
      </c>
      <c r="L1520" s="35">
        <f>VENTAS[[#This Row],[Total]]-VENTAS[[#This Row],[Comisión 10%]]-VENTAS[[#This Row],[Costo SIN Comision]]</f>
        <v>2.90666666666667</v>
      </c>
      <c r="M1520" s="35"/>
    </row>
    <row r="1521" ht="20" customHeight="1" spans="1:13">
      <c r="A1521" s="29">
        <v>45544</v>
      </c>
      <c r="B1521" s="30"/>
      <c r="C1521" s="30" t="s">
        <v>3693</v>
      </c>
      <c r="D1521" s="30" t="s">
        <v>3503</v>
      </c>
      <c r="E1521" s="30" t="s">
        <v>1324</v>
      </c>
      <c r="F1521" s="34" t="str">
        <f>IFERROR(VLOOKUP(VENTAS[[#This Row],[Código del producto Vendido]],STOCK[],5,FALSE),"-")</f>
        <v>Camisa Blanca </v>
      </c>
      <c r="G1521" s="34">
        <v>1</v>
      </c>
      <c r="H1521" s="35">
        <v>25</v>
      </c>
      <c r="I1521" s="35">
        <f>VENTAS[[#This Row],[Cantidad]]*VENTAS[[#This Row],[Precio Venta]]</f>
        <v>25</v>
      </c>
      <c r="J1521" s="35">
        <f>IF(VENTAS[[#This Row],[Nombre del Gestor]]&gt;1,VENTAS[[#This Row],[Total]]*10%,0)</f>
        <v>2.5</v>
      </c>
      <c r="K1521" s="35">
        <f>IFERROR(VLOOKUP(VENTAS[[#This Row],[Código del producto Vendido]],STOCK[],16,FALSE)*VENTAS[[#This Row],[Cantidad]]+VLOOKUP(VENTAS[[#This Row],[Código del producto Vendido]],STOCK[],19,FALSE)*VENTAS[[#This Row],[Cantidad]],VENTAS[[#This Row],[Total]])</f>
        <v>19</v>
      </c>
      <c r="L1521" s="35">
        <f>VENTAS[[#This Row],[Total]]-VENTAS[[#This Row],[Comisión 10%]]-VENTAS[[#This Row],[Costo SIN Comision]]</f>
        <v>3.5</v>
      </c>
      <c r="M1521" s="35"/>
    </row>
    <row r="1522" ht="20" customHeight="1" spans="1:13">
      <c r="A1522" s="29">
        <v>45565</v>
      </c>
      <c r="B1522" s="30"/>
      <c r="C1522" s="30" t="s">
        <v>3699</v>
      </c>
      <c r="D1522" s="30" t="s">
        <v>3700</v>
      </c>
      <c r="E1522" s="30" t="s">
        <v>2824</v>
      </c>
      <c r="F1522" s="34" t="str">
        <f>IFERROR(VLOOKUP(VENTAS[[#This Row],[Código del producto Vendido]],STOCK[],5,FALSE),"-")</f>
        <v>Bolso tejido redondo de gran capacidad Carmelita</v>
      </c>
      <c r="G1522" s="34">
        <v>1</v>
      </c>
      <c r="H1522" s="35">
        <v>25</v>
      </c>
      <c r="I1522" s="35">
        <f>VENTAS[[#This Row],[Cantidad]]*VENTAS[[#This Row],[Precio Venta]]</f>
        <v>25</v>
      </c>
      <c r="J1522" s="35">
        <f>IF(VENTAS[[#This Row],[Nombre del Gestor]]&gt;1,VENTAS[[#This Row],[Total]]*10%,0)</f>
        <v>2.5</v>
      </c>
      <c r="K1522" s="35">
        <f>IFERROR(VLOOKUP(VENTAS[[#This Row],[Código del producto Vendido]],STOCK[],16,FALSE)*VENTAS[[#This Row],[Cantidad]]+VLOOKUP(VENTAS[[#This Row],[Código del producto Vendido]],STOCK[],19,FALSE)*VENTAS[[#This Row],[Cantidad]],VENTAS[[#This Row],[Total]])</f>
        <v>13.31</v>
      </c>
      <c r="L1522" s="35">
        <f>VENTAS[[#This Row],[Total]]-VENTAS[[#This Row],[Comisión 10%]]-VENTAS[[#This Row],[Costo SIN Comision]]</f>
        <v>9.19</v>
      </c>
      <c r="M1522" s="35"/>
    </row>
    <row r="1523" ht="20" customHeight="1" spans="1:13">
      <c r="A1523" s="29">
        <v>45564</v>
      </c>
      <c r="B1523" s="30"/>
      <c r="C1523" s="30" t="s">
        <v>3540</v>
      </c>
      <c r="D1523" s="30" t="s">
        <v>3700</v>
      </c>
      <c r="E1523" s="30" t="s">
        <v>2812</v>
      </c>
      <c r="F1523" s="34" t="str">
        <f>IFERROR(VLOOKUP(VENTAS[[#This Row],[Código del producto Vendido]],STOCK[],5,FALSE),"-")</f>
        <v>Bolso de ratán de Moda para vacaciones tamaño mediano con diseño de listas negras</v>
      </c>
      <c r="G1523" s="34">
        <v>1</v>
      </c>
      <c r="H1523" s="35">
        <v>25</v>
      </c>
      <c r="I1523" s="35">
        <f>VENTAS[[#This Row],[Cantidad]]*VENTAS[[#This Row],[Precio Venta]]</f>
        <v>25</v>
      </c>
      <c r="J1523" s="35">
        <f>IF(VENTAS[[#This Row],[Nombre del Gestor]]&gt;1,VENTAS[[#This Row],[Total]]*10%,0)</f>
        <v>2.5</v>
      </c>
      <c r="K1523" s="35">
        <f>IFERROR(VLOOKUP(VENTAS[[#This Row],[Código del producto Vendido]],STOCK[],16,FALSE)*VENTAS[[#This Row],[Cantidad]]+VLOOKUP(VENTAS[[#This Row],[Código del producto Vendido]],STOCK[],19,FALSE)*VENTAS[[#This Row],[Cantidad]],VENTAS[[#This Row],[Total]])</f>
        <v>12.17</v>
      </c>
      <c r="L1523" s="35">
        <f>VENTAS[[#This Row],[Total]]-VENTAS[[#This Row],[Comisión 10%]]-VENTAS[[#This Row],[Costo SIN Comision]]</f>
        <v>10.33</v>
      </c>
      <c r="M1523" s="35"/>
    </row>
    <row r="1524" ht="20" customHeight="1" spans="1:13">
      <c r="A1524" s="29">
        <v>45563</v>
      </c>
      <c r="B1524" s="30"/>
      <c r="C1524" s="30" t="s">
        <v>3701</v>
      </c>
      <c r="D1524" s="30" t="s">
        <v>3700</v>
      </c>
      <c r="E1524" s="30" t="s">
        <v>2104</v>
      </c>
      <c r="F1524" s="34" t="str">
        <f>IFERROR(VLOOKUP(VENTAS[[#This Row],[Código del producto Vendido]],STOCK[],5,FALSE),"-")</f>
        <v>Fashion TOTE bag tamaño de gran capacidad</v>
      </c>
      <c r="G1524" s="34">
        <v>1</v>
      </c>
      <c r="H1524" s="35">
        <v>18</v>
      </c>
      <c r="I1524" s="35">
        <f>VENTAS[[#This Row],[Cantidad]]*VENTAS[[#This Row],[Precio Venta]]</f>
        <v>18</v>
      </c>
      <c r="J1524" s="35">
        <f>IF(VENTAS[[#This Row],[Nombre del Gestor]]&gt;1,VENTAS[[#This Row],[Total]]*10%,0)</f>
        <v>1.8</v>
      </c>
      <c r="K1524" s="35">
        <f>IFERROR(VLOOKUP(VENTAS[[#This Row],[Código del producto Vendido]],STOCK[],16,FALSE)*VENTAS[[#This Row],[Cantidad]]+VLOOKUP(VENTAS[[#This Row],[Código del producto Vendido]],STOCK[],19,FALSE)*VENTAS[[#This Row],[Cantidad]],VENTAS[[#This Row],[Total]])</f>
        <v>7.59</v>
      </c>
      <c r="L1524" s="35">
        <f>VENTAS[[#This Row],[Total]]-VENTAS[[#This Row],[Comisión 10%]]-VENTAS[[#This Row],[Costo SIN Comision]]</f>
        <v>8.61</v>
      </c>
      <c r="M1524" s="35"/>
    </row>
    <row r="1525" ht="20" customHeight="1" spans="1:13">
      <c r="A1525" s="29">
        <v>45562</v>
      </c>
      <c r="B1525" s="30"/>
      <c r="C1525" s="30" t="s">
        <v>3702</v>
      </c>
      <c r="D1525" s="30" t="s">
        <v>3700</v>
      </c>
      <c r="E1525" s="30" t="s">
        <v>932</v>
      </c>
      <c r="F1525" s="34" t="str">
        <f>IFERROR(VLOOKUP(VENTAS[[#This Row],[Código del producto Vendido]],STOCK[],5,FALSE),"-")</f>
        <v>Falda de trabajo</v>
      </c>
      <c r="G1525" s="34">
        <v>1</v>
      </c>
      <c r="H1525" s="35">
        <v>12</v>
      </c>
      <c r="I1525" s="35">
        <f>VENTAS[[#This Row],[Cantidad]]*VENTAS[[#This Row],[Precio Venta]]</f>
        <v>12</v>
      </c>
      <c r="J1525" s="35">
        <f>IF(VENTAS[[#This Row],[Nombre del Gestor]]&gt;1,VENTAS[[#This Row],[Total]]*10%,0)</f>
        <v>1.2</v>
      </c>
      <c r="K1525" s="35">
        <f>IFERROR(VLOOKUP(VENTAS[[#This Row],[Código del producto Vendido]],STOCK[],16,FALSE)*VENTAS[[#This Row],[Cantidad]]+VLOOKUP(VENTAS[[#This Row],[Código del producto Vendido]],STOCK[],19,FALSE)*VENTAS[[#This Row],[Cantidad]],VENTAS[[#This Row],[Total]])</f>
        <v>7.74863636363636</v>
      </c>
      <c r="L1525" s="35">
        <f>VENTAS[[#This Row],[Total]]-VENTAS[[#This Row],[Comisión 10%]]-VENTAS[[#This Row],[Costo SIN Comision]]</f>
        <v>3.05136363636364</v>
      </c>
      <c r="M1525" s="35"/>
    </row>
    <row r="1526" ht="20" customHeight="1" spans="1:13">
      <c r="A1526" s="29">
        <v>45562</v>
      </c>
      <c r="B1526" s="30"/>
      <c r="C1526" s="30" t="s">
        <v>3703</v>
      </c>
      <c r="D1526" s="30" t="s">
        <v>3700</v>
      </c>
      <c r="E1526" s="30" t="s">
        <v>3007</v>
      </c>
      <c r="F1526" s="34" t="str">
        <f>IFERROR(VLOOKUP(VENTAS[[#This Row],[Código del producto Vendido]],STOCK[],5,FALSE),"-")</f>
        <v>Pantalón alto de pierna ancha color caramelo</v>
      </c>
      <c r="G1526" s="34">
        <v>1</v>
      </c>
      <c r="H1526" s="35">
        <v>30</v>
      </c>
      <c r="I1526" s="35">
        <f>VENTAS[[#This Row],[Cantidad]]*VENTAS[[#This Row],[Precio Venta]]</f>
        <v>30</v>
      </c>
      <c r="J1526" s="35">
        <f>IF(VENTAS[[#This Row],[Nombre del Gestor]]&gt;1,VENTAS[[#This Row],[Total]]*10%,0)</f>
        <v>3</v>
      </c>
      <c r="K1526" s="35">
        <f>IFERROR(VLOOKUP(VENTAS[[#This Row],[Código del producto Vendido]],STOCK[],16,FALSE)*VENTAS[[#This Row],[Cantidad]]+VLOOKUP(VENTAS[[#This Row],[Código del producto Vendido]],STOCK[],19,FALSE)*VENTAS[[#This Row],[Cantidad]],VENTAS[[#This Row],[Total]])</f>
        <v>12.63</v>
      </c>
      <c r="L1526" s="35">
        <f>VENTAS[[#This Row],[Total]]-VENTAS[[#This Row],[Comisión 10%]]-VENTAS[[#This Row],[Costo SIN Comision]]</f>
        <v>14.37</v>
      </c>
      <c r="M1526" s="35"/>
    </row>
    <row r="1527" ht="20" customHeight="1" spans="1:13">
      <c r="A1527" s="29">
        <v>45561</v>
      </c>
      <c r="B1527" s="30"/>
      <c r="C1527" s="30" t="s">
        <v>3704</v>
      </c>
      <c r="D1527" s="30" t="s">
        <v>3700</v>
      </c>
      <c r="E1527" s="30" t="s">
        <v>2575</v>
      </c>
      <c r="F1527" s="34" t="str">
        <f>IFERROR(VLOOKUP(VENTAS[[#This Row],[Código del producto Vendido]],STOCK[],5,FALSE),"-")</f>
        <v>Vestido Largo con cinturón fruncido</v>
      </c>
      <c r="G1527" s="34">
        <v>1</v>
      </c>
      <c r="H1527" s="35">
        <v>30</v>
      </c>
      <c r="I1527" s="35">
        <f>VENTAS[[#This Row],[Cantidad]]*VENTAS[[#This Row],[Precio Venta]]</f>
        <v>30</v>
      </c>
      <c r="J1527" s="35">
        <f>IF(VENTAS[[#This Row],[Nombre del Gestor]]&gt;1,VENTAS[[#This Row],[Total]]*10%,0)</f>
        <v>3</v>
      </c>
      <c r="K1527" s="35">
        <f>IFERROR(VLOOKUP(VENTAS[[#This Row],[Código del producto Vendido]],STOCK[],16,FALSE)*VENTAS[[#This Row],[Cantidad]]+VLOOKUP(VENTAS[[#This Row],[Código del producto Vendido]],STOCK[],19,FALSE)*VENTAS[[#This Row],[Cantidad]],VENTAS[[#This Row],[Total]])</f>
        <v>13.66</v>
      </c>
      <c r="L1527" s="35">
        <f>VENTAS[[#This Row],[Total]]-VENTAS[[#This Row],[Comisión 10%]]-VENTAS[[#This Row],[Costo SIN Comision]]</f>
        <v>13.34</v>
      </c>
      <c r="M1527" s="35"/>
    </row>
    <row r="1528" ht="20" customHeight="1" spans="1:13">
      <c r="A1528" s="29">
        <v>45561</v>
      </c>
      <c r="B1528" s="30"/>
      <c r="C1528" s="30" t="s">
        <v>3555</v>
      </c>
      <c r="D1528" s="30" t="s">
        <v>3700</v>
      </c>
      <c r="E1528" s="30" t="s">
        <v>482</v>
      </c>
      <c r="F1528" s="34" t="str">
        <f>IFERROR(VLOOKUP(VENTAS[[#This Row],[Código del producto Vendido]],STOCK[],5,FALSE),"-")</f>
        <v>Bikini estampado cebra</v>
      </c>
      <c r="G1528" s="34">
        <v>1</v>
      </c>
      <c r="H1528" s="35">
        <v>12</v>
      </c>
      <c r="I1528" s="35">
        <f>VENTAS[[#This Row],[Cantidad]]*VENTAS[[#This Row],[Precio Venta]]</f>
        <v>12</v>
      </c>
      <c r="J1528" s="35">
        <f>IF(VENTAS[[#This Row],[Nombre del Gestor]]&gt;1,VENTAS[[#This Row],[Total]]*10%,0)</f>
        <v>1.2</v>
      </c>
      <c r="K1528" s="35">
        <f>IFERROR(VLOOKUP(VENTAS[[#This Row],[Código del producto Vendido]],STOCK[],16,FALSE)*VENTAS[[#This Row],[Cantidad]]+VLOOKUP(VENTAS[[#This Row],[Código del producto Vendido]],STOCK[],19,FALSE)*VENTAS[[#This Row],[Cantidad]],VENTAS[[#This Row],[Total]])</f>
        <v>8.78722222222222</v>
      </c>
      <c r="L1528" s="35">
        <f>VENTAS[[#This Row],[Total]]-VENTAS[[#This Row],[Comisión 10%]]-VENTAS[[#This Row],[Costo SIN Comision]]</f>
        <v>2.01277777777778</v>
      </c>
      <c r="M1528" s="35"/>
    </row>
    <row r="1529" ht="20" customHeight="1" spans="1:13">
      <c r="A1529" s="29">
        <v>45561</v>
      </c>
      <c r="B1529" s="30"/>
      <c r="C1529" s="30" t="s">
        <v>3705</v>
      </c>
      <c r="D1529" s="30" t="s">
        <v>3700</v>
      </c>
      <c r="E1529" s="30" t="s">
        <v>3011</v>
      </c>
      <c r="F1529" s="34" t="str">
        <f>IFERROR(VLOOKUP(VENTAS[[#This Row],[Código del producto Vendido]],STOCK[],5,FALSE),"-")</f>
        <v>Pantalón alto de pierna ancha color caramelo</v>
      </c>
      <c r="G1529" s="34">
        <v>1</v>
      </c>
      <c r="H1529" s="35">
        <v>30</v>
      </c>
      <c r="I1529" s="35">
        <f>VENTAS[[#This Row],[Cantidad]]*VENTAS[[#This Row],[Precio Venta]]</f>
        <v>30</v>
      </c>
      <c r="J1529" s="35">
        <f>IF(VENTAS[[#This Row],[Nombre del Gestor]]&gt;1,VENTAS[[#This Row],[Total]]*10%,0)</f>
        <v>3</v>
      </c>
      <c r="K1529" s="35">
        <f>IFERROR(VLOOKUP(VENTAS[[#This Row],[Código del producto Vendido]],STOCK[],16,FALSE)*VENTAS[[#This Row],[Cantidad]]+VLOOKUP(VENTAS[[#This Row],[Código del producto Vendido]],STOCK[],19,FALSE)*VENTAS[[#This Row],[Cantidad]],VENTAS[[#This Row],[Total]])</f>
        <v>12.63</v>
      </c>
      <c r="L1529" s="35">
        <f>VENTAS[[#This Row],[Total]]-VENTAS[[#This Row],[Comisión 10%]]-VENTAS[[#This Row],[Costo SIN Comision]]</f>
        <v>14.37</v>
      </c>
      <c r="M1529" s="35"/>
    </row>
    <row r="1530" ht="20" customHeight="1" spans="1:13">
      <c r="A1530" s="29">
        <v>45559</v>
      </c>
      <c r="B1530" s="30"/>
      <c r="C1530" s="30" t="s">
        <v>3400</v>
      </c>
      <c r="D1530" s="30" t="s">
        <v>3700</v>
      </c>
      <c r="E1530" s="30" t="s">
        <v>2573</v>
      </c>
      <c r="F1530" s="34" t="str">
        <f>IFERROR(VLOOKUP(VENTAS[[#This Row],[Código del producto Vendido]],STOCK[],5,FALSE),"-")</f>
        <v>Vestido Largo con cinturón fruncido</v>
      </c>
      <c r="G1530" s="34">
        <v>1</v>
      </c>
      <c r="H1530" s="35">
        <v>30</v>
      </c>
      <c r="I1530" s="35">
        <f>VENTAS[[#This Row],[Cantidad]]*VENTAS[[#This Row],[Precio Venta]]</f>
        <v>30</v>
      </c>
      <c r="J1530" s="35">
        <f>IF(VENTAS[[#This Row],[Nombre del Gestor]]&gt;1,VENTAS[[#This Row],[Total]]*10%,0)</f>
        <v>3</v>
      </c>
      <c r="K1530" s="35">
        <f>IFERROR(VLOOKUP(VENTAS[[#This Row],[Código del producto Vendido]],STOCK[],16,FALSE)*VENTAS[[#This Row],[Cantidad]]+VLOOKUP(VENTAS[[#This Row],[Código del producto Vendido]],STOCK[],19,FALSE)*VENTAS[[#This Row],[Cantidad]],VENTAS[[#This Row],[Total]])</f>
        <v>13.66</v>
      </c>
      <c r="L1530" s="35">
        <f>VENTAS[[#This Row],[Total]]-VENTAS[[#This Row],[Comisión 10%]]-VENTAS[[#This Row],[Costo SIN Comision]]</f>
        <v>13.34</v>
      </c>
      <c r="M1530" s="35"/>
    </row>
    <row r="1531" ht="20" customHeight="1" spans="1:13">
      <c r="A1531" s="29">
        <v>45565</v>
      </c>
      <c r="B1531" s="30"/>
      <c r="C1531" s="30" t="s">
        <v>3706</v>
      </c>
      <c r="D1531" s="30" t="s">
        <v>3707</v>
      </c>
      <c r="E1531" s="30" t="s">
        <v>2971</v>
      </c>
      <c r="F1531" s="34" t="str">
        <f>IFERROR(VLOOKUP(VENTAS[[#This Row],[Código del producto Vendido]],STOCK[],5,FALSE),"-")</f>
        <v>Vestido de un hombro con abertura trasera color azul celeste</v>
      </c>
      <c r="G1531" s="34">
        <v>1</v>
      </c>
      <c r="H1531" s="35">
        <v>25</v>
      </c>
      <c r="I1531" s="35">
        <f>VENTAS[[#This Row],[Cantidad]]*VENTAS[[#This Row],[Precio Venta]]</f>
        <v>25</v>
      </c>
      <c r="J1531" s="35">
        <f>IF(VENTAS[[#This Row],[Nombre del Gestor]]&gt;1,VENTAS[[#This Row],[Total]]*10%,0)</f>
        <v>2.5</v>
      </c>
      <c r="K1531" s="35">
        <f>IFERROR(VLOOKUP(VENTAS[[#This Row],[Código del producto Vendido]],STOCK[],16,FALSE)*VENTAS[[#This Row],[Cantidad]]+VLOOKUP(VENTAS[[#This Row],[Código del producto Vendido]],STOCK[],19,FALSE)*VENTAS[[#This Row],[Cantidad]],VENTAS[[#This Row],[Total]])</f>
        <v>12.32</v>
      </c>
      <c r="L1531" s="35">
        <f>VENTAS[[#This Row],[Total]]-VENTAS[[#This Row],[Comisión 10%]]-VENTAS[[#This Row],[Costo SIN Comision]]</f>
        <v>10.18</v>
      </c>
      <c r="M1531" s="35"/>
    </row>
    <row r="1532" ht="27" customHeight="1" spans="1:13">
      <c r="A1532" s="29">
        <v>45562</v>
      </c>
      <c r="B1532" s="30"/>
      <c r="C1532" s="30" t="s">
        <v>3708</v>
      </c>
      <c r="D1532" s="30" t="s">
        <v>3707</v>
      </c>
      <c r="E1532" s="30" t="s">
        <v>2812</v>
      </c>
      <c r="F1532" s="34" t="str">
        <f>IFERROR(VLOOKUP(VENTAS[[#This Row],[Código del producto Vendido]],STOCK[],5,FALSE),"-")</f>
        <v>Bolso de ratán de Moda para vacaciones tamaño mediano con diseño de listas negras</v>
      </c>
      <c r="G1532" s="34">
        <v>1</v>
      </c>
      <c r="H1532" s="35">
        <v>22</v>
      </c>
      <c r="I1532" s="35">
        <f>VENTAS[[#This Row],[Cantidad]]*VENTAS[[#This Row],[Precio Venta]]</f>
        <v>22</v>
      </c>
      <c r="J1532" s="35">
        <f>IF(VENTAS[[#This Row],[Nombre del Gestor]]&gt;1,VENTAS[[#This Row],[Total]]*10%,0)</f>
        <v>2.2</v>
      </c>
      <c r="K1532" s="35">
        <f>IFERROR(VLOOKUP(VENTAS[[#This Row],[Código del producto Vendido]],STOCK[],16,FALSE)*VENTAS[[#This Row],[Cantidad]]+VLOOKUP(VENTAS[[#This Row],[Código del producto Vendido]],STOCK[],19,FALSE)*VENTAS[[#This Row],[Cantidad]],VENTAS[[#This Row],[Total]])</f>
        <v>12.17</v>
      </c>
      <c r="L1532" s="35">
        <f>VENTAS[[#This Row],[Total]]-VENTAS[[#This Row],[Comisión 10%]]-VENTAS[[#This Row],[Costo SIN Comision]]</f>
        <v>7.63</v>
      </c>
      <c r="M1532" s="35"/>
    </row>
    <row r="1533" ht="20" customHeight="1" spans="1:13">
      <c r="A1533" s="29">
        <v>45563</v>
      </c>
      <c r="B1533" s="30"/>
      <c r="C1533" s="30" t="s">
        <v>3709</v>
      </c>
      <c r="D1533" s="30" t="s">
        <v>3707</v>
      </c>
      <c r="E1533" s="30" t="s">
        <v>2962</v>
      </c>
      <c r="F1533" s="34" t="str">
        <f>IFERROR(VLOOKUP(VENTAS[[#This Row],[Código del producto Vendido]],STOCK[],5,FALSE),"-")</f>
        <v>Vestido camisola negro con abertura</v>
      </c>
      <c r="G1533" s="34">
        <v>1</v>
      </c>
      <c r="H1533" s="35">
        <v>20</v>
      </c>
      <c r="I1533" s="35">
        <f>VENTAS[[#This Row],[Cantidad]]*VENTAS[[#This Row],[Precio Venta]]</f>
        <v>20</v>
      </c>
      <c r="J1533" s="35">
        <f>IF(VENTAS[[#This Row],[Nombre del Gestor]]&gt;1,VENTAS[[#This Row],[Total]]*10%,0)</f>
        <v>2</v>
      </c>
      <c r="K1533" s="35">
        <f>IFERROR(VLOOKUP(VENTAS[[#This Row],[Código del producto Vendido]],STOCK[],16,FALSE)*VENTAS[[#This Row],[Cantidad]]+VLOOKUP(VENTAS[[#This Row],[Código del producto Vendido]],STOCK[],19,FALSE)*VENTAS[[#This Row],[Cantidad]],VENTAS[[#This Row],[Total]])</f>
        <v>7.63</v>
      </c>
      <c r="L1533" s="35">
        <f>VENTAS[[#This Row],[Total]]-VENTAS[[#This Row],[Comisión 10%]]-VENTAS[[#This Row],[Costo SIN Comision]]</f>
        <v>10.37</v>
      </c>
      <c r="M1533" s="35"/>
    </row>
    <row r="1534" ht="25" customHeight="1" spans="1:13">
      <c r="A1534" s="29">
        <v>45563</v>
      </c>
      <c r="B1534" s="30"/>
      <c r="C1534" s="30" t="s">
        <v>3710</v>
      </c>
      <c r="D1534" s="30" t="s">
        <v>3707</v>
      </c>
      <c r="E1534" s="30" t="s">
        <v>2142</v>
      </c>
      <c r="F1534" s="34" t="str">
        <f>IFERROR(VLOOKUP(VENTAS[[#This Row],[Código del producto Vendido]],STOCK[],5,FALSE),"-")</f>
        <v>Falda Bohemia de mezclilla de cintura alta con detalles de botón</v>
      </c>
      <c r="G1534" s="34">
        <v>1</v>
      </c>
      <c r="H1534" s="35">
        <v>30</v>
      </c>
      <c r="I1534" s="35">
        <f>VENTAS[[#This Row],[Cantidad]]*VENTAS[[#This Row],[Precio Venta]]</f>
        <v>30</v>
      </c>
      <c r="J1534" s="35">
        <f>IF(VENTAS[[#This Row],[Nombre del Gestor]]&gt;1,VENTAS[[#This Row],[Total]]*10%,0)</f>
        <v>3</v>
      </c>
      <c r="K1534" s="35">
        <f>IFERROR(VLOOKUP(VENTAS[[#This Row],[Código del producto Vendido]],STOCK[],16,FALSE)*VENTAS[[#This Row],[Cantidad]]+VLOOKUP(VENTAS[[#This Row],[Código del producto Vendido]],STOCK[],19,FALSE)*VENTAS[[#This Row],[Cantidad]],VENTAS[[#This Row],[Total]])</f>
        <v>7.05</v>
      </c>
      <c r="L1534" s="35">
        <f>VENTAS[[#This Row],[Total]]-VENTAS[[#This Row],[Comisión 10%]]-VENTAS[[#This Row],[Costo SIN Comision]]</f>
        <v>19.95</v>
      </c>
      <c r="M1534" s="35"/>
    </row>
    <row r="1535" ht="20" customHeight="1" spans="1:13">
      <c r="A1535" s="29">
        <v>45552</v>
      </c>
      <c r="B1535" s="30"/>
      <c r="C1535" s="30" t="s">
        <v>3711</v>
      </c>
      <c r="D1535" s="30" t="s">
        <v>3707</v>
      </c>
      <c r="E1535" s="30" t="s">
        <v>1766</v>
      </c>
      <c r="F1535" s="34" t="str">
        <f>IFERROR(VLOOKUP(VENTAS[[#This Row],[Código del producto Vendido]],STOCK[],5,FALSE),"-")</f>
        <v>Calcetines bajos</v>
      </c>
      <c r="G1535" s="34">
        <v>5</v>
      </c>
      <c r="H1535" s="35">
        <v>1</v>
      </c>
      <c r="I1535" s="35">
        <f>VENTAS[[#This Row],[Cantidad]]*VENTAS[[#This Row],[Precio Venta]]</f>
        <v>5</v>
      </c>
      <c r="J1535" s="35">
        <f>IF(VENTAS[[#This Row],[Nombre del Gestor]]&gt;1,VENTAS[[#This Row],[Total]]*10%,0)</f>
        <v>0.5</v>
      </c>
      <c r="K1535" s="35">
        <f>IFERROR(VLOOKUP(VENTAS[[#This Row],[Código del producto Vendido]],STOCK[],16,FALSE)*VENTAS[[#This Row],[Cantidad]]+VLOOKUP(VENTAS[[#This Row],[Código del producto Vendido]],STOCK[],19,FALSE)*VENTAS[[#This Row],[Cantidad]],VENTAS[[#This Row],[Total]])</f>
        <v>2.14705882352941</v>
      </c>
      <c r="L1535" s="35">
        <f>VENTAS[[#This Row],[Total]]-VENTAS[[#This Row],[Comisión 10%]]-VENTAS[[#This Row],[Costo SIN Comision]]</f>
        <v>2.35294117647059</v>
      </c>
      <c r="M1535" s="35"/>
    </row>
    <row r="1536" ht="20" customHeight="1" spans="1:13">
      <c r="A1536" s="29">
        <v>45552</v>
      </c>
      <c r="B1536" s="30"/>
      <c r="C1536" s="30" t="s">
        <v>3709</v>
      </c>
      <c r="D1536" s="30" t="s">
        <v>3707</v>
      </c>
      <c r="E1536" s="30" t="s">
        <v>1736</v>
      </c>
      <c r="F1536" s="34" t="str">
        <f>IFERROR(VLOOKUP(VENTAS[[#This Row],[Código del producto Vendido]],STOCK[],5,FALSE),"-")</f>
        <v>Chaleco de traje Blanco</v>
      </c>
      <c r="G1536" s="34">
        <v>1</v>
      </c>
      <c r="H1536" s="35">
        <v>25</v>
      </c>
      <c r="I1536" s="35">
        <f>VENTAS[[#This Row],[Cantidad]]*VENTAS[[#This Row],[Precio Venta]]</f>
        <v>25</v>
      </c>
      <c r="J1536" s="35">
        <f>IF(VENTAS[[#This Row],[Nombre del Gestor]]&gt;1,VENTAS[[#This Row],[Total]]*10%,0)</f>
        <v>2.5</v>
      </c>
      <c r="K1536" s="35">
        <f>IFERROR(VLOOKUP(VENTAS[[#This Row],[Código del producto Vendido]],STOCK[],16,FALSE)*VENTAS[[#This Row],[Cantidad]]+VLOOKUP(VENTAS[[#This Row],[Código del producto Vendido]],STOCK[],19,FALSE)*VENTAS[[#This Row],[Cantidad]],VENTAS[[#This Row],[Total]])</f>
        <v>17.9411764705882</v>
      </c>
      <c r="L1536" s="35">
        <f>VENTAS[[#This Row],[Total]]-VENTAS[[#This Row],[Comisión 10%]]-VENTAS[[#This Row],[Costo SIN Comision]]</f>
        <v>4.5588235294118</v>
      </c>
      <c r="M1536" s="35"/>
    </row>
    <row r="1537" ht="20" customHeight="1" spans="1:13">
      <c r="A1537" s="29">
        <v>45565</v>
      </c>
      <c r="B1537" s="30"/>
      <c r="C1537" s="30" t="s">
        <v>3712</v>
      </c>
      <c r="D1537" s="30" t="s">
        <v>3507</v>
      </c>
      <c r="E1537" s="30" t="s">
        <v>2998</v>
      </c>
      <c r="F1537" s="34" t="str">
        <f>IFERROR(VLOOKUP(VENTAS[[#This Row],[Código del producto Vendido]],STOCK[],5,FALSE),"-")</f>
        <v>Traje de baño enterizo elegante de un hombro talla grande </v>
      </c>
      <c r="G1537" s="34">
        <v>1</v>
      </c>
      <c r="H1537" s="35">
        <v>28</v>
      </c>
      <c r="I1537" s="35">
        <f>VENTAS[[#This Row],[Cantidad]]*VENTAS[[#This Row],[Precio Venta]]</f>
        <v>28</v>
      </c>
      <c r="J1537" s="35">
        <f>IF(VENTAS[[#This Row],[Nombre del Gestor]]&gt;1,VENTAS[[#This Row],[Total]]*10%,0)</f>
        <v>2.8</v>
      </c>
      <c r="K1537" s="35">
        <f>IFERROR(VLOOKUP(VENTAS[[#This Row],[Código del producto Vendido]],STOCK[],16,FALSE)*VENTAS[[#This Row],[Cantidad]]+VLOOKUP(VENTAS[[#This Row],[Código del producto Vendido]],STOCK[],19,FALSE)*VENTAS[[#This Row],[Cantidad]],VENTAS[[#This Row],[Total]])</f>
        <v>13.33</v>
      </c>
      <c r="L1537" s="35">
        <f>VENTAS[[#This Row],[Total]]-VENTAS[[#This Row],[Comisión 10%]]-VENTAS[[#This Row],[Costo SIN Comision]]</f>
        <v>11.87</v>
      </c>
      <c r="M1537" s="35"/>
    </row>
    <row r="1538" ht="20" customHeight="1" spans="1:13">
      <c r="A1538" s="29">
        <v>45563</v>
      </c>
      <c r="B1538" s="30"/>
      <c r="C1538" s="30" t="s">
        <v>3713</v>
      </c>
      <c r="D1538" s="30" t="s">
        <v>3507</v>
      </c>
      <c r="E1538" s="30" t="s">
        <v>2793</v>
      </c>
      <c r="F1538" s="34" t="str">
        <f>IFERROR(VLOOKUP(VENTAS[[#This Row],[Código del producto Vendido]],STOCK[],5,FALSE),"-")</f>
        <v>Sandalias estilo chunky de suela gruesa en contraste de color</v>
      </c>
      <c r="G1538" s="34">
        <v>1</v>
      </c>
      <c r="H1538" s="35">
        <v>35</v>
      </c>
      <c r="I1538" s="35">
        <f>VENTAS[[#This Row],[Cantidad]]*VENTAS[[#This Row],[Precio Venta]]</f>
        <v>35</v>
      </c>
      <c r="J1538" s="35">
        <f>IF(VENTAS[[#This Row],[Nombre del Gestor]]&gt;1,VENTAS[[#This Row],[Total]]*10%,0)</f>
        <v>3.5</v>
      </c>
      <c r="K1538" s="35">
        <f>IFERROR(VLOOKUP(VENTAS[[#This Row],[Código del producto Vendido]],STOCK[],16,FALSE)*VENTAS[[#This Row],[Cantidad]]+VLOOKUP(VENTAS[[#This Row],[Código del producto Vendido]],STOCK[],19,FALSE)*VENTAS[[#This Row],[Cantidad]],VENTAS[[#This Row],[Total]])</f>
        <v>13.4</v>
      </c>
      <c r="L1538" s="35">
        <f>VENTAS[[#This Row],[Total]]-VENTAS[[#This Row],[Comisión 10%]]-VENTAS[[#This Row],[Costo SIN Comision]]</f>
        <v>18.1</v>
      </c>
      <c r="M1538" s="35"/>
    </row>
    <row r="1539" ht="20" customHeight="1" spans="1:13">
      <c r="A1539" s="29">
        <v>45560</v>
      </c>
      <c r="B1539" s="30"/>
      <c r="C1539" s="30" t="s">
        <v>3714</v>
      </c>
      <c r="D1539" s="30" t="s">
        <v>3507</v>
      </c>
      <c r="E1539" s="30" t="s">
        <v>2969</v>
      </c>
      <c r="F1539" s="34" t="str">
        <f>IFERROR(VLOOKUP(VENTAS[[#This Row],[Código del producto Vendido]],STOCK[],5,FALSE),"-")</f>
        <v>Vestido de un hombro con abertura trasera color azul celeste</v>
      </c>
      <c r="G1539" s="34">
        <v>1</v>
      </c>
      <c r="H1539" s="35">
        <v>25</v>
      </c>
      <c r="I1539" s="35">
        <f>VENTAS[[#This Row],[Cantidad]]*VENTAS[[#This Row],[Precio Venta]]</f>
        <v>25</v>
      </c>
      <c r="J1539" s="35">
        <f>IF(VENTAS[[#This Row],[Nombre del Gestor]]&gt;1,VENTAS[[#This Row],[Total]]*10%,0)</f>
        <v>2.5</v>
      </c>
      <c r="K1539" s="35">
        <f>IFERROR(VLOOKUP(VENTAS[[#This Row],[Código del producto Vendido]],STOCK[],16,FALSE)*VENTAS[[#This Row],[Cantidad]]+VLOOKUP(VENTAS[[#This Row],[Código del producto Vendido]],STOCK[],19,FALSE)*VENTAS[[#This Row],[Cantidad]],VENTAS[[#This Row],[Total]])</f>
        <v>12.32</v>
      </c>
      <c r="L1539" s="35">
        <f>VENTAS[[#This Row],[Total]]-VENTAS[[#This Row],[Comisión 10%]]-VENTAS[[#This Row],[Costo SIN Comision]]</f>
        <v>10.18</v>
      </c>
      <c r="M1539" s="35"/>
    </row>
    <row r="1540" ht="20" customHeight="1" spans="1:13">
      <c r="A1540" s="29">
        <v>45565</v>
      </c>
      <c r="B1540" s="30"/>
      <c r="C1540" s="30" t="s">
        <v>3715</v>
      </c>
      <c r="D1540" s="30" t="s">
        <v>3664</v>
      </c>
      <c r="E1540" s="30" t="s">
        <v>2854</v>
      </c>
      <c r="F1540" s="34" t="str">
        <f>IFERROR(VLOOKUP(VENTAS[[#This Row],[Código del producto Vendido]],STOCK[],5,FALSE),"-")</f>
        <v>Bolso cuadrado tejido de rafia Tamaño grande Color Carmelita</v>
      </c>
      <c r="G1540" s="34">
        <v>1</v>
      </c>
      <c r="H1540" s="35">
        <v>25</v>
      </c>
      <c r="I1540" s="35">
        <f>VENTAS[[#This Row],[Cantidad]]*VENTAS[[#This Row],[Precio Venta]]</f>
        <v>25</v>
      </c>
      <c r="J1540" s="35">
        <f>IF(VENTAS[[#This Row],[Nombre del Gestor]]&gt;1,VENTAS[[#This Row],[Total]]*10%,0)</f>
        <v>2.5</v>
      </c>
      <c r="K1540" s="35">
        <f>IFERROR(VLOOKUP(VENTAS[[#This Row],[Código del producto Vendido]],STOCK[],16,FALSE)*VENTAS[[#This Row],[Cantidad]]+VLOOKUP(VENTAS[[#This Row],[Código del producto Vendido]],STOCK[],19,FALSE)*VENTAS[[#This Row],[Cantidad]],VENTAS[[#This Row],[Total]])</f>
        <v>14.85</v>
      </c>
      <c r="L1540" s="35">
        <f>VENTAS[[#This Row],[Total]]-VENTAS[[#This Row],[Comisión 10%]]-VENTAS[[#This Row],[Costo SIN Comision]]</f>
        <v>7.65</v>
      </c>
      <c r="M1540" s="35"/>
    </row>
    <row r="1541" ht="20" customHeight="1" spans="1:13">
      <c r="A1541" s="29">
        <v>45563</v>
      </c>
      <c r="B1541" s="30"/>
      <c r="C1541" s="30" t="s">
        <v>3716</v>
      </c>
      <c r="D1541" s="30" t="s">
        <v>3510</v>
      </c>
      <c r="E1541" s="30" t="s">
        <v>2803</v>
      </c>
      <c r="F1541" s="34" t="str">
        <f>IFERROR(VLOOKUP(VENTAS[[#This Row],[Código del producto Vendido]],STOCK[],5,FALSE),"-")</f>
        <v>Sandalias espadriles de cuña de correas transparentes</v>
      </c>
      <c r="G1541" s="34">
        <v>1</v>
      </c>
      <c r="H1541" s="35">
        <v>40</v>
      </c>
      <c r="I1541" s="35">
        <f>VENTAS[[#This Row],[Cantidad]]*VENTAS[[#This Row],[Precio Venta]]</f>
        <v>40</v>
      </c>
      <c r="J1541" s="35">
        <f>IF(VENTAS[[#This Row],[Nombre del Gestor]]&gt;1,VENTAS[[#This Row],[Total]]*10%,0)</f>
        <v>4</v>
      </c>
      <c r="K1541" s="35">
        <f>IFERROR(VLOOKUP(VENTAS[[#This Row],[Código del producto Vendido]],STOCK[],16,FALSE)*VENTAS[[#This Row],[Cantidad]]+VLOOKUP(VENTAS[[#This Row],[Código del producto Vendido]],STOCK[],19,FALSE)*VENTAS[[#This Row],[Cantidad]],VENTAS[[#This Row],[Total]])</f>
        <v>13.01</v>
      </c>
      <c r="L1541" s="35">
        <f>VENTAS[[#This Row],[Total]]-VENTAS[[#This Row],[Comisión 10%]]-VENTAS[[#This Row],[Costo SIN Comision]]</f>
        <v>22.99</v>
      </c>
      <c r="M1541" s="35"/>
    </row>
    <row r="1542" ht="20" customHeight="1" spans="1:13">
      <c r="A1542" s="29">
        <v>45562</v>
      </c>
      <c r="B1542" s="30"/>
      <c r="C1542" s="30" t="s">
        <v>3598</v>
      </c>
      <c r="D1542" s="30" t="s">
        <v>3510</v>
      </c>
      <c r="E1542" s="30" t="s">
        <v>2810</v>
      </c>
      <c r="F1542" s="34" t="str">
        <f>IFERROR(VLOOKUP(VENTAS[[#This Row],[Código del producto Vendido]],STOCK[],5,FALSE),"-")</f>
        <v>Bolso elegante de estilo sillín</v>
      </c>
      <c r="G1542" s="34">
        <v>1</v>
      </c>
      <c r="H1542" s="35">
        <v>30</v>
      </c>
      <c r="I1542" s="35">
        <f>VENTAS[[#This Row],[Cantidad]]*VENTAS[[#This Row],[Precio Venta]]</f>
        <v>30</v>
      </c>
      <c r="J1542" s="35">
        <f>IF(VENTAS[[#This Row],[Nombre del Gestor]]&gt;1,VENTAS[[#This Row],[Total]]*10%,0)</f>
        <v>3</v>
      </c>
      <c r="K1542" s="35">
        <f>IFERROR(VLOOKUP(VENTAS[[#This Row],[Código del producto Vendido]],STOCK[],16,FALSE)*VENTAS[[#This Row],[Cantidad]]+VLOOKUP(VENTAS[[#This Row],[Código del producto Vendido]],STOCK[],19,FALSE)*VENTAS[[#This Row],[Cantidad]],VENTAS[[#This Row],[Total]])</f>
        <v>10.28</v>
      </c>
      <c r="L1542" s="35">
        <f>VENTAS[[#This Row],[Total]]-VENTAS[[#This Row],[Comisión 10%]]-VENTAS[[#This Row],[Costo SIN Comision]]</f>
        <v>16.72</v>
      </c>
      <c r="M1542" s="35"/>
    </row>
    <row r="1543" ht="20" customHeight="1" spans="1:13">
      <c r="A1543" s="29">
        <v>45563</v>
      </c>
      <c r="B1543" s="30"/>
      <c r="C1543" s="30" t="s">
        <v>3717</v>
      </c>
      <c r="D1543" s="30" t="s">
        <v>3510</v>
      </c>
      <c r="E1543" s="30" t="s">
        <v>2695</v>
      </c>
      <c r="F1543" s="34" t="str">
        <f>IFERROR(VLOOKUP(VENTAS[[#This Row],[Código del producto Vendido]],STOCK[],5,FALSE),"-")</f>
        <v>Set de Splash y crema de Victoria Secret (Original) Love Spell</v>
      </c>
      <c r="G1543" s="34">
        <v>1</v>
      </c>
      <c r="H1543" s="35">
        <v>40</v>
      </c>
      <c r="I1543" s="35">
        <f>VENTAS[[#This Row],[Cantidad]]*VENTAS[[#This Row],[Precio Venta]]</f>
        <v>40</v>
      </c>
      <c r="J1543" s="35">
        <f>IF(VENTAS[[#This Row],[Nombre del Gestor]]&gt;1,VENTAS[[#This Row],[Total]]*10%,0)</f>
        <v>4</v>
      </c>
      <c r="K1543" s="35">
        <f>IFERROR(VLOOKUP(VENTAS[[#This Row],[Código del producto Vendido]],STOCK[],16,FALSE)*VENTAS[[#This Row],[Cantidad]]+VLOOKUP(VENTAS[[#This Row],[Código del producto Vendido]],STOCK[],19,FALSE)*VENTAS[[#This Row],[Cantidad]],VENTAS[[#This Row],[Total]])</f>
        <v>16.37</v>
      </c>
      <c r="L1543" s="35">
        <f>VENTAS[[#This Row],[Total]]-VENTAS[[#This Row],[Comisión 10%]]-VENTAS[[#This Row],[Costo SIN Comision]]</f>
        <v>19.63</v>
      </c>
      <c r="M1543" s="35"/>
    </row>
    <row r="1544" ht="20" customHeight="1" spans="1:13">
      <c r="A1544" s="29">
        <v>45560</v>
      </c>
      <c r="B1544" s="30"/>
      <c r="C1544" s="30" t="s">
        <v>3718</v>
      </c>
      <c r="D1544" s="30" t="s">
        <v>3510</v>
      </c>
      <c r="E1544" s="30" t="s">
        <v>2771</v>
      </c>
      <c r="F1544" s="34" t="str">
        <f>IFERROR(VLOOKUP(VENTAS[[#This Row],[Código del producto Vendido]],STOCK[],5,FALSE),"-")</f>
        <v>Sandalias de plataforma de rafia natural</v>
      </c>
      <c r="G1544" s="34">
        <v>1</v>
      </c>
      <c r="H1544" s="35">
        <v>45</v>
      </c>
      <c r="I1544" s="35">
        <f>VENTAS[[#This Row],[Cantidad]]*VENTAS[[#This Row],[Precio Venta]]</f>
        <v>45</v>
      </c>
      <c r="J1544" s="35">
        <f>IF(VENTAS[[#This Row],[Nombre del Gestor]]&gt;1,VENTAS[[#This Row],[Total]]*10%,0)</f>
        <v>4.5</v>
      </c>
      <c r="K1544" s="35">
        <f>IFERROR(VLOOKUP(VENTAS[[#This Row],[Código del producto Vendido]],STOCK[],16,FALSE)*VENTAS[[#This Row],[Cantidad]]+VLOOKUP(VENTAS[[#This Row],[Código del producto Vendido]],STOCK[],19,FALSE)*VENTAS[[#This Row],[Cantidad]],VENTAS[[#This Row],[Total]])</f>
        <v>19.65</v>
      </c>
      <c r="L1544" s="35">
        <f>VENTAS[[#This Row],[Total]]-VENTAS[[#This Row],[Comisión 10%]]-VENTAS[[#This Row],[Costo SIN Comision]]</f>
        <v>20.85</v>
      </c>
      <c r="M1544" s="35"/>
    </row>
    <row r="1545" ht="20" customHeight="1" spans="1:13">
      <c r="A1545" s="29">
        <v>45559</v>
      </c>
      <c r="B1545" s="30"/>
      <c r="C1545" s="30" t="s">
        <v>3719</v>
      </c>
      <c r="D1545" s="30" t="s">
        <v>3510</v>
      </c>
      <c r="E1545" s="30" t="s">
        <v>2812</v>
      </c>
      <c r="F1545" s="34" t="str">
        <f>IFERROR(VLOOKUP(VENTAS[[#This Row],[Código del producto Vendido]],STOCK[],5,FALSE),"-")</f>
        <v>Bolso de ratán de Moda para vacaciones tamaño mediano con diseño de listas negras</v>
      </c>
      <c r="G1545" s="34">
        <v>1</v>
      </c>
      <c r="H1545" s="35">
        <v>22</v>
      </c>
      <c r="I1545" s="35">
        <f>VENTAS[[#This Row],[Cantidad]]*VENTAS[[#This Row],[Precio Venta]]</f>
        <v>22</v>
      </c>
      <c r="J1545" s="35">
        <f>IF(VENTAS[[#This Row],[Nombre del Gestor]]&gt;1,VENTAS[[#This Row],[Total]]*10%,0)</f>
        <v>2.2</v>
      </c>
      <c r="K1545" s="35">
        <f>IFERROR(VLOOKUP(VENTAS[[#This Row],[Código del producto Vendido]],STOCK[],16,FALSE)*VENTAS[[#This Row],[Cantidad]]+VLOOKUP(VENTAS[[#This Row],[Código del producto Vendido]],STOCK[],19,FALSE)*VENTAS[[#This Row],[Cantidad]],VENTAS[[#This Row],[Total]])</f>
        <v>12.17</v>
      </c>
      <c r="L1545" s="35">
        <f>VENTAS[[#This Row],[Total]]-VENTAS[[#This Row],[Comisión 10%]]-VENTAS[[#This Row],[Costo SIN Comision]]</f>
        <v>7.63</v>
      </c>
      <c r="M1545" s="35"/>
    </row>
    <row r="1546" ht="20" customHeight="1" spans="1:13">
      <c r="A1546" s="29">
        <v>45559</v>
      </c>
      <c r="B1546" s="30"/>
      <c r="C1546" s="30" t="s">
        <v>3720</v>
      </c>
      <c r="D1546" s="30" t="s">
        <v>3510</v>
      </c>
      <c r="E1546" s="30" t="s">
        <v>2812</v>
      </c>
      <c r="F1546" s="34" t="str">
        <f>IFERROR(VLOOKUP(VENTAS[[#This Row],[Código del producto Vendido]],STOCK[],5,FALSE),"-")</f>
        <v>Bolso de ratán de Moda para vacaciones tamaño mediano con diseño de listas negras</v>
      </c>
      <c r="G1546" s="34">
        <v>1</v>
      </c>
      <c r="H1546" s="35">
        <v>22</v>
      </c>
      <c r="I1546" s="35">
        <f>VENTAS[[#This Row],[Cantidad]]*VENTAS[[#This Row],[Precio Venta]]</f>
        <v>22</v>
      </c>
      <c r="J1546" s="35">
        <f>IF(VENTAS[[#This Row],[Nombre del Gestor]]&gt;1,VENTAS[[#This Row],[Total]]*10%,0)</f>
        <v>2.2</v>
      </c>
      <c r="K1546" s="35">
        <f>IFERROR(VLOOKUP(VENTAS[[#This Row],[Código del producto Vendido]],STOCK[],16,FALSE)*VENTAS[[#This Row],[Cantidad]]+VLOOKUP(VENTAS[[#This Row],[Código del producto Vendido]],STOCK[],19,FALSE)*VENTAS[[#This Row],[Cantidad]],VENTAS[[#This Row],[Total]])</f>
        <v>12.17</v>
      </c>
      <c r="L1546" s="35">
        <f>VENTAS[[#This Row],[Total]]-VENTAS[[#This Row],[Comisión 10%]]-VENTAS[[#This Row],[Costo SIN Comision]]</f>
        <v>7.63</v>
      </c>
      <c r="M1546" s="35"/>
    </row>
    <row r="1547" ht="20" customHeight="1" spans="1:13">
      <c r="A1547" s="29">
        <v>45553</v>
      </c>
      <c r="B1547" s="30"/>
      <c r="C1547" s="30" t="s">
        <v>3721</v>
      </c>
      <c r="D1547" s="30" t="s">
        <v>3510</v>
      </c>
      <c r="E1547" s="30" t="s">
        <v>2759</v>
      </c>
      <c r="F1547" s="34" t="str">
        <f>IFERROR(VLOOKUP(VENTAS[[#This Row],[Código del producto Vendido]],STOCK[],5,FALSE),"-")</f>
        <v>Set de bikini estilo europeo blanco en tendencia</v>
      </c>
      <c r="G1547" s="34">
        <v>1</v>
      </c>
      <c r="H1547" s="35">
        <v>22</v>
      </c>
      <c r="I1547" s="35">
        <f>VENTAS[[#This Row],[Cantidad]]*VENTAS[[#This Row],[Precio Venta]]</f>
        <v>22</v>
      </c>
      <c r="J1547" s="35">
        <f>IF(VENTAS[[#This Row],[Nombre del Gestor]]&gt;1,VENTAS[[#This Row],[Total]]*10%,0)</f>
        <v>2.2</v>
      </c>
      <c r="K1547" s="35">
        <f>IFERROR(VLOOKUP(VENTAS[[#This Row],[Código del producto Vendido]],STOCK[],16,FALSE)*VENTAS[[#This Row],[Cantidad]]+VLOOKUP(VENTAS[[#This Row],[Código del producto Vendido]],STOCK[],19,FALSE)*VENTAS[[#This Row],[Cantidad]],VENTAS[[#This Row],[Total]])</f>
        <v>13.23</v>
      </c>
      <c r="L1547" s="35">
        <f>VENTAS[[#This Row],[Total]]-VENTAS[[#This Row],[Comisión 10%]]-VENTAS[[#This Row],[Costo SIN Comision]]</f>
        <v>6.57</v>
      </c>
      <c r="M1547" s="35"/>
    </row>
    <row r="1548" ht="20" customHeight="1" spans="1:13">
      <c r="A1548" s="29">
        <v>45567</v>
      </c>
      <c r="B1548" s="30"/>
      <c r="C1548" s="30" t="s">
        <v>3722</v>
      </c>
      <c r="D1548" s="30" t="s">
        <v>3723</v>
      </c>
      <c r="E1548" s="30" t="s">
        <v>2820</v>
      </c>
      <c r="F1548" s="34" t="str">
        <f>IFERROR(VLOOKUP(VENTAS[[#This Row],[Código del producto Vendido]],STOCK[],5,FALSE),"-")</f>
        <v>Bolso de playa en bloque de color tejido en algodón</v>
      </c>
      <c r="G1548" s="34">
        <v>1</v>
      </c>
      <c r="H1548" s="35">
        <v>25</v>
      </c>
      <c r="I1548" s="35">
        <f>VENTAS[[#This Row],[Cantidad]]*VENTAS[[#This Row],[Precio Venta]]</f>
        <v>25</v>
      </c>
      <c r="J1548" s="35">
        <f>IF(VENTAS[[#This Row],[Nombre del Gestor]]&gt;1,VENTAS[[#This Row],[Total]]*10%,0)</f>
        <v>2.5</v>
      </c>
      <c r="K1548" s="35">
        <f>IFERROR(VLOOKUP(VENTAS[[#This Row],[Código del producto Vendido]],STOCK[],16,FALSE)*VENTAS[[#This Row],[Cantidad]]+VLOOKUP(VENTAS[[#This Row],[Código del producto Vendido]],STOCK[],19,FALSE)*VENTAS[[#This Row],[Cantidad]],VENTAS[[#This Row],[Total]])</f>
        <v>13.35</v>
      </c>
      <c r="L1548" s="35">
        <f>VENTAS[[#This Row],[Total]]-VENTAS[[#This Row],[Comisión 10%]]-VENTAS[[#This Row],[Costo SIN Comision]]</f>
        <v>9.15</v>
      </c>
      <c r="M1548" s="35"/>
    </row>
    <row r="1549" ht="20" customHeight="1" spans="1:13">
      <c r="A1549" s="29"/>
      <c r="B1549" s="30"/>
      <c r="C1549" s="30"/>
      <c r="D1549" s="30" t="s">
        <v>3724</v>
      </c>
      <c r="E1549" s="30" t="s">
        <v>2854</v>
      </c>
      <c r="F1549" s="34" t="str">
        <f>IFERROR(VLOOKUP(VENTAS[[#This Row],[Código del producto Vendido]],STOCK[],5,FALSE),"-")</f>
        <v>Bolso cuadrado tejido de rafia Tamaño grande Color Carmelita</v>
      </c>
      <c r="G1549" s="34">
        <v>1</v>
      </c>
      <c r="H1549" s="35">
        <v>22</v>
      </c>
      <c r="I1549" s="35">
        <f>VENTAS[[#This Row],[Cantidad]]*VENTAS[[#This Row],[Precio Venta]]</f>
        <v>22</v>
      </c>
      <c r="J1549" s="35">
        <f>IF(VENTAS[[#This Row],[Nombre del Gestor]]&gt;1,VENTAS[[#This Row],[Total]]*10%,0)</f>
        <v>2.2</v>
      </c>
      <c r="K1549" s="35">
        <f>IFERROR(VLOOKUP(VENTAS[[#This Row],[Código del producto Vendido]],STOCK[],16,FALSE)*VENTAS[[#This Row],[Cantidad]]+VLOOKUP(VENTAS[[#This Row],[Código del producto Vendido]],STOCK[],19,FALSE)*VENTAS[[#This Row],[Cantidad]],VENTAS[[#This Row],[Total]])</f>
        <v>14.85</v>
      </c>
      <c r="L1549" s="35">
        <f>VENTAS[[#This Row],[Total]]-VENTAS[[#This Row],[Comisión 10%]]-VENTAS[[#This Row],[Costo SIN Comision]]</f>
        <v>4.95</v>
      </c>
      <c r="M1549" s="35"/>
    </row>
    <row r="1550" ht="20" customHeight="1" spans="1:13">
      <c r="A1550" s="29"/>
      <c r="B1550" s="30"/>
      <c r="C1550" s="30"/>
      <c r="D1550" s="30" t="s">
        <v>3724</v>
      </c>
      <c r="E1550" s="30" t="s">
        <v>2854</v>
      </c>
      <c r="F1550" s="34" t="str">
        <f>IFERROR(VLOOKUP(VENTAS[[#This Row],[Código del producto Vendido]],STOCK[],5,FALSE),"-")</f>
        <v>Bolso cuadrado tejido de rafia Tamaño grande Color Carmelita</v>
      </c>
      <c r="G1550" s="34">
        <v>1</v>
      </c>
      <c r="H1550" s="35">
        <v>10.8</v>
      </c>
      <c r="I1550" s="35">
        <f>VENTAS[[#This Row],[Cantidad]]*VENTAS[[#This Row],[Precio Venta]]</f>
        <v>10.8</v>
      </c>
      <c r="J1550" s="35">
        <f>IF(VENTAS[[#This Row],[Nombre del Gestor]]&gt;1,VENTAS[[#This Row],[Total]]*10%,0)</f>
        <v>1.08</v>
      </c>
      <c r="K1550" s="35">
        <f>IFERROR(VLOOKUP(VENTAS[[#This Row],[Código del producto Vendido]],STOCK[],16,FALSE)*VENTAS[[#This Row],[Cantidad]]+VLOOKUP(VENTAS[[#This Row],[Código del producto Vendido]],STOCK[],19,FALSE)*VENTAS[[#This Row],[Cantidad]],VENTAS[[#This Row],[Total]])</f>
        <v>14.85</v>
      </c>
      <c r="L1550" s="35">
        <f>VENTAS[[#This Row],[Total]]-VENTAS[[#This Row],[Comisión 10%]]-VENTAS[[#This Row],[Costo SIN Comision]]</f>
        <v>-5.13</v>
      </c>
      <c r="M1550" s="35"/>
    </row>
    <row r="1551" ht="20" customHeight="1" spans="1:13">
      <c r="A1551" s="29"/>
      <c r="B1551" s="30"/>
      <c r="C1551" s="30"/>
      <c r="D1551" s="30" t="s">
        <v>3312</v>
      </c>
      <c r="E1551" s="30" t="s">
        <v>2389</v>
      </c>
      <c r="F1551" s="34" t="str">
        <f>IFERROR(VLOOKUP(VENTAS[[#This Row],[Código del producto Vendido]],STOCK[],5,FALSE),"-")</f>
        <v>Sandalias de tiras con tacón cuadrado Marca H&amp;M</v>
      </c>
      <c r="G1551" s="34">
        <v>1</v>
      </c>
      <c r="H1551" s="35">
        <v>35</v>
      </c>
      <c r="I1551" s="35">
        <f>VENTAS[[#This Row],[Cantidad]]*VENTAS[[#This Row],[Precio Venta]]</f>
        <v>35</v>
      </c>
      <c r="J1551" s="35">
        <f>IF(VENTAS[[#This Row],[Nombre del Gestor]]&gt;1,VENTAS[[#This Row],[Total]]*10%,0)</f>
        <v>3.5</v>
      </c>
      <c r="K1551" s="35">
        <f>IFERROR(VLOOKUP(VENTAS[[#This Row],[Código del producto Vendido]],STOCK[],16,FALSE)*VENTAS[[#This Row],[Cantidad]]+VLOOKUP(VENTAS[[#This Row],[Código del producto Vendido]],STOCK[],19,FALSE)*VENTAS[[#This Row],[Cantidad]],VENTAS[[#This Row],[Total]])</f>
        <v>17.2520211515864</v>
      </c>
      <c r="L1551" s="35">
        <f>VENTAS[[#This Row],[Total]]-VENTAS[[#This Row],[Comisión 10%]]-VENTAS[[#This Row],[Costo SIN Comision]]</f>
        <v>14.2479788484136</v>
      </c>
      <c r="M1551" s="35"/>
    </row>
    <row r="1552" ht="20" customHeight="1" spans="1:13">
      <c r="A1552" s="29"/>
      <c r="B1552" s="30"/>
      <c r="C1552" s="30"/>
      <c r="D1552" s="30"/>
      <c r="E1552" s="30" t="s">
        <v>2556</v>
      </c>
      <c r="F1552" s="34" t="str">
        <f>IFERROR(VLOOKUP(VENTAS[[#This Row],[Código del producto Vendido]],STOCK[],5,FALSE),"-")</f>
        <v>Maxi vestido de algodón cruzado con estampado floral vibrante</v>
      </c>
      <c r="G1552" s="34">
        <v>1</v>
      </c>
      <c r="H1552" s="35">
        <v>35</v>
      </c>
      <c r="I1552" s="35">
        <f>VENTAS[[#This Row],[Cantidad]]*VENTAS[[#This Row],[Precio Venta]]</f>
        <v>35</v>
      </c>
      <c r="J1552" s="35">
        <f>IF(VENTAS[[#This Row],[Nombre del Gestor]]&gt;1,VENTAS[[#This Row],[Total]]*10%,0)</f>
        <v>0</v>
      </c>
      <c r="K1552" s="35">
        <f>IFERROR(VLOOKUP(VENTAS[[#This Row],[Código del producto Vendido]],STOCK[],16,FALSE)*VENTAS[[#This Row],[Cantidad]]+VLOOKUP(VENTAS[[#This Row],[Código del producto Vendido]],STOCK[],19,FALSE)*VENTAS[[#This Row],[Cantidad]],VENTAS[[#This Row],[Total]])</f>
        <v>18.26</v>
      </c>
      <c r="L1552" s="35">
        <f>VENTAS[[#This Row],[Total]]-VENTAS[[#This Row],[Comisión 10%]]-VENTAS[[#This Row],[Costo SIN Comision]]</f>
        <v>16.74</v>
      </c>
      <c r="M1552" s="35"/>
    </row>
    <row r="1553" ht="20" customHeight="1" spans="1:13">
      <c r="A1553" s="29"/>
      <c r="B1553" s="30"/>
      <c r="C1553" s="30"/>
      <c r="D1553" s="30" t="s">
        <v>3448</v>
      </c>
      <c r="E1553" s="30" t="s">
        <v>2668</v>
      </c>
      <c r="F1553" s="34" t="str">
        <f>IFERROR(VLOOKUP(VENTAS[[#This Row],[Código del producto Vendido]],STOCK[],5,FALSE),"-")</f>
        <v>Pullover Celeste algodón PRIMARK</v>
      </c>
      <c r="G1553" s="34">
        <v>1</v>
      </c>
      <c r="H1553" s="35">
        <v>13</v>
      </c>
      <c r="I1553" s="35">
        <f>VENTAS[[#This Row],[Cantidad]]*VENTAS[[#This Row],[Precio Venta]]</f>
        <v>13</v>
      </c>
      <c r="J1553" s="35">
        <f>IF(VENTAS[[#This Row],[Nombre del Gestor]]&gt;1,VENTAS[[#This Row],[Total]]*10%,0)</f>
        <v>1.3</v>
      </c>
      <c r="K1553" s="35">
        <f>IFERROR(VLOOKUP(VENTAS[[#This Row],[Código del producto Vendido]],STOCK[],16,FALSE)*VENTAS[[#This Row],[Cantidad]]+VLOOKUP(VENTAS[[#This Row],[Código del producto Vendido]],STOCK[],19,FALSE)*VENTAS[[#This Row],[Cantidad]],VENTAS[[#This Row],[Total]])</f>
        <v>7</v>
      </c>
      <c r="L1553" s="35">
        <f>VENTAS[[#This Row],[Total]]-VENTAS[[#This Row],[Comisión 10%]]-VENTAS[[#This Row],[Costo SIN Comision]]</f>
        <v>4.7</v>
      </c>
      <c r="M1553" s="35"/>
    </row>
    <row r="1554" ht="20" customHeight="1" spans="1:13">
      <c r="A1554" s="29"/>
      <c r="B1554" s="30"/>
      <c r="C1554" s="30"/>
      <c r="D1554" s="30"/>
      <c r="E1554" s="30" t="s">
        <v>2676</v>
      </c>
      <c r="F1554" s="34" t="str">
        <f>IFERROR(VLOOKUP(VENTAS[[#This Row],[Código del producto Vendido]],STOCK[],5,FALSE),"-")</f>
        <v>Traje de baño clásico en bloque de color de talle alto</v>
      </c>
      <c r="G1554" s="34">
        <v>1</v>
      </c>
      <c r="H1554" s="35">
        <v>28</v>
      </c>
      <c r="I1554" s="35">
        <f>VENTAS[[#This Row],[Cantidad]]*VENTAS[[#This Row],[Precio Venta]]</f>
        <v>28</v>
      </c>
      <c r="J1554" s="35">
        <f>IF(VENTAS[[#This Row],[Nombre del Gestor]]&gt;1,VENTAS[[#This Row],[Total]]*10%,0)</f>
        <v>0</v>
      </c>
      <c r="K1554" s="35">
        <f>IFERROR(VLOOKUP(VENTAS[[#This Row],[Código del producto Vendido]],STOCK[],16,FALSE)*VENTAS[[#This Row],[Cantidad]]+VLOOKUP(VENTAS[[#This Row],[Código del producto Vendido]],STOCK[],19,FALSE)*VENTAS[[#This Row],[Cantidad]],VENTAS[[#This Row],[Total]])</f>
        <v>10.4</v>
      </c>
      <c r="L1554" s="35">
        <f>VENTAS[[#This Row],[Total]]-VENTAS[[#This Row],[Comisión 10%]]-VENTAS[[#This Row],[Costo SIN Comision]]</f>
        <v>17.6</v>
      </c>
      <c r="M1554" s="35"/>
    </row>
    <row r="1555" ht="20" customHeight="1" spans="1:13">
      <c r="A1555" s="29"/>
      <c r="B1555" s="30"/>
      <c r="C1555" s="30"/>
      <c r="D1555" s="30" t="s">
        <v>3503</v>
      </c>
      <c r="E1555" s="30" t="s">
        <v>2750</v>
      </c>
      <c r="F1555" s="34" t="str">
        <f>IFERROR(VLOOKUP(VENTAS[[#This Row],[Código del producto Vendido]],STOCK[],5,FALSE),"-")</f>
        <v>Vestido Privé Unicolor Sin Mangas ajustado con pliegues color negro</v>
      </c>
      <c r="G1555" s="34">
        <v>1</v>
      </c>
      <c r="H1555" s="35">
        <v>20</v>
      </c>
      <c r="I1555" s="35">
        <f>VENTAS[[#This Row],[Cantidad]]*VENTAS[[#This Row],[Precio Venta]]</f>
        <v>20</v>
      </c>
      <c r="J1555" s="35">
        <f>IF(VENTAS[[#This Row],[Nombre del Gestor]]&gt;1,VENTAS[[#This Row],[Total]]*10%,0)</f>
        <v>2</v>
      </c>
      <c r="K1555" s="35">
        <f>IFERROR(VLOOKUP(VENTAS[[#This Row],[Código del producto Vendido]],STOCK[],16,FALSE)*VENTAS[[#This Row],[Cantidad]]+VLOOKUP(VENTAS[[#This Row],[Código del producto Vendido]],STOCK[],19,FALSE)*VENTAS[[#This Row],[Cantidad]],VENTAS[[#This Row],[Total]])</f>
        <v>6.12</v>
      </c>
      <c r="L1555" s="35">
        <f>VENTAS[[#This Row],[Total]]-VENTAS[[#This Row],[Comisión 10%]]-VENTAS[[#This Row],[Costo SIN Comision]]</f>
        <v>11.88</v>
      </c>
      <c r="M1555" s="35"/>
    </row>
    <row r="1556" ht="20" customHeight="1" spans="1:13">
      <c r="A1556" s="29"/>
      <c r="B1556" s="30"/>
      <c r="C1556" s="30"/>
      <c r="D1556" s="30" t="s">
        <v>3312</v>
      </c>
      <c r="E1556" s="30" t="s">
        <v>2790</v>
      </c>
      <c r="F1556" s="34" t="str">
        <f>IFERROR(VLOOKUP(VENTAS[[#This Row],[Código del producto Vendido]],STOCK[],5,FALSE),"-")</f>
        <v>Sandalias estilo chunky de suela gruesa en contraste de color</v>
      </c>
      <c r="G1556" s="34">
        <v>1</v>
      </c>
      <c r="H1556" s="35">
        <v>35</v>
      </c>
      <c r="I1556" s="35">
        <f>VENTAS[[#This Row],[Cantidad]]*VENTAS[[#This Row],[Precio Venta]]</f>
        <v>35</v>
      </c>
      <c r="J1556" s="35">
        <f>IF(VENTAS[[#This Row],[Nombre del Gestor]]&gt;1,VENTAS[[#This Row],[Total]]*10%,0)</f>
        <v>3.5</v>
      </c>
      <c r="K1556" s="35">
        <f>IFERROR(VLOOKUP(VENTAS[[#This Row],[Código del producto Vendido]],STOCK[],16,FALSE)*VENTAS[[#This Row],[Cantidad]]+VLOOKUP(VENTAS[[#This Row],[Código del producto Vendido]],STOCK[],19,FALSE)*VENTAS[[#This Row],[Cantidad]],VENTAS[[#This Row],[Total]])</f>
        <v>13.4</v>
      </c>
      <c r="L1556" s="35">
        <f>VENTAS[[#This Row],[Total]]-VENTAS[[#This Row],[Comisión 10%]]-VENTAS[[#This Row],[Costo SIN Comision]]</f>
        <v>18.1</v>
      </c>
      <c r="M1556" s="35"/>
    </row>
    <row r="1557" ht="20" customHeight="1" spans="1:13">
      <c r="A1557" s="29"/>
      <c r="B1557" s="30"/>
      <c r="C1557" s="30"/>
      <c r="D1557" s="30" t="s">
        <v>3312</v>
      </c>
      <c r="E1557" s="30" t="s">
        <v>2792</v>
      </c>
      <c r="F1557" s="34" t="str">
        <f>IFERROR(VLOOKUP(VENTAS[[#This Row],[Código del producto Vendido]],STOCK[],5,FALSE),"-")</f>
        <v>Sandalias estilo chunky de suela gruesa en contraste de color</v>
      </c>
      <c r="G1557" s="34">
        <v>1</v>
      </c>
      <c r="H1557" s="35">
        <v>35</v>
      </c>
      <c r="I1557" s="35">
        <f>VENTAS[[#This Row],[Cantidad]]*VENTAS[[#This Row],[Precio Venta]]</f>
        <v>35</v>
      </c>
      <c r="J1557" s="35">
        <f>IF(VENTAS[[#This Row],[Nombre del Gestor]]&gt;1,VENTAS[[#This Row],[Total]]*10%,0)</f>
        <v>3.5</v>
      </c>
      <c r="K1557" s="35">
        <f>IFERROR(VLOOKUP(VENTAS[[#This Row],[Código del producto Vendido]],STOCK[],16,FALSE)*VENTAS[[#This Row],[Cantidad]]+VLOOKUP(VENTAS[[#This Row],[Código del producto Vendido]],STOCK[],19,FALSE)*VENTAS[[#This Row],[Cantidad]],VENTAS[[#This Row],[Total]])</f>
        <v>11.4</v>
      </c>
      <c r="L1557" s="35">
        <f>VENTAS[[#This Row],[Total]]-VENTAS[[#This Row],[Comisión 10%]]-VENTAS[[#This Row],[Costo SIN Comision]]</f>
        <v>20.1</v>
      </c>
      <c r="M1557" s="35"/>
    </row>
    <row r="1558" ht="20" customHeight="1" spans="1:13">
      <c r="A1558" s="29"/>
      <c r="B1558" s="30"/>
      <c r="C1558" s="30"/>
      <c r="D1558" s="30"/>
      <c r="E1558" s="30" t="s">
        <v>2792</v>
      </c>
      <c r="F1558" s="34" t="str">
        <f>IFERROR(VLOOKUP(VENTAS[[#This Row],[Código del producto Vendido]],STOCK[],5,FALSE),"-")</f>
        <v>Sandalias estilo chunky de suela gruesa en contraste de color</v>
      </c>
      <c r="G1558" s="34">
        <v>1</v>
      </c>
      <c r="H1558" s="35">
        <v>35</v>
      </c>
      <c r="I1558" s="35">
        <f>VENTAS[[#This Row],[Cantidad]]*VENTAS[[#This Row],[Precio Venta]]</f>
        <v>35</v>
      </c>
      <c r="J1558" s="35">
        <f>IF(VENTAS[[#This Row],[Nombre del Gestor]]&gt;1,VENTAS[[#This Row],[Total]]*10%,0)</f>
        <v>0</v>
      </c>
      <c r="K1558" s="35">
        <f>IFERROR(VLOOKUP(VENTAS[[#This Row],[Código del producto Vendido]],STOCK[],16,FALSE)*VENTAS[[#This Row],[Cantidad]]+VLOOKUP(VENTAS[[#This Row],[Código del producto Vendido]],STOCK[],19,FALSE)*VENTAS[[#This Row],[Cantidad]],VENTAS[[#This Row],[Total]])</f>
        <v>11.4</v>
      </c>
      <c r="L1558" s="35">
        <f>VENTAS[[#This Row],[Total]]-VENTAS[[#This Row],[Comisión 10%]]-VENTAS[[#This Row],[Costo SIN Comision]]</f>
        <v>23.6</v>
      </c>
      <c r="M1558" s="35"/>
    </row>
    <row r="1559" ht="20" customHeight="1" spans="1:13">
      <c r="A1559" s="29"/>
      <c r="B1559" s="30"/>
      <c r="C1559" s="30"/>
      <c r="D1559" s="30" t="s">
        <v>3459</v>
      </c>
      <c r="E1559" s="30" t="s">
        <v>2795</v>
      </c>
      <c r="F1559" s="34" t="str">
        <f>IFERROR(VLOOKUP(VENTAS[[#This Row],[Código del producto Vendido]],STOCK[],5,FALSE),"-")</f>
        <v>Sandalias estilo chunky de suela gruesa en contraste de color</v>
      </c>
      <c r="G1559" s="34">
        <v>1</v>
      </c>
      <c r="H1559" s="35">
        <v>35</v>
      </c>
      <c r="I1559" s="35">
        <f>VENTAS[[#This Row],[Cantidad]]*VENTAS[[#This Row],[Precio Venta]]</f>
        <v>35</v>
      </c>
      <c r="J1559" s="35">
        <f>IF(VENTAS[[#This Row],[Nombre del Gestor]]&gt;1,VENTAS[[#This Row],[Total]]*10%,0)</f>
        <v>3.5</v>
      </c>
      <c r="K1559" s="35">
        <f>IFERROR(VLOOKUP(VENTAS[[#This Row],[Código del producto Vendido]],STOCK[],16,FALSE)*VENTAS[[#This Row],[Cantidad]]+VLOOKUP(VENTAS[[#This Row],[Código del producto Vendido]],STOCK[],19,FALSE)*VENTAS[[#This Row],[Cantidad]],VENTAS[[#This Row],[Total]])</f>
        <v>13.4</v>
      </c>
      <c r="L1559" s="35">
        <f>VENTAS[[#This Row],[Total]]-VENTAS[[#This Row],[Comisión 10%]]-VENTAS[[#This Row],[Costo SIN Comision]]</f>
        <v>18.1</v>
      </c>
      <c r="M1559" s="35"/>
    </row>
    <row r="1560" ht="20" customHeight="1" spans="1:13">
      <c r="A1560" s="29"/>
      <c r="B1560" s="30"/>
      <c r="C1560" s="30"/>
      <c r="D1560" s="30"/>
      <c r="E1560" s="30" t="s">
        <v>2795</v>
      </c>
      <c r="F1560" s="34" t="str">
        <f>IFERROR(VLOOKUP(VENTAS[[#This Row],[Código del producto Vendido]],STOCK[],5,FALSE),"-")</f>
        <v>Sandalias estilo chunky de suela gruesa en contraste de color</v>
      </c>
      <c r="G1560" s="34">
        <v>1</v>
      </c>
      <c r="H1560" s="35">
        <v>35</v>
      </c>
      <c r="I1560" s="35">
        <f>VENTAS[[#This Row],[Cantidad]]*VENTAS[[#This Row],[Precio Venta]]</f>
        <v>35</v>
      </c>
      <c r="J1560" s="35">
        <f>IF(VENTAS[[#This Row],[Nombre del Gestor]]&gt;1,VENTAS[[#This Row],[Total]]*10%,0)</f>
        <v>0</v>
      </c>
      <c r="K1560" s="35">
        <f>IFERROR(VLOOKUP(VENTAS[[#This Row],[Código del producto Vendido]],STOCK[],16,FALSE)*VENTAS[[#This Row],[Cantidad]]+VLOOKUP(VENTAS[[#This Row],[Código del producto Vendido]],STOCK[],19,FALSE)*VENTAS[[#This Row],[Cantidad]],VENTAS[[#This Row],[Total]])</f>
        <v>13.4</v>
      </c>
      <c r="L1560" s="35">
        <f>VENTAS[[#This Row],[Total]]-VENTAS[[#This Row],[Comisión 10%]]-VENTAS[[#This Row],[Costo SIN Comision]]</f>
        <v>21.6</v>
      </c>
      <c r="M1560" s="35"/>
    </row>
    <row r="1561" ht="20" customHeight="1" spans="1:13">
      <c r="A1561" s="29"/>
      <c r="B1561" s="30"/>
      <c r="C1561" s="30" t="s">
        <v>3725</v>
      </c>
      <c r="D1561" s="30"/>
      <c r="E1561" s="30" t="s">
        <v>2810</v>
      </c>
      <c r="F1561" s="34" t="str">
        <f>IFERROR(VLOOKUP(VENTAS[[#This Row],[Código del producto Vendido]],STOCK[],5,FALSE),"-")</f>
        <v>Bolso elegante de estilo sillín</v>
      </c>
      <c r="G1561" s="34">
        <v>1</v>
      </c>
      <c r="H1561" s="35">
        <v>22</v>
      </c>
      <c r="I1561" s="35">
        <f>VENTAS[[#This Row],[Cantidad]]*VENTAS[[#This Row],[Precio Venta]]</f>
        <v>22</v>
      </c>
      <c r="J1561" s="35">
        <f>IF(VENTAS[[#This Row],[Nombre del Gestor]]&gt;1,VENTAS[[#This Row],[Total]]*10%,0)</f>
        <v>0</v>
      </c>
      <c r="K1561" s="35">
        <f>IFERROR(VLOOKUP(VENTAS[[#This Row],[Código del producto Vendido]],STOCK[],16,FALSE)*VENTAS[[#This Row],[Cantidad]]+VLOOKUP(VENTAS[[#This Row],[Código del producto Vendido]],STOCK[],19,FALSE)*VENTAS[[#This Row],[Cantidad]],VENTAS[[#This Row],[Total]])</f>
        <v>10.28</v>
      </c>
      <c r="L1561" s="35">
        <f>VENTAS[[#This Row],[Total]]-VENTAS[[#This Row],[Comisión 10%]]-VENTAS[[#This Row],[Costo SIN Comision]]</f>
        <v>11.72</v>
      </c>
      <c r="M1561" s="35"/>
    </row>
    <row r="1562" ht="20" customHeight="1" spans="1:13">
      <c r="A1562" s="29"/>
      <c r="B1562" s="30"/>
      <c r="C1562" s="30"/>
      <c r="D1562" s="30"/>
      <c r="E1562" s="30" t="s">
        <v>2817</v>
      </c>
      <c r="F1562" s="34" t="str">
        <f>IFERROR(VLOOKUP(VENTAS[[#This Row],[Código del producto Vendido]],STOCK[],5,FALSE),"-")</f>
        <v>Bolso de diario ligero y casual de gran capacidad elegante de cocodrilo</v>
      </c>
      <c r="G1562" s="34">
        <v>1</v>
      </c>
      <c r="H1562" s="35">
        <v>25</v>
      </c>
      <c r="I1562" s="35">
        <f>VENTAS[[#This Row],[Cantidad]]*VENTAS[[#This Row],[Precio Venta]]</f>
        <v>25</v>
      </c>
      <c r="J1562" s="35">
        <f>IF(VENTAS[[#This Row],[Nombre del Gestor]]&gt;1,VENTAS[[#This Row],[Total]]*10%,0)</f>
        <v>0</v>
      </c>
      <c r="K1562" s="35">
        <f>IFERROR(VLOOKUP(VENTAS[[#This Row],[Código del producto Vendido]],STOCK[],16,FALSE)*VENTAS[[#This Row],[Cantidad]]+VLOOKUP(VENTAS[[#This Row],[Código del producto Vendido]],STOCK[],19,FALSE)*VENTAS[[#This Row],[Cantidad]],VENTAS[[#This Row],[Total]])</f>
        <v>10.14</v>
      </c>
      <c r="L1562" s="35">
        <f>VENTAS[[#This Row],[Total]]-VENTAS[[#This Row],[Comisión 10%]]-VENTAS[[#This Row],[Costo SIN Comision]]</f>
        <v>14.86</v>
      </c>
      <c r="M1562" s="35"/>
    </row>
    <row r="1563" ht="20" customHeight="1" spans="1:13">
      <c r="A1563" s="29">
        <v>45562</v>
      </c>
      <c r="B1563" s="30"/>
      <c r="C1563" s="30"/>
      <c r="D1563" s="30" t="s">
        <v>3503</v>
      </c>
      <c r="E1563" s="30" t="s">
        <v>2817</v>
      </c>
      <c r="F1563" s="34" t="str">
        <f>IFERROR(VLOOKUP(VENTAS[[#This Row],[Código del producto Vendido]],STOCK[],5,FALSE),"-")</f>
        <v>Bolso de diario ligero y casual de gran capacidad elegante de cocodrilo</v>
      </c>
      <c r="G1563" s="34">
        <v>1</v>
      </c>
      <c r="H1563" s="35">
        <v>25</v>
      </c>
      <c r="I1563" s="35">
        <f>VENTAS[[#This Row],[Cantidad]]*VENTAS[[#This Row],[Precio Venta]]</f>
        <v>25</v>
      </c>
      <c r="J1563" s="35">
        <f>IF(VENTAS[[#This Row],[Nombre del Gestor]]&gt;1,VENTAS[[#This Row],[Total]]*10%,0)</f>
        <v>2.5</v>
      </c>
      <c r="K1563" s="35">
        <f>IFERROR(VLOOKUP(VENTAS[[#This Row],[Código del producto Vendido]],STOCK[],16,FALSE)*VENTAS[[#This Row],[Cantidad]]+VLOOKUP(VENTAS[[#This Row],[Código del producto Vendido]],STOCK[],19,FALSE)*VENTAS[[#This Row],[Cantidad]],VENTAS[[#This Row],[Total]])</f>
        <v>10.14</v>
      </c>
      <c r="L1563" s="35">
        <f>VENTAS[[#This Row],[Total]]-VENTAS[[#This Row],[Comisión 10%]]-VENTAS[[#This Row],[Costo SIN Comision]]</f>
        <v>12.36</v>
      </c>
      <c r="M1563" s="35"/>
    </row>
    <row r="1564" ht="20" customHeight="1" spans="1:13">
      <c r="A1564" s="29">
        <v>45562</v>
      </c>
      <c r="B1564" s="30"/>
      <c r="C1564" s="30"/>
      <c r="D1564" s="30" t="s">
        <v>3602</v>
      </c>
      <c r="E1564" s="30" t="s">
        <v>2820</v>
      </c>
      <c r="F1564" s="34" t="str">
        <f>IFERROR(VLOOKUP(VENTAS[[#This Row],[Código del producto Vendido]],STOCK[],5,FALSE),"-")</f>
        <v>Bolso de playa en bloque de color tejido en algodón</v>
      </c>
      <c r="G1564" s="34">
        <v>1</v>
      </c>
      <c r="H1564" s="35">
        <v>25</v>
      </c>
      <c r="I1564" s="35">
        <f>VENTAS[[#This Row],[Cantidad]]*VENTAS[[#This Row],[Precio Venta]]</f>
        <v>25</v>
      </c>
      <c r="J1564" s="35">
        <f>IF(VENTAS[[#This Row],[Nombre del Gestor]]&gt;1,VENTAS[[#This Row],[Total]]*10%,0)</f>
        <v>2.5</v>
      </c>
      <c r="K1564" s="35">
        <f>IFERROR(VLOOKUP(VENTAS[[#This Row],[Código del producto Vendido]],STOCK[],16,FALSE)*VENTAS[[#This Row],[Cantidad]]+VLOOKUP(VENTAS[[#This Row],[Código del producto Vendido]],STOCK[],19,FALSE)*VENTAS[[#This Row],[Cantidad]],VENTAS[[#This Row],[Total]])</f>
        <v>13.35</v>
      </c>
      <c r="L1564" s="35">
        <f>VENTAS[[#This Row],[Total]]-VENTAS[[#This Row],[Comisión 10%]]-VENTAS[[#This Row],[Costo SIN Comision]]</f>
        <v>9.15</v>
      </c>
      <c r="M1564" s="35"/>
    </row>
    <row r="1565" ht="20" customHeight="1" spans="1:13">
      <c r="A1565" s="29">
        <v>45562</v>
      </c>
      <c r="B1565" s="30"/>
      <c r="C1565" s="30"/>
      <c r="D1565" s="30" t="s">
        <v>3503</v>
      </c>
      <c r="E1565" s="30" t="s">
        <v>2820</v>
      </c>
      <c r="F1565" s="34" t="str">
        <f>IFERROR(VLOOKUP(VENTAS[[#This Row],[Código del producto Vendido]],STOCK[],5,FALSE),"-")</f>
        <v>Bolso de playa en bloque de color tejido en algodón</v>
      </c>
      <c r="G1565" s="34">
        <v>1</v>
      </c>
      <c r="H1565" s="35">
        <v>25</v>
      </c>
      <c r="I1565" s="35">
        <f>VENTAS[[#This Row],[Cantidad]]*VENTAS[[#This Row],[Precio Venta]]</f>
        <v>25</v>
      </c>
      <c r="J1565" s="35">
        <f>IF(VENTAS[[#This Row],[Nombre del Gestor]]&gt;1,VENTAS[[#This Row],[Total]]*10%,0)</f>
        <v>2.5</v>
      </c>
      <c r="K1565" s="35">
        <f>IFERROR(VLOOKUP(VENTAS[[#This Row],[Código del producto Vendido]],STOCK[],16,FALSE)*VENTAS[[#This Row],[Cantidad]]+VLOOKUP(VENTAS[[#This Row],[Código del producto Vendido]],STOCK[],19,FALSE)*VENTAS[[#This Row],[Cantidad]],VENTAS[[#This Row],[Total]])</f>
        <v>13.35</v>
      </c>
      <c r="L1565" s="35">
        <f>VENTAS[[#This Row],[Total]]-VENTAS[[#This Row],[Comisión 10%]]-VENTAS[[#This Row],[Costo SIN Comision]]</f>
        <v>9.15</v>
      </c>
      <c r="M1565" s="35"/>
    </row>
    <row r="1566" ht="20" customHeight="1" spans="1:13">
      <c r="A1566" s="29"/>
      <c r="B1566" s="30"/>
      <c r="C1566" s="30"/>
      <c r="D1566" s="30"/>
      <c r="E1566" s="30" t="s">
        <v>2820</v>
      </c>
      <c r="F1566" s="34" t="str">
        <f>IFERROR(VLOOKUP(VENTAS[[#This Row],[Código del producto Vendido]],STOCK[],5,FALSE),"-")</f>
        <v>Bolso de playa en bloque de color tejido en algodón</v>
      </c>
      <c r="G1566" s="34">
        <v>1</v>
      </c>
      <c r="H1566" s="35">
        <v>25</v>
      </c>
      <c r="I1566" s="35">
        <f>VENTAS[[#This Row],[Cantidad]]*VENTAS[[#This Row],[Precio Venta]]</f>
        <v>25</v>
      </c>
      <c r="J1566" s="35">
        <f>IF(VENTAS[[#This Row],[Nombre del Gestor]]&gt;1,VENTAS[[#This Row],[Total]]*10%,0)</f>
        <v>0</v>
      </c>
      <c r="K1566" s="35">
        <f>IFERROR(VLOOKUP(VENTAS[[#This Row],[Código del producto Vendido]],STOCK[],16,FALSE)*VENTAS[[#This Row],[Cantidad]]+VLOOKUP(VENTAS[[#This Row],[Código del producto Vendido]],STOCK[],19,FALSE)*VENTAS[[#This Row],[Cantidad]],VENTAS[[#This Row],[Total]])</f>
        <v>13.35</v>
      </c>
      <c r="L1566" s="35">
        <f>VENTAS[[#This Row],[Total]]-VENTAS[[#This Row],[Comisión 10%]]-VENTAS[[#This Row],[Costo SIN Comision]]</f>
        <v>11.65</v>
      </c>
      <c r="M1566" s="35"/>
    </row>
    <row r="1567" ht="20" customHeight="1" spans="1:13">
      <c r="A1567" s="29"/>
      <c r="B1567" s="30"/>
      <c r="C1567" s="30"/>
      <c r="D1567" s="30" t="s">
        <v>3700</v>
      </c>
      <c r="E1567" s="30" t="s">
        <v>2824</v>
      </c>
      <c r="F1567" s="34" t="str">
        <f>IFERROR(VLOOKUP(VENTAS[[#This Row],[Código del producto Vendido]],STOCK[],5,FALSE),"-")</f>
        <v>Bolso tejido redondo de gran capacidad Carmelita</v>
      </c>
      <c r="G1567" s="34">
        <v>1</v>
      </c>
      <c r="H1567" s="35">
        <v>25</v>
      </c>
      <c r="I1567" s="35">
        <f>VENTAS[[#This Row],[Cantidad]]*VENTAS[[#This Row],[Precio Venta]]</f>
        <v>25</v>
      </c>
      <c r="J1567" s="35">
        <f>IF(VENTAS[[#This Row],[Nombre del Gestor]]&gt;1,VENTAS[[#This Row],[Total]]*10%,0)</f>
        <v>2.5</v>
      </c>
      <c r="K1567" s="35">
        <f>IFERROR(VLOOKUP(VENTAS[[#This Row],[Código del producto Vendido]],STOCK[],16,FALSE)*VENTAS[[#This Row],[Cantidad]]+VLOOKUP(VENTAS[[#This Row],[Código del producto Vendido]],STOCK[],19,FALSE)*VENTAS[[#This Row],[Cantidad]],VENTAS[[#This Row],[Total]])</f>
        <v>13.31</v>
      </c>
      <c r="L1567" s="35">
        <f>VENTAS[[#This Row],[Total]]-VENTAS[[#This Row],[Comisión 10%]]-VENTAS[[#This Row],[Costo SIN Comision]]</f>
        <v>9.19</v>
      </c>
      <c r="M1567" s="35"/>
    </row>
    <row r="1568" ht="20" customHeight="1" spans="1:13">
      <c r="A1568" s="29"/>
      <c r="B1568" s="30"/>
      <c r="C1568" s="30"/>
      <c r="D1568" s="30"/>
      <c r="E1568" s="30" t="s">
        <v>2833</v>
      </c>
      <c r="F1568" s="34" t="str">
        <f>IFERROR(VLOOKUP(VENTAS[[#This Row],[Código del producto Vendido]],STOCK[],5,FALSE),"-")</f>
        <v>Vestido elegante de crochet de de cuello profundo y espalda cruzada</v>
      </c>
      <c r="G1568" s="34">
        <v>1</v>
      </c>
      <c r="H1568" s="35">
        <v>30</v>
      </c>
      <c r="I1568" s="35">
        <f>VENTAS[[#This Row],[Cantidad]]*VENTAS[[#This Row],[Precio Venta]]</f>
        <v>30</v>
      </c>
      <c r="J1568" s="35">
        <f>IF(VENTAS[[#This Row],[Nombre del Gestor]]&gt;1,VENTAS[[#This Row],[Total]]*10%,0)</f>
        <v>0</v>
      </c>
      <c r="K1568" s="35">
        <f>IFERROR(VLOOKUP(VENTAS[[#This Row],[Código del producto Vendido]],STOCK[],16,FALSE)*VENTAS[[#This Row],[Cantidad]]+VLOOKUP(VENTAS[[#This Row],[Código del producto Vendido]],STOCK[],19,FALSE)*VENTAS[[#This Row],[Cantidad]],VENTAS[[#This Row],[Total]])</f>
        <v>13.5</v>
      </c>
      <c r="L1568" s="35">
        <f>VENTAS[[#This Row],[Total]]-VENTAS[[#This Row],[Comisión 10%]]-VENTAS[[#This Row],[Costo SIN Comision]]</f>
        <v>16.5</v>
      </c>
      <c r="M1568" s="35"/>
    </row>
    <row r="1569" ht="20" customHeight="1" spans="1:13">
      <c r="A1569" s="29"/>
      <c r="B1569" s="30"/>
      <c r="C1569" s="30"/>
      <c r="D1569" s="30"/>
      <c r="E1569" s="30" t="s">
        <v>2834</v>
      </c>
      <c r="F1569" s="34" t="str">
        <f>IFERROR(VLOOKUP(VENTAS[[#This Row],[Código del producto Vendido]],STOCK[],5,FALSE),"-")</f>
        <v>Vestido elegante de crochet de de cuello profundo y espalda cruzada</v>
      </c>
      <c r="G1569" s="34">
        <v>1</v>
      </c>
      <c r="H1569" s="35">
        <v>30</v>
      </c>
      <c r="I1569" s="35">
        <f>VENTAS[[#This Row],[Cantidad]]*VENTAS[[#This Row],[Precio Venta]]</f>
        <v>30</v>
      </c>
      <c r="J1569" s="35">
        <f>IF(VENTAS[[#This Row],[Nombre del Gestor]]&gt;1,VENTAS[[#This Row],[Total]]*10%,0)</f>
        <v>0</v>
      </c>
      <c r="K1569" s="35">
        <f>IFERROR(VLOOKUP(VENTAS[[#This Row],[Código del producto Vendido]],STOCK[],16,FALSE)*VENTAS[[#This Row],[Cantidad]]+VLOOKUP(VENTAS[[#This Row],[Código del producto Vendido]],STOCK[],19,FALSE)*VENTAS[[#This Row],[Cantidad]],VENTAS[[#This Row],[Total]])</f>
        <v>13.5</v>
      </c>
      <c r="L1569" s="35">
        <f>VENTAS[[#This Row],[Total]]-VENTAS[[#This Row],[Comisión 10%]]-VENTAS[[#This Row],[Costo SIN Comision]]</f>
        <v>16.5</v>
      </c>
      <c r="M1569" s="35"/>
    </row>
    <row r="1570" ht="20" customHeight="1" spans="1:13">
      <c r="A1570" s="29"/>
      <c r="B1570" s="30"/>
      <c r="C1570" s="30"/>
      <c r="D1570" s="30"/>
      <c r="E1570" s="30" t="s">
        <v>2835</v>
      </c>
      <c r="F1570" s="34" t="str">
        <f>IFERROR(VLOOKUP(VENTAS[[#This Row],[Código del producto Vendido]],STOCK[],5,FALSE),"-")</f>
        <v>Vestido elegante de crochet de de cuello profundo y espalda cruzada</v>
      </c>
      <c r="G1570" s="34">
        <v>1</v>
      </c>
      <c r="H1570" s="35">
        <v>30</v>
      </c>
      <c r="I1570" s="35">
        <f>VENTAS[[#This Row],[Cantidad]]*VENTAS[[#This Row],[Precio Venta]]</f>
        <v>30</v>
      </c>
      <c r="J1570" s="35">
        <f>IF(VENTAS[[#This Row],[Nombre del Gestor]]&gt;1,VENTAS[[#This Row],[Total]]*10%,0)</f>
        <v>0</v>
      </c>
      <c r="K1570" s="35">
        <f>IFERROR(VLOOKUP(VENTAS[[#This Row],[Código del producto Vendido]],STOCK[],16,FALSE)*VENTAS[[#This Row],[Cantidad]]+VLOOKUP(VENTAS[[#This Row],[Código del producto Vendido]],STOCK[],19,FALSE)*VENTAS[[#This Row],[Cantidad]],VENTAS[[#This Row],[Total]])</f>
        <v>13.5</v>
      </c>
      <c r="L1570" s="35">
        <f>VENTAS[[#This Row],[Total]]-VENTAS[[#This Row],[Comisión 10%]]-VENTAS[[#This Row],[Costo SIN Comision]]</f>
        <v>16.5</v>
      </c>
      <c r="M1570" s="35"/>
    </row>
    <row r="1571" ht="20" customHeight="1" spans="1:13">
      <c r="A1571" s="29">
        <v>45575</v>
      </c>
      <c r="B1571" s="30"/>
      <c r="C1571" s="30"/>
      <c r="D1571" s="30" t="s">
        <v>3507</v>
      </c>
      <c r="E1571" s="30" t="s">
        <v>2835</v>
      </c>
      <c r="F1571" s="34" t="str">
        <f>IFERROR(VLOOKUP(VENTAS[[#This Row],[Código del producto Vendido]],STOCK[],5,FALSE),"-")</f>
        <v>Vestido elegante de crochet de de cuello profundo y espalda cruzada</v>
      </c>
      <c r="G1571" s="34">
        <v>1</v>
      </c>
      <c r="H1571" s="35">
        <v>30</v>
      </c>
      <c r="I1571" s="35">
        <f>VENTAS[[#This Row],[Cantidad]]*VENTAS[[#This Row],[Precio Venta]]</f>
        <v>30</v>
      </c>
      <c r="J1571" s="35">
        <f>IF(VENTAS[[#This Row],[Nombre del Gestor]]&gt;1,VENTAS[[#This Row],[Total]]*10%,0)</f>
        <v>3</v>
      </c>
      <c r="K1571" s="35">
        <f>IFERROR(VLOOKUP(VENTAS[[#This Row],[Código del producto Vendido]],STOCK[],16,FALSE)*VENTAS[[#This Row],[Cantidad]]+VLOOKUP(VENTAS[[#This Row],[Código del producto Vendido]],STOCK[],19,FALSE)*VENTAS[[#This Row],[Cantidad]],VENTAS[[#This Row],[Total]])</f>
        <v>13.5</v>
      </c>
      <c r="L1571" s="35">
        <f>VENTAS[[#This Row],[Total]]-VENTAS[[#This Row],[Comisión 10%]]-VENTAS[[#This Row],[Costo SIN Comision]]</f>
        <v>13.5</v>
      </c>
      <c r="M1571" s="35"/>
    </row>
    <row r="1572" ht="20" customHeight="1" spans="1:13">
      <c r="A1572" s="29"/>
      <c r="B1572" s="30"/>
      <c r="C1572" s="30"/>
      <c r="D1572" s="30" t="s">
        <v>3312</v>
      </c>
      <c r="E1572" s="30" t="s">
        <v>2841</v>
      </c>
      <c r="F1572" s="34" t="str">
        <f>IFERROR(VLOOKUP(VENTAS[[#This Row],[Código del producto Vendido]],STOCK[],5,FALSE),"-")</f>
        <v>Pantalones largros rayados de moda de gran comodidad</v>
      </c>
      <c r="G1572" s="34">
        <v>1</v>
      </c>
      <c r="H1572" s="35">
        <v>22</v>
      </c>
      <c r="I1572" s="35">
        <f>VENTAS[[#This Row],[Cantidad]]*VENTAS[[#This Row],[Precio Venta]]</f>
        <v>22</v>
      </c>
      <c r="J1572" s="35">
        <f>IF(VENTAS[[#This Row],[Nombre del Gestor]]&gt;1,VENTAS[[#This Row],[Total]]*10%,0)</f>
        <v>2.2</v>
      </c>
      <c r="K1572" s="35">
        <f>IFERROR(VLOOKUP(VENTAS[[#This Row],[Código del producto Vendido]],STOCK[],16,FALSE)*VENTAS[[#This Row],[Cantidad]]+VLOOKUP(VENTAS[[#This Row],[Código del producto Vendido]],STOCK[],19,FALSE)*VENTAS[[#This Row],[Cantidad]],VENTAS[[#This Row],[Total]])</f>
        <v>10.52</v>
      </c>
      <c r="L1572" s="35">
        <f>VENTAS[[#This Row],[Total]]-VENTAS[[#This Row],[Comisión 10%]]-VENTAS[[#This Row],[Costo SIN Comision]]</f>
        <v>9.28</v>
      </c>
      <c r="M1572" s="35"/>
    </row>
    <row r="1573" ht="20" customHeight="1" spans="1:13">
      <c r="A1573" s="29"/>
      <c r="B1573" s="30"/>
      <c r="C1573" s="30"/>
      <c r="D1573" s="30"/>
      <c r="E1573" s="30" t="s">
        <v>2846</v>
      </c>
      <c r="F1573" s="34" t="str">
        <f>IFERROR(VLOOKUP(VENTAS[[#This Row],[Código del producto Vendido]],STOCK[],5,FALSE),"-")</f>
        <v>Pantalones largros rayados de moda de gran comodidad</v>
      </c>
      <c r="G1573" s="34">
        <v>1</v>
      </c>
      <c r="H1573" s="35">
        <v>22</v>
      </c>
      <c r="I1573" s="35">
        <f>VENTAS[[#This Row],[Cantidad]]*VENTAS[[#This Row],[Precio Venta]]</f>
        <v>22</v>
      </c>
      <c r="J1573" s="35">
        <f>IF(VENTAS[[#This Row],[Nombre del Gestor]]&gt;1,VENTAS[[#This Row],[Total]]*10%,0)</f>
        <v>0</v>
      </c>
      <c r="K1573" s="35">
        <f>IFERROR(VLOOKUP(VENTAS[[#This Row],[Código del producto Vendido]],STOCK[],16,FALSE)*VENTAS[[#This Row],[Cantidad]]+VLOOKUP(VENTAS[[#This Row],[Código del producto Vendido]],STOCK[],19,FALSE)*VENTAS[[#This Row],[Cantidad]],VENTAS[[#This Row],[Total]])</f>
        <v>10.52</v>
      </c>
      <c r="L1573" s="35">
        <f>VENTAS[[#This Row],[Total]]-VENTAS[[#This Row],[Comisión 10%]]-VENTAS[[#This Row],[Costo SIN Comision]]</f>
        <v>11.48</v>
      </c>
      <c r="M1573" s="35"/>
    </row>
    <row r="1574" ht="20" customHeight="1" spans="1:13">
      <c r="A1574" s="29">
        <v>45566</v>
      </c>
      <c r="B1574" s="30"/>
      <c r="C1574" s="30"/>
      <c r="D1574" s="30" t="s">
        <v>3602</v>
      </c>
      <c r="E1574" s="30" t="s">
        <v>2846</v>
      </c>
      <c r="F1574" s="34" t="str">
        <f>IFERROR(VLOOKUP(VENTAS[[#This Row],[Código del producto Vendido]],STOCK[],5,FALSE),"-")</f>
        <v>Pantalones largros rayados de moda de gran comodidad</v>
      </c>
      <c r="G1574" s="34">
        <v>1</v>
      </c>
      <c r="H1574" s="35">
        <v>22</v>
      </c>
      <c r="I1574" s="35">
        <f>VENTAS[[#This Row],[Cantidad]]*VENTAS[[#This Row],[Precio Venta]]</f>
        <v>22</v>
      </c>
      <c r="J1574" s="35">
        <f>IF(VENTAS[[#This Row],[Nombre del Gestor]]&gt;1,VENTAS[[#This Row],[Total]]*10%,0)</f>
        <v>2.2</v>
      </c>
      <c r="K1574" s="35">
        <f>IFERROR(VLOOKUP(VENTAS[[#This Row],[Código del producto Vendido]],STOCK[],16,FALSE)*VENTAS[[#This Row],[Cantidad]]+VLOOKUP(VENTAS[[#This Row],[Código del producto Vendido]],STOCK[],19,FALSE)*VENTAS[[#This Row],[Cantidad]],VENTAS[[#This Row],[Total]])</f>
        <v>10.52</v>
      </c>
      <c r="L1574" s="35">
        <f>VENTAS[[#This Row],[Total]]-VENTAS[[#This Row],[Comisión 10%]]-VENTAS[[#This Row],[Costo SIN Comision]]</f>
        <v>9.28</v>
      </c>
      <c r="M1574" s="35"/>
    </row>
    <row r="1575" ht="20" customHeight="1" spans="1:13">
      <c r="A1575" s="29"/>
      <c r="B1575" s="30"/>
      <c r="C1575" s="30"/>
      <c r="D1575" s="30"/>
      <c r="E1575" s="30" t="s">
        <v>2854</v>
      </c>
      <c r="F1575" s="34" t="str">
        <f>IFERROR(VLOOKUP(VENTAS[[#This Row],[Código del producto Vendido]],STOCK[],5,FALSE),"-")</f>
        <v>Bolso cuadrado tejido de rafia Tamaño grande Color Carmelita</v>
      </c>
      <c r="G1575" s="34">
        <v>1</v>
      </c>
      <c r="H1575" s="35">
        <v>25</v>
      </c>
      <c r="I1575" s="35">
        <f>VENTAS[[#This Row],[Cantidad]]*VENTAS[[#This Row],[Precio Venta]]</f>
        <v>25</v>
      </c>
      <c r="J1575" s="35">
        <f>IF(VENTAS[[#This Row],[Nombre del Gestor]]&gt;1,VENTAS[[#This Row],[Total]]*10%,0)</f>
        <v>0</v>
      </c>
      <c r="K1575" s="35">
        <f>IFERROR(VLOOKUP(VENTAS[[#This Row],[Código del producto Vendido]],STOCK[],16,FALSE)*VENTAS[[#This Row],[Cantidad]]+VLOOKUP(VENTAS[[#This Row],[Código del producto Vendido]],STOCK[],19,FALSE)*VENTAS[[#This Row],[Cantidad]],VENTAS[[#This Row],[Total]])</f>
        <v>14.85</v>
      </c>
      <c r="L1575" s="35">
        <f>VENTAS[[#This Row],[Total]]-VENTAS[[#This Row],[Comisión 10%]]-VENTAS[[#This Row],[Costo SIN Comision]]</f>
        <v>10.15</v>
      </c>
      <c r="M1575" s="35"/>
    </row>
    <row r="1576" ht="20" customHeight="1" spans="1:13">
      <c r="A1576" s="29"/>
      <c r="B1576" s="30"/>
      <c r="C1576" s="30"/>
      <c r="D1576" s="30"/>
      <c r="E1576" s="30" t="s">
        <v>2864</v>
      </c>
      <c r="F1576" s="34" t="str">
        <f>IFERROR(VLOOKUP(VENTAS[[#This Row],[Código del producto Vendido]],STOCK[],5,FALSE),"-")</f>
        <v>Blusa corta de mangas abombadas de lazos delanteros color rojo</v>
      </c>
      <c r="G1576" s="34">
        <v>1</v>
      </c>
      <c r="H1576" s="35">
        <v>18</v>
      </c>
      <c r="I1576" s="35">
        <f>VENTAS[[#This Row],[Cantidad]]*VENTAS[[#This Row],[Precio Venta]]</f>
        <v>18</v>
      </c>
      <c r="J1576" s="35">
        <f>IF(VENTAS[[#This Row],[Nombre del Gestor]]&gt;1,VENTAS[[#This Row],[Total]]*10%,0)</f>
        <v>0</v>
      </c>
      <c r="K1576" s="35">
        <f>IFERROR(VLOOKUP(VENTAS[[#This Row],[Código del producto Vendido]],STOCK[],16,FALSE)*VENTAS[[#This Row],[Cantidad]]+VLOOKUP(VENTAS[[#This Row],[Código del producto Vendido]],STOCK[],19,FALSE)*VENTAS[[#This Row],[Cantidad]],VENTAS[[#This Row],[Total]])</f>
        <v>10.18</v>
      </c>
      <c r="L1576" s="35">
        <f>VENTAS[[#This Row],[Total]]-VENTAS[[#This Row],[Comisión 10%]]-VENTAS[[#This Row],[Costo SIN Comision]]</f>
        <v>7.82</v>
      </c>
      <c r="M1576" s="35"/>
    </row>
    <row r="1577" ht="20" customHeight="1" spans="1:13">
      <c r="A1577" s="29">
        <v>45575</v>
      </c>
      <c r="B1577" s="30"/>
      <c r="C1577" s="30" t="s">
        <v>3726</v>
      </c>
      <c r="D1577" s="30" t="s">
        <v>3602</v>
      </c>
      <c r="E1577" s="30" t="s">
        <v>2879</v>
      </c>
      <c r="F1577" s="34" t="str">
        <f>IFERROR(VLOOKUP(VENTAS[[#This Row],[Código del producto Vendido]],STOCK[],5,FALSE),"-")</f>
        <v>Mono Sailor con botón delantero y cinturón naranja quemada</v>
      </c>
      <c r="G1577" s="34">
        <v>1</v>
      </c>
      <c r="H1577" s="35">
        <v>30</v>
      </c>
      <c r="I1577" s="35">
        <f>VENTAS[[#This Row],[Cantidad]]*VENTAS[[#This Row],[Precio Venta]]</f>
        <v>30</v>
      </c>
      <c r="J1577" s="35">
        <f>IF(VENTAS[[#This Row],[Nombre del Gestor]]&gt;1,VENTAS[[#This Row],[Total]]*10%,0)</f>
        <v>3</v>
      </c>
      <c r="K1577" s="35">
        <f>IFERROR(VLOOKUP(VENTAS[[#This Row],[Código del producto Vendido]],STOCK[],16,FALSE)*VENTAS[[#This Row],[Cantidad]]+VLOOKUP(VENTAS[[#This Row],[Código del producto Vendido]],STOCK[],19,FALSE)*VENTAS[[#This Row],[Cantidad]],VENTAS[[#This Row],[Total]])</f>
        <v>11.57</v>
      </c>
      <c r="L1577" s="35">
        <f>VENTAS[[#This Row],[Total]]-VENTAS[[#This Row],[Comisión 10%]]-VENTAS[[#This Row],[Costo SIN Comision]]</f>
        <v>15.43</v>
      </c>
      <c r="M1577" s="35"/>
    </row>
    <row r="1578" ht="20" customHeight="1" spans="1:13">
      <c r="A1578" s="29">
        <v>45574</v>
      </c>
      <c r="B1578" s="30"/>
      <c r="C1578" s="30"/>
      <c r="D1578" s="30" t="s">
        <v>3602</v>
      </c>
      <c r="E1578" s="30" t="s">
        <v>2826</v>
      </c>
      <c r="F1578" s="34" t="str">
        <f>IFERROR(VLOOKUP(VENTAS[[#This Row],[Código del producto Vendido]],STOCK[],5,FALSE),"-")</f>
        <v>Bolso tejido redondo de gran capacidad Ojo Turco</v>
      </c>
      <c r="G1578" s="34">
        <v>1</v>
      </c>
      <c r="H1578" s="35">
        <v>25</v>
      </c>
      <c r="I1578" s="35">
        <f>VENTAS[[#This Row],[Cantidad]]*VENTAS[[#This Row],[Precio Venta]]</f>
        <v>25</v>
      </c>
      <c r="J1578" s="35">
        <f>IF(VENTAS[[#This Row],[Nombre del Gestor]]&gt;1,VENTAS[[#This Row],[Total]]*10%,0)</f>
        <v>2.5</v>
      </c>
      <c r="K1578" s="35">
        <f>IFERROR(VLOOKUP(VENTAS[[#This Row],[Código del producto Vendido]],STOCK[],16,FALSE)*VENTAS[[#This Row],[Cantidad]]+VLOOKUP(VENTAS[[#This Row],[Código del producto Vendido]],STOCK[],19,FALSE)*VENTAS[[#This Row],[Cantidad]],VENTAS[[#This Row],[Total]])</f>
        <v>13.03</v>
      </c>
      <c r="L1578" s="35">
        <f>VENTAS[[#This Row],[Total]]-VENTAS[[#This Row],[Comisión 10%]]-VENTAS[[#This Row],[Costo SIN Comision]]</f>
        <v>9.47</v>
      </c>
      <c r="M1578" s="35"/>
    </row>
    <row r="1579" ht="20" customHeight="1" spans="1:13">
      <c r="A1579" s="29"/>
      <c r="B1579" s="30"/>
      <c r="C1579" s="30"/>
      <c r="D1579" s="30"/>
      <c r="E1579" s="30"/>
      <c r="F1579" s="34" t="str">
        <f>IFERROR(VLOOKUP(VENTAS[[#This Row],[Código del producto Vendido]],STOCK[],5,FALSE),"-")</f>
        <v>-</v>
      </c>
      <c r="G1579" s="34"/>
      <c r="H1579" s="35"/>
      <c r="I1579" s="35">
        <f>VENTAS[[#This Row],[Cantidad]]*VENTAS[[#This Row],[Precio Venta]]</f>
        <v>0</v>
      </c>
      <c r="J1579" s="35">
        <f>IF(VENTAS[[#This Row],[Nombre del Gestor]]&gt;1,VENTAS[[#This Row],[Total]]*10%,0)</f>
        <v>0</v>
      </c>
      <c r="K1579" s="35">
        <f>IFERROR(VLOOKUP(VENTAS[[#This Row],[Código del producto Vendido]],STOCK[],16,FALSE)*VENTAS[[#This Row],[Cantidad]]+VLOOKUP(VENTAS[[#This Row],[Código del producto Vendido]],STOCK[],19,FALSE)*VENTAS[[#This Row],[Cantidad]],VENTAS[[#This Row],[Total]])</f>
        <v>0</v>
      </c>
      <c r="L1579" s="35">
        <f>VENTAS[[#This Row],[Total]]-VENTAS[[#This Row],[Comisión 10%]]-VENTAS[[#This Row],[Costo SIN Comision]]</f>
        <v>0</v>
      </c>
      <c r="M1579" s="35"/>
    </row>
    <row r="1580" ht="20" customHeight="1" spans="1:13">
      <c r="A1580" s="29">
        <v>45566</v>
      </c>
      <c r="B1580" s="30"/>
      <c r="C1580" s="30"/>
      <c r="D1580" s="30" t="s">
        <v>3510</v>
      </c>
      <c r="E1580" s="30" t="s">
        <v>2932</v>
      </c>
      <c r="F1580" s="34" t="str">
        <f>IFERROR(VLOOKUP(VENTAS[[#This Row],[Código del producto Vendido]],STOCK[],5,FALSE),"-")</f>
        <v>Sandalias cómodas para mujer con adorno de clip dorado</v>
      </c>
      <c r="G1580" s="34">
        <v>1</v>
      </c>
      <c r="H1580" s="35">
        <v>18</v>
      </c>
      <c r="I1580" s="35">
        <f>VENTAS[[#This Row],[Cantidad]]*VENTAS[[#This Row],[Precio Venta]]</f>
        <v>18</v>
      </c>
      <c r="J1580" s="35">
        <f>IF(VENTAS[[#This Row],[Nombre del Gestor]]&gt;1,VENTAS[[#This Row],[Total]]*10%,0)</f>
        <v>1.8</v>
      </c>
      <c r="K1580" s="35">
        <f>IFERROR(VLOOKUP(VENTAS[[#This Row],[Código del producto Vendido]],STOCK[],16,FALSE)*VENTAS[[#This Row],[Cantidad]]+VLOOKUP(VENTAS[[#This Row],[Código del producto Vendido]],STOCK[],19,FALSE)*VENTAS[[#This Row],[Cantidad]],VENTAS[[#This Row],[Total]])</f>
        <v>9.46</v>
      </c>
      <c r="L1580" s="35">
        <f>VENTAS[[#This Row],[Total]]-VENTAS[[#This Row],[Comisión 10%]]-VENTAS[[#This Row],[Costo SIN Comision]]</f>
        <v>6.74</v>
      </c>
      <c r="M1580" s="35"/>
    </row>
    <row r="1581" ht="20" customHeight="1" spans="1:13">
      <c r="A1581" s="29">
        <v>45536</v>
      </c>
      <c r="B1581" s="30"/>
      <c r="C1581" s="30"/>
      <c r="D1581" s="30"/>
      <c r="E1581" s="30" t="s">
        <v>2954</v>
      </c>
      <c r="F1581" s="34" t="str">
        <f>IFERROR(VLOOKUP(VENTAS[[#This Row],[Código del producto Vendido]],STOCK[],5,FALSE),"-")</f>
        <v>Vestido elegante largo ajustado con hombro atado</v>
      </c>
      <c r="G1581" s="34">
        <v>1</v>
      </c>
      <c r="H1581" s="35">
        <v>25</v>
      </c>
      <c r="I1581" s="35">
        <f>VENTAS[[#This Row],[Cantidad]]*VENTAS[[#This Row],[Precio Venta]]</f>
        <v>25</v>
      </c>
      <c r="J1581" s="35">
        <f>IF(VENTAS[[#This Row],[Nombre del Gestor]]&gt;1,VENTAS[[#This Row],[Total]]*10%,0)</f>
        <v>0</v>
      </c>
      <c r="K1581" s="35">
        <f>IFERROR(VLOOKUP(VENTAS[[#This Row],[Código del producto Vendido]],STOCK[],16,FALSE)*VENTAS[[#This Row],[Cantidad]]+VLOOKUP(VENTAS[[#This Row],[Código del producto Vendido]],STOCK[],19,FALSE)*VENTAS[[#This Row],[Cantidad]],VENTAS[[#This Row],[Total]])</f>
        <v>15.13</v>
      </c>
      <c r="L1581" s="35">
        <f>VENTAS[[#This Row],[Total]]-VENTAS[[#This Row],[Comisión 10%]]-VENTAS[[#This Row],[Costo SIN Comision]]</f>
        <v>9.87</v>
      </c>
      <c r="M1581" s="35"/>
    </row>
    <row r="1582" ht="20" customHeight="1" spans="1:13">
      <c r="A1582" s="29">
        <v>45567</v>
      </c>
      <c r="B1582" s="30"/>
      <c r="C1582" s="30"/>
      <c r="D1582" s="30" t="s">
        <v>3602</v>
      </c>
      <c r="E1582" s="30" t="s">
        <v>2986</v>
      </c>
      <c r="F1582" s="34" t="str">
        <f>IFERROR(VLOOKUP(VENTAS[[#This Row],[Código del producto Vendido]],STOCK[],5,FALSE),"-")</f>
        <v>Traje de baño casual con ajustes laterales</v>
      </c>
      <c r="G1582" s="34">
        <v>1</v>
      </c>
      <c r="H1582" s="35">
        <v>20</v>
      </c>
      <c r="I1582" s="35">
        <f>VENTAS[[#This Row],[Cantidad]]*VENTAS[[#This Row],[Precio Venta]]</f>
        <v>20</v>
      </c>
      <c r="J1582" s="35">
        <f>IF(VENTAS[[#This Row],[Nombre del Gestor]]&gt;1,VENTAS[[#This Row],[Total]]*10%,0)</f>
        <v>2</v>
      </c>
      <c r="K1582" s="35">
        <f>IFERROR(VLOOKUP(VENTAS[[#This Row],[Código del producto Vendido]],STOCK[],16,FALSE)*VENTAS[[#This Row],[Cantidad]]+VLOOKUP(VENTAS[[#This Row],[Código del producto Vendido]],STOCK[],19,FALSE)*VENTAS[[#This Row],[Cantidad]],VENTAS[[#This Row],[Total]])</f>
        <v>10.62</v>
      </c>
      <c r="L1582" s="35">
        <f>VENTAS[[#This Row],[Total]]-VENTAS[[#This Row],[Comisión 10%]]-VENTAS[[#This Row],[Costo SIN Comision]]</f>
        <v>7.38</v>
      </c>
      <c r="M1582" s="35"/>
    </row>
    <row r="1583" ht="20" customHeight="1" spans="1:13">
      <c r="A1583" s="29">
        <v>45575</v>
      </c>
      <c r="B1583" s="30"/>
      <c r="C1583" s="30"/>
      <c r="D1583" s="30" t="s">
        <v>3509</v>
      </c>
      <c r="E1583" s="30" t="s">
        <v>2990</v>
      </c>
      <c r="F1583" s="34" t="str">
        <f>IFERROR(VLOOKUP(VENTAS[[#This Row],[Código del producto Vendido]],STOCK[],5,FALSE),"-")</f>
        <v>Camiseta de moda con estampado de cereza</v>
      </c>
      <c r="G1583" s="34">
        <v>1</v>
      </c>
      <c r="H1583" s="35">
        <v>15</v>
      </c>
      <c r="I1583" s="35">
        <f>VENTAS[[#This Row],[Cantidad]]*VENTAS[[#This Row],[Precio Venta]]</f>
        <v>15</v>
      </c>
      <c r="J1583" s="35">
        <f>IF(VENTAS[[#This Row],[Nombre del Gestor]]&gt;1,VENTAS[[#This Row],[Total]]*10%,0)</f>
        <v>1.5</v>
      </c>
      <c r="K1583" s="35">
        <f>IFERROR(VLOOKUP(VENTAS[[#This Row],[Código del producto Vendido]],STOCK[],16,FALSE)*VENTAS[[#This Row],[Cantidad]]+VLOOKUP(VENTAS[[#This Row],[Código del producto Vendido]],STOCK[],19,FALSE)*VENTAS[[#This Row],[Cantidad]],VENTAS[[#This Row],[Total]])</f>
        <v>5.92</v>
      </c>
      <c r="L1583" s="35">
        <f>VENTAS[[#This Row],[Total]]-VENTAS[[#This Row],[Comisión 10%]]-VENTAS[[#This Row],[Costo SIN Comision]]</f>
        <v>7.58</v>
      </c>
      <c r="M1583" s="35"/>
    </row>
    <row r="1584" ht="20" customHeight="1" spans="1:13">
      <c r="A1584" s="29">
        <v>45566</v>
      </c>
      <c r="B1584" s="30"/>
      <c r="C1584" s="30"/>
      <c r="D1584" s="30" t="s">
        <v>3613</v>
      </c>
      <c r="E1584" s="30" t="s">
        <v>2994</v>
      </c>
      <c r="F1584" s="34" t="str">
        <f>IFERROR(VLOOKUP(VENTAS[[#This Row],[Código del producto Vendido]],STOCK[],5,FALSE),"-")</f>
        <v>Camiseta de moda con estampado de cereza</v>
      </c>
      <c r="G1584" s="34">
        <v>1</v>
      </c>
      <c r="H1584" s="35">
        <v>15</v>
      </c>
      <c r="I1584" s="35">
        <f>VENTAS[[#This Row],[Cantidad]]*VENTAS[[#This Row],[Precio Venta]]</f>
        <v>15</v>
      </c>
      <c r="J1584" s="35">
        <f>IF(VENTAS[[#This Row],[Nombre del Gestor]]&gt;1,VENTAS[[#This Row],[Total]]*10%,0)</f>
        <v>1.5</v>
      </c>
      <c r="K1584" s="35">
        <f>IFERROR(VLOOKUP(VENTAS[[#This Row],[Código del producto Vendido]],STOCK[],16,FALSE)*VENTAS[[#This Row],[Cantidad]]+VLOOKUP(VENTAS[[#This Row],[Código del producto Vendido]],STOCK[],19,FALSE)*VENTAS[[#This Row],[Cantidad]],VENTAS[[#This Row],[Total]])</f>
        <v>5.92</v>
      </c>
      <c r="L1584" s="35">
        <f>VENTAS[[#This Row],[Total]]-VENTAS[[#This Row],[Comisión 10%]]-VENTAS[[#This Row],[Costo SIN Comision]]</f>
        <v>7.58</v>
      </c>
      <c r="M1584" s="35"/>
    </row>
    <row r="1585" ht="20" customHeight="1" spans="1:13">
      <c r="A1585" s="29">
        <v>45566</v>
      </c>
      <c r="B1585" s="30"/>
      <c r="C1585" s="30"/>
      <c r="D1585" s="30" t="s">
        <v>3664</v>
      </c>
      <c r="E1585" s="30" t="s">
        <v>2973</v>
      </c>
      <c r="F1585" s="34" t="str">
        <f>IFERROR(VLOOKUP(VENTAS[[#This Row],[Código del producto Vendido]],STOCK[],5,FALSE),"-")</f>
        <v>Bolsa casual con diseño de gato y mariposa de tamaño mediano</v>
      </c>
      <c r="G1585" s="34">
        <v>1</v>
      </c>
      <c r="H1585" s="35">
        <v>12</v>
      </c>
      <c r="I1585" s="35">
        <f>VENTAS[[#This Row],[Cantidad]]*VENTAS[[#This Row],[Precio Venta]]</f>
        <v>12</v>
      </c>
      <c r="J1585" s="35">
        <f>IF(VENTAS[[#This Row],[Nombre del Gestor]]&gt;1,VENTAS[[#This Row],[Total]]*10%,0)</f>
        <v>1.2</v>
      </c>
      <c r="K1585" s="35">
        <f>IFERROR(VLOOKUP(VENTAS[[#This Row],[Código del producto Vendido]],STOCK[],16,FALSE)*VENTAS[[#This Row],[Cantidad]]+VLOOKUP(VENTAS[[#This Row],[Código del producto Vendido]],STOCK[],19,FALSE)*VENTAS[[#This Row],[Cantidad]],VENTAS[[#This Row],[Total]])</f>
        <v>4.64</v>
      </c>
      <c r="L1585" s="35">
        <f>VENTAS[[#This Row],[Total]]-VENTAS[[#This Row],[Comisión 10%]]-VENTAS[[#This Row],[Costo SIN Comision]]</f>
        <v>6.16</v>
      </c>
      <c r="M1585" s="35"/>
    </row>
    <row r="1586" ht="20" customHeight="1" spans="1:13">
      <c r="A1586" s="29">
        <v>45536</v>
      </c>
      <c r="B1586" s="30"/>
      <c r="C1586" s="30"/>
      <c r="D1586" s="30"/>
      <c r="E1586" s="30" t="s">
        <v>2972</v>
      </c>
      <c r="F1586" s="34" t="str">
        <f>IFERROR(VLOOKUP(VENTAS[[#This Row],[Código del producto Vendido]],STOCK[],5,FALSE),"-")</f>
        <v>Vestido de un hombro con abertura trasera color azul celeste</v>
      </c>
      <c r="G1586" s="34">
        <v>1</v>
      </c>
      <c r="H1586" s="35">
        <v>25</v>
      </c>
      <c r="I1586" s="35">
        <f>VENTAS[[#This Row],[Cantidad]]*VENTAS[[#This Row],[Precio Venta]]</f>
        <v>25</v>
      </c>
      <c r="J1586" s="35">
        <f>IF(VENTAS[[#This Row],[Nombre del Gestor]]&gt;1,VENTAS[[#This Row],[Total]]*10%,0)</f>
        <v>0</v>
      </c>
      <c r="K1586" s="35">
        <f>IFERROR(VLOOKUP(VENTAS[[#This Row],[Código del producto Vendido]],STOCK[],16,FALSE)*VENTAS[[#This Row],[Cantidad]]+VLOOKUP(VENTAS[[#This Row],[Código del producto Vendido]],STOCK[],19,FALSE)*VENTAS[[#This Row],[Cantidad]],VENTAS[[#This Row],[Total]])</f>
        <v>12.32</v>
      </c>
      <c r="L1586" s="35">
        <f>VENTAS[[#This Row],[Total]]-VENTAS[[#This Row],[Comisión 10%]]-VENTAS[[#This Row],[Costo SIN Comision]]</f>
        <v>12.68</v>
      </c>
      <c r="M1586" s="35"/>
    </row>
    <row r="1587" ht="20" customHeight="1" spans="1:13">
      <c r="A1587" s="29"/>
      <c r="B1587" s="30"/>
      <c r="C1587" s="30"/>
      <c r="D1587" s="30"/>
      <c r="E1587" s="30" t="s">
        <v>2968</v>
      </c>
      <c r="F1587" s="34" t="str">
        <f>IFERROR(VLOOKUP(VENTAS[[#This Row],[Código del producto Vendido]],STOCK[],5,FALSE),"-")</f>
        <v>Vestido camisola negro con abertura</v>
      </c>
      <c r="G1587" s="34">
        <v>1</v>
      </c>
      <c r="H1587" s="35">
        <v>20</v>
      </c>
      <c r="I1587" s="35">
        <f>VENTAS[[#This Row],[Cantidad]]*VENTAS[[#This Row],[Precio Venta]]</f>
        <v>20</v>
      </c>
      <c r="J1587" s="35">
        <f>IF(VENTAS[[#This Row],[Nombre del Gestor]]&gt;1,VENTAS[[#This Row],[Total]]*10%,0)</f>
        <v>0</v>
      </c>
      <c r="K1587" s="35">
        <f>IFERROR(VLOOKUP(VENTAS[[#This Row],[Código del producto Vendido]],STOCK[],16,FALSE)*VENTAS[[#This Row],[Cantidad]]+VLOOKUP(VENTAS[[#This Row],[Código del producto Vendido]],STOCK[],19,FALSE)*VENTAS[[#This Row],[Cantidad]],VENTAS[[#This Row],[Total]])</f>
        <v>7.63</v>
      </c>
      <c r="L1587" s="35">
        <f>VENTAS[[#This Row],[Total]]-VENTAS[[#This Row],[Comisión 10%]]-VENTAS[[#This Row],[Costo SIN Comision]]</f>
        <v>12.37</v>
      </c>
      <c r="M1587" s="35"/>
    </row>
    <row r="1588" ht="20" customHeight="1" spans="1:13">
      <c r="A1588" s="29"/>
      <c r="B1588" s="30"/>
      <c r="C1588" s="30"/>
      <c r="D1588" s="30"/>
      <c r="E1588" s="30" t="s">
        <v>2968</v>
      </c>
      <c r="F1588" s="34" t="str">
        <f>IFERROR(VLOOKUP(VENTAS[[#This Row],[Código del producto Vendido]],STOCK[],5,FALSE),"-")</f>
        <v>Vestido camisola negro con abertura</v>
      </c>
      <c r="G1588" s="34">
        <v>1</v>
      </c>
      <c r="H1588" s="35">
        <v>20</v>
      </c>
      <c r="I1588" s="35">
        <f>VENTAS[[#This Row],[Cantidad]]*VENTAS[[#This Row],[Precio Venta]]</f>
        <v>20</v>
      </c>
      <c r="J1588" s="35">
        <f>IF(VENTAS[[#This Row],[Nombre del Gestor]]&gt;1,VENTAS[[#This Row],[Total]]*10%,0)</f>
        <v>0</v>
      </c>
      <c r="K1588" s="35">
        <f>IFERROR(VLOOKUP(VENTAS[[#This Row],[Código del producto Vendido]],STOCK[],16,FALSE)*VENTAS[[#This Row],[Cantidad]]+VLOOKUP(VENTAS[[#This Row],[Código del producto Vendido]],STOCK[],19,FALSE)*VENTAS[[#This Row],[Cantidad]],VENTAS[[#This Row],[Total]])</f>
        <v>7.63</v>
      </c>
      <c r="L1588" s="35">
        <f>VENTAS[[#This Row],[Total]]-VENTAS[[#This Row],[Comisión 10%]]-VENTAS[[#This Row],[Costo SIN Comision]]</f>
        <v>12.37</v>
      </c>
      <c r="M1588" s="35"/>
    </row>
    <row r="1589" ht="20" customHeight="1" spans="1:13">
      <c r="A1589" s="29"/>
      <c r="B1589" s="30"/>
      <c r="C1589" s="30"/>
      <c r="D1589" s="30"/>
      <c r="E1589" s="30" t="s">
        <v>2965</v>
      </c>
      <c r="F1589" s="34" t="str">
        <f>IFERROR(VLOOKUP(VENTAS[[#This Row],[Código del producto Vendido]],STOCK[],5,FALSE),"-")</f>
        <v>Vestido camisola negro con abertura</v>
      </c>
      <c r="G1589" s="34">
        <v>1</v>
      </c>
      <c r="H1589" s="35">
        <v>20</v>
      </c>
      <c r="I1589" s="35">
        <f>VENTAS[[#This Row],[Cantidad]]*VENTAS[[#This Row],[Precio Venta]]</f>
        <v>20</v>
      </c>
      <c r="J1589" s="35">
        <f>IF(VENTAS[[#This Row],[Nombre del Gestor]]&gt;1,VENTAS[[#This Row],[Total]]*10%,0)</f>
        <v>0</v>
      </c>
      <c r="K1589" s="35">
        <f>IFERROR(VLOOKUP(VENTAS[[#This Row],[Código del producto Vendido]],STOCK[],16,FALSE)*VENTAS[[#This Row],[Cantidad]]+VLOOKUP(VENTAS[[#This Row],[Código del producto Vendido]],STOCK[],19,FALSE)*VENTAS[[#This Row],[Cantidad]],VENTAS[[#This Row],[Total]])</f>
        <v>7.63</v>
      </c>
      <c r="L1589" s="35">
        <f>VENTAS[[#This Row],[Total]]-VENTAS[[#This Row],[Comisión 10%]]-VENTAS[[#This Row],[Costo SIN Comision]]</f>
        <v>12.37</v>
      </c>
      <c r="M1589" s="35"/>
    </row>
    <row r="1590" ht="20" customHeight="1" spans="1:13">
      <c r="A1590" s="29"/>
      <c r="B1590" s="30"/>
      <c r="C1590" s="30"/>
      <c r="D1590" s="30"/>
      <c r="E1590" s="30" t="s">
        <v>2934</v>
      </c>
      <c r="F1590" s="34" t="str">
        <f>IFERROR(VLOOKUP(VENTAS[[#This Row],[Código del producto Vendido]],STOCK[],5,FALSE),"-")</f>
        <v>Sandalias cómodas para mujer con adorno de clip dorado</v>
      </c>
      <c r="G1590" s="34">
        <v>1</v>
      </c>
      <c r="H1590" s="35">
        <v>18</v>
      </c>
      <c r="I1590" s="35">
        <f>VENTAS[[#This Row],[Cantidad]]*VENTAS[[#This Row],[Precio Venta]]</f>
        <v>18</v>
      </c>
      <c r="J1590" s="35">
        <f>IF(VENTAS[[#This Row],[Nombre del Gestor]]&gt;1,VENTAS[[#This Row],[Total]]*10%,0)</f>
        <v>0</v>
      </c>
      <c r="K1590" s="35">
        <f>IFERROR(VLOOKUP(VENTAS[[#This Row],[Código del producto Vendido]],STOCK[],16,FALSE)*VENTAS[[#This Row],[Cantidad]]+VLOOKUP(VENTAS[[#This Row],[Código del producto Vendido]],STOCK[],19,FALSE)*VENTAS[[#This Row],[Cantidad]],VENTAS[[#This Row],[Total]])</f>
        <v>9.46</v>
      </c>
      <c r="L1590" s="35">
        <f>VENTAS[[#This Row],[Total]]-VENTAS[[#This Row],[Comisión 10%]]-VENTAS[[#This Row],[Costo SIN Comision]]</f>
        <v>8.54</v>
      </c>
      <c r="M1590" s="35"/>
    </row>
    <row r="1591" ht="20" customHeight="1" spans="1:13">
      <c r="A1591" s="29">
        <v>45567</v>
      </c>
      <c r="B1591" s="30"/>
      <c r="C1591" s="30"/>
      <c r="D1591" s="30" t="s">
        <v>3602</v>
      </c>
      <c r="E1591" s="30" t="s">
        <v>2958</v>
      </c>
      <c r="F1591" s="34" t="str">
        <f>IFERROR(VLOOKUP(VENTAS[[#This Row],[Código del producto Vendido]],STOCK[],5,FALSE),"-")</f>
        <v>Vestido largo Sexy y elegante de espalda corrida en degradado de color</v>
      </c>
      <c r="G1591" s="34">
        <v>1</v>
      </c>
      <c r="H1591" s="35">
        <v>25</v>
      </c>
      <c r="I1591" s="35">
        <f>VENTAS[[#This Row],[Cantidad]]*VENTAS[[#This Row],[Precio Venta]]</f>
        <v>25</v>
      </c>
      <c r="J1591" s="35">
        <f>IF(VENTAS[[#This Row],[Nombre del Gestor]]&gt;1,VENTAS[[#This Row],[Total]]*10%,0)</f>
        <v>2.5</v>
      </c>
      <c r="K1591" s="35">
        <f>IFERROR(VLOOKUP(VENTAS[[#This Row],[Código del producto Vendido]],STOCK[],16,FALSE)*VENTAS[[#This Row],[Cantidad]]+VLOOKUP(VENTAS[[#This Row],[Código del producto Vendido]],STOCK[],19,FALSE)*VENTAS[[#This Row],[Cantidad]],VENTAS[[#This Row],[Total]])</f>
        <v>13.63</v>
      </c>
      <c r="L1591" s="35">
        <f>VENTAS[[#This Row],[Total]]-VENTAS[[#This Row],[Comisión 10%]]-VENTAS[[#This Row],[Costo SIN Comision]]</f>
        <v>8.87</v>
      </c>
      <c r="M1591" s="35"/>
    </row>
    <row r="1592" ht="20" customHeight="1" spans="1:13">
      <c r="A1592" s="29">
        <v>45575</v>
      </c>
      <c r="B1592" s="30"/>
      <c r="C1592" s="30"/>
      <c r="D1592" s="30" t="s">
        <v>3312</v>
      </c>
      <c r="E1592" s="30" t="s">
        <v>601</v>
      </c>
      <c r="F1592" s="34" t="str">
        <f>IFERROR(VLOOKUP(VENTAS[[#This Row],[Código del producto Vendido]],STOCK[],5,FALSE),"-")</f>
        <v>Vestido floral de mangas farol</v>
      </c>
      <c r="G1592" s="34">
        <v>1</v>
      </c>
      <c r="H1592" s="35">
        <v>18</v>
      </c>
      <c r="I1592" s="35">
        <f>VENTAS[[#This Row],[Cantidad]]*VENTAS[[#This Row],[Precio Venta]]</f>
        <v>18</v>
      </c>
      <c r="J1592" s="35">
        <f>IF(VENTAS[[#This Row],[Nombre del Gestor]]&gt;1,VENTAS[[#This Row],[Total]]*10%,0)</f>
        <v>1.8</v>
      </c>
      <c r="K1592" s="35">
        <f>IFERROR(VLOOKUP(VENTAS[[#This Row],[Código del producto Vendido]],STOCK[],16,FALSE)*VENTAS[[#This Row],[Cantidad]]+VLOOKUP(VENTAS[[#This Row],[Código del producto Vendido]],STOCK[],19,FALSE)*VENTAS[[#This Row],[Cantidad]],VENTAS[[#This Row],[Total]])</f>
        <v>10.7222222222222</v>
      </c>
      <c r="L1592" s="35">
        <f>VENTAS[[#This Row],[Total]]-VENTAS[[#This Row],[Comisión 10%]]-VENTAS[[#This Row],[Costo SIN Comision]]</f>
        <v>5.47777777777778</v>
      </c>
      <c r="M1592" s="35"/>
    </row>
    <row r="1593" ht="20" customHeight="1" spans="1:13">
      <c r="A1593" s="29">
        <v>45575</v>
      </c>
      <c r="B1593" s="30"/>
      <c r="C1593" s="30"/>
      <c r="D1593" s="30" t="s">
        <v>3312</v>
      </c>
      <c r="E1593" s="30" t="s">
        <v>2893</v>
      </c>
      <c r="F1593" s="34" t="str">
        <f>IFERROR(VLOOKUP(VENTAS[[#This Row],[Código del producto Vendido]],STOCK[],5,FALSE),"-")</f>
        <v>Sujetador de gran confort antideslizante sin tirantes color negro</v>
      </c>
      <c r="G1593" s="34">
        <v>1</v>
      </c>
      <c r="H1593" s="35">
        <v>15</v>
      </c>
      <c r="I1593" s="35">
        <f>VENTAS[[#This Row],[Cantidad]]*VENTAS[[#This Row],[Precio Venta]]</f>
        <v>15</v>
      </c>
      <c r="J1593" s="35">
        <f>IF(VENTAS[[#This Row],[Nombre del Gestor]]&gt;1,VENTAS[[#This Row],[Total]]*10%,0)</f>
        <v>1.5</v>
      </c>
      <c r="K1593" s="35">
        <f>IFERROR(VLOOKUP(VENTAS[[#This Row],[Código del producto Vendido]],STOCK[],16,FALSE)*VENTAS[[#This Row],[Cantidad]]+VLOOKUP(VENTAS[[#This Row],[Código del producto Vendido]],STOCK[],19,FALSE)*VENTAS[[#This Row],[Cantidad]],VENTAS[[#This Row],[Total]])</f>
        <v>6.38</v>
      </c>
      <c r="L1593" s="35">
        <f>VENTAS[[#This Row],[Total]]-VENTAS[[#This Row],[Comisión 10%]]-VENTAS[[#This Row],[Costo SIN Comision]]</f>
        <v>7.12</v>
      </c>
      <c r="M1593" s="35"/>
    </row>
    <row r="1594" ht="20" customHeight="1" spans="1:13">
      <c r="A1594" s="29">
        <v>45574</v>
      </c>
      <c r="B1594" s="30"/>
      <c r="C1594" s="30"/>
      <c r="D1594" s="30" t="s">
        <v>3453</v>
      </c>
      <c r="E1594" s="30" t="s">
        <v>2898</v>
      </c>
      <c r="F1594" s="34" t="str">
        <f>IFERROR(VLOOKUP(VENTAS[[#This Row],[Código del producto Vendido]],STOCK[],5,FALSE),"-")</f>
        <v>Sujetador de gran confort antideslizante sin tirantes color negro</v>
      </c>
      <c r="G1594" s="34">
        <v>1</v>
      </c>
      <c r="H1594" s="35">
        <v>15</v>
      </c>
      <c r="I1594" s="35">
        <f>VENTAS[[#This Row],[Cantidad]]*VENTAS[[#This Row],[Precio Venta]]</f>
        <v>15</v>
      </c>
      <c r="J1594" s="35">
        <f>IF(VENTAS[[#This Row],[Nombre del Gestor]]&gt;1,VENTAS[[#This Row],[Total]]*10%,0)</f>
        <v>1.5</v>
      </c>
      <c r="K1594" s="35">
        <f>IFERROR(VLOOKUP(VENTAS[[#This Row],[Código del producto Vendido]],STOCK[],16,FALSE)*VENTAS[[#This Row],[Cantidad]]+VLOOKUP(VENTAS[[#This Row],[Código del producto Vendido]],STOCK[],19,FALSE)*VENTAS[[#This Row],[Cantidad]],VENTAS[[#This Row],[Total]])</f>
        <v>6.38</v>
      </c>
      <c r="L1594" s="35">
        <f>VENTAS[[#This Row],[Total]]-VENTAS[[#This Row],[Comisión 10%]]-VENTAS[[#This Row],[Costo SIN Comision]]</f>
        <v>7.12</v>
      </c>
      <c r="M1594" s="35"/>
    </row>
    <row r="1595" ht="20" customHeight="1" spans="1:13">
      <c r="A1595" s="29">
        <v>45574</v>
      </c>
      <c r="B1595" s="30"/>
      <c r="C1595" s="30"/>
      <c r="D1595" s="30" t="s">
        <v>3453</v>
      </c>
      <c r="E1595" s="30" t="s">
        <v>2903</v>
      </c>
      <c r="F1595" s="34" t="str">
        <f>IFERROR(VLOOKUP(VENTAS[[#This Row],[Código del producto Vendido]],STOCK[],5,FALSE),"-")</f>
        <v>Sujetador de gran confort antideslizante sin tirantes color crema</v>
      </c>
      <c r="G1595" s="34">
        <v>1</v>
      </c>
      <c r="H1595" s="35">
        <v>15</v>
      </c>
      <c r="I1595" s="35">
        <f>VENTAS[[#This Row],[Cantidad]]*VENTAS[[#This Row],[Precio Venta]]</f>
        <v>15</v>
      </c>
      <c r="J1595" s="35">
        <f>IF(VENTAS[[#This Row],[Nombre del Gestor]]&gt;1,VENTAS[[#This Row],[Total]]*10%,0)</f>
        <v>1.5</v>
      </c>
      <c r="K1595" s="35">
        <f>IFERROR(VLOOKUP(VENTAS[[#This Row],[Código del producto Vendido]],STOCK[],16,FALSE)*VENTAS[[#This Row],[Cantidad]]+VLOOKUP(VENTAS[[#This Row],[Código del producto Vendido]],STOCK[],19,FALSE)*VENTAS[[#This Row],[Cantidad]],VENTAS[[#This Row],[Total]])</f>
        <v>8.15</v>
      </c>
      <c r="L1595" s="35">
        <f>VENTAS[[#This Row],[Total]]-VENTAS[[#This Row],[Comisión 10%]]-VENTAS[[#This Row],[Costo SIN Comision]]</f>
        <v>5.35</v>
      </c>
      <c r="M1595" s="35"/>
    </row>
    <row r="1596" ht="20" customHeight="1" spans="1:13">
      <c r="A1596" s="29">
        <v>45575</v>
      </c>
      <c r="B1596" s="30"/>
      <c r="C1596" s="30"/>
      <c r="D1596" s="30" t="s">
        <v>3507</v>
      </c>
      <c r="E1596" s="30" t="s">
        <v>2826</v>
      </c>
      <c r="F1596" s="34" t="str">
        <f>IFERROR(VLOOKUP(VENTAS[[#This Row],[Código del producto Vendido]],STOCK[],5,FALSE),"-")</f>
        <v>Bolso tejido redondo de gran capacidad Ojo Turco</v>
      </c>
      <c r="G1596" s="34">
        <v>1</v>
      </c>
      <c r="H1596" s="35">
        <v>25</v>
      </c>
      <c r="I1596" s="35">
        <f>VENTAS[[#This Row],[Cantidad]]*VENTAS[[#This Row],[Precio Venta]]</f>
        <v>25</v>
      </c>
      <c r="J1596" s="35">
        <f>IF(VENTAS[[#This Row],[Nombre del Gestor]]&gt;1,VENTAS[[#This Row],[Total]]*10%,0)</f>
        <v>2.5</v>
      </c>
      <c r="K1596" s="35">
        <f>IFERROR(VLOOKUP(VENTAS[[#This Row],[Código del producto Vendido]],STOCK[],16,FALSE)*VENTAS[[#This Row],[Cantidad]]+VLOOKUP(VENTAS[[#This Row],[Código del producto Vendido]],STOCK[],19,FALSE)*VENTAS[[#This Row],[Cantidad]],VENTAS[[#This Row],[Total]])</f>
        <v>13.03</v>
      </c>
      <c r="L1596" s="35">
        <f>VENTAS[[#This Row],[Total]]-VENTAS[[#This Row],[Comisión 10%]]-VENTAS[[#This Row],[Costo SIN Comision]]</f>
        <v>9.47</v>
      </c>
      <c r="M1596" s="35"/>
    </row>
    <row r="1597" ht="20" customHeight="1" spans="1:13">
      <c r="A1597" s="29">
        <v>45574</v>
      </c>
      <c r="B1597" s="30"/>
      <c r="C1597" s="30"/>
      <c r="D1597" s="30" t="s">
        <v>3509</v>
      </c>
      <c r="E1597" s="30" t="s">
        <v>2937</v>
      </c>
      <c r="F1597" s="34" t="str">
        <f>IFERROR(VLOOKUP(VENTAS[[#This Row],[Código del producto Vendido]],STOCK[],5,FALSE),"-")</f>
        <v>Vestido maxi sólido con espalda ajustable</v>
      </c>
      <c r="G1597" s="34">
        <v>1</v>
      </c>
      <c r="H1597" s="35">
        <v>25</v>
      </c>
      <c r="I1597" s="35">
        <f>VENTAS[[#This Row],[Cantidad]]*VENTAS[[#This Row],[Precio Venta]]</f>
        <v>25</v>
      </c>
      <c r="J1597" s="35">
        <f>IF(VENTAS[[#This Row],[Nombre del Gestor]]&gt;1,VENTAS[[#This Row],[Total]]*10%,0)</f>
        <v>2.5</v>
      </c>
      <c r="K1597" s="35">
        <f>IFERROR(VLOOKUP(VENTAS[[#This Row],[Código del producto Vendido]],STOCK[],16,FALSE)*VENTAS[[#This Row],[Cantidad]]+VLOOKUP(VENTAS[[#This Row],[Código del producto Vendido]],STOCK[],19,FALSE)*VENTAS[[#This Row],[Cantidad]],VENTAS[[#This Row],[Total]])</f>
        <v>10.79</v>
      </c>
      <c r="L1597" s="35">
        <f>VENTAS[[#This Row],[Total]]-VENTAS[[#This Row],[Comisión 10%]]-VENTAS[[#This Row],[Costo SIN Comision]]</f>
        <v>11.71</v>
      </c>
      <c r="M1597" s="35"/>
    </row>
    <row r="1598" ht="20" customHeight="1" spans="1:13">
      <c r="A1598" s="29">
        <v>45572</v>
      </c>
      <c r="B1598" s="30"/>
      <c r="C1598" s="30" t="s">
        <v>3619</v>
      </c>
      <c r="D1598" s="30" t="s">
        <v>3503</v>
      </c>
      <c r="E1598" s="30" t="s">
        <v>2845</v>
      </c>
      <c r="F1598" s="34" t="str">
        <f>IFERROR(VLOOKUP(VENTAS[[#This Row],[Código del producto Vendido]],STOCK[],5,FALSE),"-")</f>
        <v>Pantalones largros rayados de moda de gran comodidad</v>
      </c>
      <c r="G1598" s="34">
        <v>1</v>
      </c>
      <c r="H1598" s="35">
        <v>22</v>
      </c>
      <c r="I1598" s="35">
        <f>VENTAS[[#This Row],[Cantidad]]*VENTAS[[#This Row],[Precio Venta]]</f>
        <v>22</v>
      </c>
      <c r="J1598" s="35">
        <f>IF(VENTAS[[#This Row],[Nombre del Gestor]]&gt;1,VENTAS[[#This Row],[Total]]*10%,0)</f>
        <v>2.2</v>
      </c>
      <c r="K1598" s="35">
        <f>IFERROR(VLOOKUP(VENTAS[[#This Row],[Código del producto Vendido]],STOCK[],16,FALSE)*VENTAS[[#This Row],[Cantidad]]+VLOOKUP(VENTAS[[#This Row],[Código del producto Vendido]],STOCK[],19,FALSE)*VENTAS[[#This Row],[Cantidad]],VENTAS[[#This Row],[Total]])</f>
        <v>10.52</v>
      </c>
      <c r="L1598" s="35">
        <f>VENTAS[[#This Row],[Total]]-VENTAS[[#This Row],[Comisión 10%]]-VENTAS[[#This Row],[Costo SIN Comision]]</f>
        <v>9.28</v>
      </c>
      <c r="M1598" s="35"/>
    </row>
    <row r="1599" ht="20" customHeight="1" spans="1:13">
      <c r="A1599" s="29">
        <v>45572</v>
      </c>
      <c r="B1599" s="30"/>
      <c r="C1599" s="30" t="s">
        <v>3619</v>
      </c>
      <c r="D1599" s="30" t="s">
        <v>3503</v>
      </c>
      <c r="E1599" s="30" t="s">
        <v>2429</v>
      </c>
      <c r="F1599" s="34" t="str">
        <f>IFERROR(VLOOKUP(VENTAS[[#This Row],[Código del producto Vendido]],STOCK[],5,FALSE),"-")</f>
        <v>Pantalón ancho con cordón ajustable</v>
      </c>
      <c r="G1599" s="34">
        <v>1</v>
      </c>
      <c r="H1599" s="35">
        <v>23</v>
      </c>
      <c r="I1599" s="35">
        <f>VENTAS[[#This Row],[Cantidad]]*VENTAS[[#This Row],[Precio Venta]]</f>
        <v>23</v>
      </c>
      <c r="J1599" s="35">
        <f>IF(VENTAS[[#This Row],[Nombre del Gestor]]&gt;1,VENTAS[[#This Row],[Total]]*10%,0)</f>
        <v>2.3</v>
      </c>
      <c r="K1599" s="35">
        <f>IFERROR(VLOOKUP(VENTAS[[#This Row],[Código del producto Vendido]],STOCK[],16,FALSE)*VENTAS[[#This Row],[Cantidad]]+VLOOKUP(VENTAS[[#This Row],[Código del producto Vendido]],STOCK[],19,FALSE)*VENTAS[[#This Row],[Cantidad]],VENTAS[[#This Row],[Total]])</f>
        <v>11.4353349001175</v>
      </c>
      <c r="L1599" s="35">
        <f>VENTAS[[#This Row],[Total]]-VENTAS[[#This Row],[Comisión 10%]]-VENTAS[[#This Row],[Costo SIN Comision]]</f>
        <v>9.26466509988249</v>
      </c>
      <c r="M1599" s="35"/>
    </row>
    <row r="1600" ht="20" customHeight="1" spans="1:13">
      <c r="A1600" s="29"/>
      <c r="B1600" s="30"/>
      <c r="C1600" s="30"/>
      <c r="D1600" s="30"/>
      <c r="E1600" s="30" t="s">
        <v>2992</v>
      </c>
      <c r="F1600" s="34" t="str">
        <f>IFERROR(VLOOKUP(VENTAS[[#This Row],[Código del producto Vendido]],STOCK[],5,FALSE),"-")</f>
        <v>Camiseta de moda con estampado de cereza</v>
      </c>
      <c r="G1600" s="34">
        <v>1</v>
      </c>
      <c r="H1600" s="35">
        <v>15</v>
      </c>
      <c r="I1600" s="35">
        <f>VENTAS[[#This Row],[Cantidad]]*VENTAS[[#This Row],[Precio Venta]]</f>
        <v>15</v>
      </c>
      <c r="J1600" s="35">
        <f>IF(VENTAS[[#This Row],[Nombre del Gestor]]&gt;1,VENTAS[[#This Row],[Total]]*10%,0)</f>
        <v>0</v>
      </c>
      <c r="K1600" s="35">
        <f>IFERROR(VLOOKUP(VENTAS[[#This Row],[Código del producto Vendido]],STOCK[],16,FALSE)*VENTAS[[#This Row],[Cantidad]]+VLOOKUP(VENTAS[[#This Row],[Código del producto Vendido]],STOCK[],19,FALSE)*VENTAS[[#This Row],[Cantidad]],VENTAS[[#This Row],[Total]])</f>
        <v>5.92</v>
      </c>
      <c r="L1600" s="35">
        <f>VENTAS[[#This Row],[Total]]-VENTAS[[#This Row],[Comisión 10%]]-VENTAS[[#This Row],[Costo SIN Comision]]</f>
        <v>9.08</v>
      </c>
      <c r="M1600" s="35"/>
    </row>
    <row r="1601" ht="20" customHeight="1" spans="1:13">
      <c r="A1601" s="29">
        <v>45546</v>
      </c>
      <c r="B1601" s="30"/>
      <c r="C1601" s="30" t="s">
        <v>3727</v>
      </c>
      <c r="D1601" s="30" t="s">
        <v>3657</v>
      </c>
      <c r="E1601" s="30" t="s">
        <v>554</v>
      </c>
      <c r="F1601" s="34" t="str">
        <f>IFERROR(VLOOKUP(VENTAS[[#This Row],[Código del producto Vendido]],STOCK[],5,FALSE),"-")</f>
        <v>Sandalias plateadas con pedrería</v>
      </c>
      <c r="G1601" s="34">
        <v>1</v>
      </c>
      <c r="H1601" s="35">
        <v>25</v>
      </c>
      <c r="I1601" s="35">
        <f>VENTAS[[#This Row],[Cantidad]]*VENTAS[[#This Row],[Precio Venta]]</f>
        <v>25</v>
      </c>
      <c r="J1601" s="35">
        <f>IF(VENTAS[[#This Row],[Nombre del Gestor]]&gt;1,VENTAS[[#This Row],[Total]]*10%,0)</f>
        <v>2.5</v>
      </c>
      <c r="K1601" s="35">
        <f>IFERROR(VLOOKUP(VENTAS[[#This Row],[Código del producto Vendido]],STOCK[],16,FALSE)*VENTAS[[#This Row],[Cantidad]]+VLOOKUP(VENTAS[[#This Row],[Código del producto Vendido]],STOCK[],19,FALSE)*VENTAS[[#This Row],[Cantidad]],VENTAS[[#This Row],[Total]])</f>
        <v>26.035</v>
      </c>
      <c r="L1601" s="35">
        <f>VENTAS[[#This Row],[Total]]-VENTAS[[#This Row],[Comisión 10%]]-VENTAS[[#This Row],[Costo SIN Comision]]</f>
        <v>-3.535</v>
      </c>
      <c r="M1601" s="35"/>
    </row>
    <row r="1602" ht="20" customHeight="1" spans="1:13">
      <c r="A1602" s="29"/>
      <c r="B1602" s="30"/>
      <c r="C1602" s="30"/>
      <c r="D1602" s="30" t="s">
        <v>3707</v>
      </c>
      <c r="E1602" s="30" t="s">
        <v>357</v>
      </c>
      <c r="F1602" s="34" t="str">
        <f>IFERROR(VLOOKUP(VENTAS[[#This Row],[Código del producto Vendido]],STOCK[],5,FALSE),"-")</f>
        <v>Vestido elegante de espalda corrida</v>
      </c>
      <c r="G1602" s="34">
        <v>1</v>
      </c>
      <c r="H1602" s="35">
        <v>20</v>
      </c>
      <c r="I1602" s="35">
        <f>VENTAS[[#This Row],[Cantidad]]*VENTAS[[#This Row],[Precio Venta]]</f>
        <v>20</v>
      </c>
      <c r="J1602" s="35">
        <f>IF(VENTAS[[#This Row],[Nombre del Gestor]]&gt;1,VENTAS[[#This Row],[Total]]*10%,0)</f>
        <v>2</v>
      </c>
      <c r="K1602" s="35">
        <f>IFERROR(VLOOKUP(VENTAS[[#This Row],[Código del producto Vendido]],STOCK[],16,FALSE)*VENTAS[[#This Row],[Cantidad]]+VLOOKUP(VENTAS[[#This Row],[Código del producto Vendido]],STOCK[],19,FALSE)*VENTAS[[#This Row],[Cantidad]],VENTAS[[#This Row],[Total]])</f>
        <v>14.1711111111111</v>
      </c>
      <c r="L1602" s="35">
        <f>VENTAS[[#This Row],[Total]]-VENTAS[[#This Row],[Comisión 10%]]-VENTAS[[#This Row],[Costo SIN Comision]]</f>
        <v>3.82888888888889</v>
      </c>
      <c r="M1602" s="35"/>
    </row>
    <row r="1603" ht="20" customHeight="1" spans="1:13">
      <c r="A1603" s="29">
        <v>45575</v>
      </c>
      <c r="B1603" s="30"/>
      <c r="C1603" s="30"/>
      <c r="D1603" s="30" t="s">
        <v>3312</v>
      </c>
      <c r="E1603" s="30" t="s">
        <v>1159</v>
      </c>
      <c r="F1603" s="34" t="str">
        <f>IFERROR(VLOOKUP(VENTAS[[#This Row],[Código del producto Vendido]],STOCK[],5,FALSE),"-")</f>
        <v>Pezoneras de silicona</v>
      </c>
      <c r="G1603" s="34">
        <v>1</v>
      </c>
      <c r="H1603" s="35">
        <v>5</v>
      </c>
      <c r="I1603" s="35">
        <f>VENTAS[[#This Row],[Cantidad]]*VENTAS[[#This Row],[Precio Venta]]</f>
        <v>5</v>
      </c>
      <c r="J1603" s="35">
        <f>IF(VENTAS[[#This Row],[Nombre del Gestor]]&gt;1,VENTAS[[#This Row],[Total]]*10%,0)</f>
        <v>0.5</v>
      </c>
      <c r="K1603" s="35">
        <f>IFERROR(VLOOKUP(VENTAS[[#This Row],[Código del producto Vendido]],STOCK[],16,FALSE)*VENTAS[[#This Row],[Cantidad]]+VLOOKUP(VENTAS[[#This Row],[Código del producto Vendido]],STOCK[],19,FALSE)*VENTAS[[#This Row],[Cantidad]],VENTAS[[#This Row],[Total]])</f>
        <v>2.03</v>
      </c>
      <c r="L1603" s="35">
        <f>VENTAS[[#This Row],[Total]]-VENTAS[[#This Row],[Comisión 10%]]-VENTAS[[#This Row],[Costo SIN Comision]]</f>
        <v>2.47</v>
      </c>
      <c r="M1603" s="35"/>
    </row>
    <row r="1604" ht="20" customHeight="1" spans="1:13">
      <c r="A1604" s="29"/>
      <c r="B1604" s="30"/>
      <c r="C1604" s="30"/>
      <c r="D1604" s="30"/>
      <c r="E1604" s="30" t="s">
        <v>2282</v>
      </c>
      <c r="F1604" s="34" t="str">
        <f>IFERROR(VLOOKUP(VENTAS[[#This Row],[Código del producto Vendido]],STOCK[],5,FALSE),"-")</f>
        <v>Bolso de lienzo estampado de corazón</v>
      </c>
      <c r="G1604" s="34">
        <v>1</v>
      </c>
      <c r="H1604" s="35">
        <v>12</v>
      </c>
      <c r="I1604" s="35">
        <f>VENTAS[[#This Row],[Cantidad]]*VENTAS[[#This Row],[Precio Venta]]</f>
        <v>12</v>
      </c>
      <c r="J1604" s="35">
        <f>IF(VENTAS[[#This Row],[Nombre del Gestor]]&gt;1,VENTAS[[#This Row],[Total]]*10%,0)</f>
        <v>0</v>
      </c>
      <c r="K1604" s="35">
        <f>IFERROR(VLOOKUP(VENTAS[[#This Row],[Código del producto Vendido]],STOCK[],16,FALSE)*VENTAS[[#This Row],[Cantidad]]+VLOOKUP(VENTAS[[#This Row],[Código del producto Vendido]],STOCK[],19,FALSE)*VENTAS[[#This Row],[Cantidad]],VENTAS[[#This Row],[Total]])</f>
        <v>4.23</v>
      </c>
      <c r="L1604" s="35">
        <f>VENTAS[[#This Row],[Total]]-VENTAS[[#This Row],[Comisión 10%]]-VENTAS[[#This Row],[Costo SIN Comision]]</f>
        <v>7.77</v>
      </c>
      <c r="M1604" s="35"/>
    </row>
    <row r="1605" ht="20" customHeight="1" spans="1:13">
      <c r="A1605" s="29"/>
      <c r="B1605" s="30"/>
      <c r="C1605" s="30"/>
      <c r="D1605" s="30" t="s">
        <v>3503</v>
      </c>
      <c r="E1605" s="30" t="s">
        <v>2561</v>
      </c>
      <c r="F1605" s="34" t="str">
        <f>IFERROR(VLOOKUP(VENTAS[[#This Row],[Código del producto Vendido]],STOCK[],5,FALSE),"-")</f>
        <v>Top corto de lazo delantero </v>
      </c>
      <c r="G1605" s="34">
        <v>1</v>
      </c>
      <c r="H1605" s="35">
        <v>17</v>
      </c>
      <c r="I1605" s="35">
        <f>VENTAS[[#This Row],[Cantidad]]*VENTAS[[#This Row],[Precio Venta]]</f>
        <v>17</v>
      </c>
      <c r="J1605" s="35">
        <f>IF(VENTAS[[#This Row],[Nombre del Gestor]]&gt;1,VENTAS[[#This Row],[Total]]*10%,0)</f>
        <v>1.7</v>
      </c>
      <c r="K1605" s="35">
        <f>IFERROR(VLOOKUP(VENTAS[[#This Row],[Código del producto Vendido]],STOCK[],16,FALSE)*VENTAS[[#This Row],[Cantidad]]+VLOOKUP(VENTAS[[#This Row],[Código del producto Vendido]],STOCK[],19,FALSE)*VENTAS[[#This Row],[Cantidad]],VENTAS[[#This Row],[Total]])</f>
        <v>11.45</v>
      </c>
      <c r="L1605" s="35">
        <f>VENTAS[[#This Row],[Total]]-VENTAS[[#This Row],[Comisión 10%]]-VENTAS[[#This Row],[Costo SIN Comision]]</f>
        <v>3.85</v>
      </c>
      <c r="M1605" s="35"/>
    </row>
    <row r="1606" ht="20" customHeight="1" spans="1:13">
      <c r="A1606" s="29"/>
      <c r="B1606" s="30"/>
      <c r="C1606" s="30"/>
      <c r="D1606" s="30"/>
      <c r="E1606" s="30" t="s">
        <v>2964</v>
      </c>
      <c r="F1606" s="34" t="str">
        <f>IFERROR(VLOOKUP(VENTAS[[#This Row],[Código del producto Vendido]],STOCK[],5,FALSE),"-")</f>
        <v>Vestido camisola negro con abertura</v>
      </c>
      <c r="G1606" s="34">
        <v>1</v>
      </c>
      <c r="H1606" s="35">
        <v>20</v>
      </c>
      <c r="I1606" s="35">
        <f>VENTAS[[#This Row],[Cantidad]]*VENTAS[[#This Row],[Precio Venta]]</f>
        <v>20</v>
      </c>
      <c r="J1606" s="35">
        <f>IF(VENTAS[[#This Row],[Nombre del Gestor]]&gt;1,VENTAS[[#This Row],[Total]]*10%,0)</f>
        <v>0</v>
      </c>
      <c r="K1606" s="35">
        <f>IFERROR(VLOOKUP(VENTAS[[#This Row],[Código del producto Vendido]],STOCK[],16,FALSE)*VENTAS[[#This Row],[Cantidad]]+VLOOKUP(VENTAS[[#This Row],[Código del producto Vendido]],STOCK[],19,FALSE)*VENTAS[[#This Row],[Cantidad]],VENTAS[[#This Row],[Total]])</f>
        <v>7.63</v>
      </c>
      <c r="L1606" s="35">
        <f>VENTAS[[#This Row],[Total]]-VENTAS[[#This Row],[Comisión 10%]]-VENTAS[[#This Row],[Costo SIN Comision]]</f>
        <v>12.37</v>
      </c>
      <c r="M1606" s="35"/>
    </row>
    <row r="1607" ht="20" customHeight="1" spans="1:13">
      <c r="A1607" s="29"/>
      <c r="B1607" s="30"/>
      <c r="C1607" s="30"/>
      <c r="D1607" s="30" t="s">
        <v>3700</v>
      </c>
      <c r="E1607" s="30" t="s">
        <v>2966</v>
      </c>
      <c r="F1607" s="34" t="str">
        <f>IFERROR(VLOOKUP(VENTAS[[#This Row],[Código del producto Vendido]],STOCK[],5,FALSE),"-")</f>
        <v>Conjunto de dos prendas elegante-casual color blanco</v>
      </c>
      <c r="G1607" s="34">
        <v>1</v>
      </c>
      <c r="H1607" s="35">
        <v>40</v>
      </c>
      <c r="I1607" s="35">
        <f>VENTAS[[#This Row],[Cantidad]]*VENTAS[[#This Row],[Precio Venta]]</f>
        <v>40</v>
      </c>
      <c r="J1607" s="35">
        <f>IF(VENTAS[[#This Row],[Nombre del Gestor]]&gt;1,VENTAS[[#This Row],[Total]]*10%,0)</f>
        <v>4</v>
      </c>
      <c r="K1607" s="35">
        <f>IFERROR(VLOOKUP(VENTAS[[#This Row],[Código del producto Vendido]],STOCK[],16,FALSE)*VENTAS[[#This Row],[Cantidad]]+VLOOKUP(VENTAS[[#This Row],[Código del producto Vendido]],STOCK[],19,FALSE)*VENTAS[[#This Row],[Cantidad]],VENTAS[[#This Row],[Total]])</f>
        <v>14.57</v>
      </c>
      <c r="L1607" s="35">
        <f>VENTAS[[#This Row],[Total]]-VENTAS[[#This Row],[Comisión 10%]]-VENTAS[[#This Row],[Costo SIN Comision]]</f>
        <v>21.43</v>
      </c>
      <c r="M1607" s="35"/>
    </row>
    <row r="1608" ht="20" customHeight="1" spans="1:13">
      <c r="A1608" s="29"/>
      <c r="B1608" s="30"/>
      <c r="C1608" s="30"/>
      <c r="D1608" s="30"/>
      <c r="E1608" s="30" t="s">
        <v>2993</v>
      </c>
      <c r="F1608" s="34" t="str">
        <f>IFERROR(VLOOKUP(VENTAS[[#This Row],[Código del producto Vendido]],STOCK[],5,FALSE),"-")</f>
        <v>Camiseta de moda con estampado de cereza</v>
      </c>
      <c r="G1608" s="34">
        <v>1</v>
      </c>
      <c r="H1608" s="35">
        <v>15</v>
      </c>
      <c r="I1608" s="35">
        <f>VENTAS[[#This Row],[Cantidad]]*VENTAS[[#This Row],[Precio Venta]]</f>
        <v>15</v>
      </c>
      <c r="J1608" s="35">
        <f>IF(VENTAS[[#This Row],[Nombre del Gestor]]&gt;1,VENTAS[[#This Row],[Total]]*10%,0)</f>
        <v>0</v>
      </c>
      <c r="K1608" s="35">
        <f>IFERROR(VLOOKUP(VENTAS[[#This Row],[Código del producto Vendido]],STOCK[],16,FALSE)*VENTAS[[#This Row],[Cantidad]]+VLOOKUP(VENTAS[[#This Row],[Código del producto Vendido]],STOCK[],19,FALSE)*VENTAS[[#This Row],[Cantidad]],VENTAS[[#This Row],[Total]])</f>
        <v>5.92</v>
      </c>
      <c r="L1608" s="35">
        <f>VENTAS[[#This Row],[Total]]-VENTAS[[#This Row],[Comisión 10%]]-VENTAS[[#This Row],[Costo SIN Comision]]</f>
        <v>9.08</v>
      </c>
      <c r="M1608" s="35"/>
    </row>
    <row r="1609" ht="20" customHeight="1" spans="1:13">
      <c r="A1609" s="29"/>
      <c r="B1609" s="30"/>
      <c r="C1609" s="30"/>
      <c r="D1609" s="30"/>
      <c r="E1609" s="30" t="s">
        <v>2993</v>
      </c>
      <c r="F1609" s="34" t="str">
        <f>IFERROR(VLOOKUP(VENTAS[[#This Row],[Código del producto Vendido]],STOCK[],5,FALSE),"-")</f>
        <v>Camiseta de moda con estampado de cereza</v>
      </c>
      <c r="G1609" s="34">
        <v>1</v>
      </c>
      <c r="H1609" s="35">
        <v>15</v>
      </c>
      <c r="I1609" s="35">
        <f>VENTAS[[#This Row],[Cantidad]]*VENTAS[[#This Row],[Precio Venta]]</f>
        <v>15</v>
      </c>
      <c r="J1609" s="35">
        <f>IF(VENTAS[[#This Row],[Nombre del Gestor]]&gt;1,VENTAS[[#This Row],[Total]]*10%,0)</f>
        <v>0</v>
      </c>
      <c r="K1609" s="35">
        <f>IFERROR(VLOOKUP(VENTAS[[#This Row],[Código del producto Vendido]],STOCK[],16,FALSE)*VENTAS[[#This Row],[Cantidad]]+VLOOKUP(VENTAS[[#This Row],[Código del producto Vendido]],STOCK[],19,FALSE)*VENTAS[[#This Row],[Cantidad]],VENTAS[[#This Row],[Total]])</f>
        <v>5.92</v>
      </c>
      <c r="L1609" s="35">
        <f>VENTAS[[#This Row],[Total]]-VENTAS[[#This Row],[Comisión 10%]]-VENTAS[[#This Row],[Costo SIN Comision]]</f>
        <v>9.08</v>
      </c>
      <c r="M1609" s="35"/>
    </row>
    <row r="1610" ht="20" customHeight="1" spans="1:13">
      <c r="A1610" s="29"/>
      <c r="B1610" s="30"/>
      <c r="C1610" s="30"/>
      <c r="D1610" s="30" t="s">
        <v>3448</v>
      </c>
      <c r="E1610" s="30" t="s">
        <v>2547</v>
      </c>
      <c r="F1610" s="34" t="str">
        <f>IFERROR(VLOOKUP(VENTAS[[#This Row],[Código del producto Vendido]],STOCK[],5,FALSE),"-")</f>
        <v>Pullover largo unicolor tela traslúcida terracota</v>
      </c>
      <c r="G1610" s="34">
        <v>1</v>
      </c>
      <c r="H1610" s="35">
        <v>10</v>
      </c>
      <c r="I1610" s="35">
        <f>VENTAS[[#This Row],[Cantidad]]*VENTAS[[#This Row],[Precio Venta]]</f>
        <v>10</v>
      </c>
      <c r="J1610" s="35">
        <f>IF(VENTAS[[#This Row],[Nombre del Gestor]]&gt;1,VENTAS[[#This Row],[Total]]*10%,0)</f>
        <v>1</v>
      </c>
      <c r="K1610" s="35">
        <f>IFERROR(VLOOKUP(VENTAS[[#This Row],[Código del producto Vendido]],STOCK[],16,FALSE)*VENTAS[[#This Row],[Cantidad]]+VLOOKUP(VENTAS[[#This Row],[Código del producto Vendido]],STOCK[],19,FALSE)*VENTAS[[#This Row],[Cantidad]],VENTAS[[#This Row],[Total]])</f>
        <v>4.32</v>
      </c>
      <c r="L1610" s="35">
        <f>VENTAS[[#This Row],[Total]]-VENTAS[[#This Row],[Comisión 10%]]-VENTAS[[#This Row],[Costo SIN Comision]]</f>
        <v>4.68</v>
      </c>
      <c r="M1610" s="35"/>
    </row>
    <row r="1611" ht="20" customHeight="1" spans="1:13">
      <c r="A1611" s="29"/>
      <c r="B1611" s="30"/>
      <c r="C1611" s="30"/>
      <c r="D1611" s="30" t="s">
        <v>3448</v>
      </c>
      <c r="E1611" s="30" t="s">
        <v>2550</v>
      </c>
      <c r="F1611" s="34" t="str">
        <f>IFERROR(VLOOKUP(VENTAS[[#This Row],[Código del producto Vendido]],STOCK[],5,FALSE),"-")</f>
        <v>Pullover largo unicolor tela traslúcida beige</v>
      </c>
      <c r="G1611" s="34">
        <v>1</v>
      </c>
      <c r="H1611" s="35">
        <v>10</v>
      </c>
      <c r="I1611" s="35">
        <f>VENTAS[[#This Row],[Cantidad]]*VENTAS[[#This Row],[Precio Venta]]</f>
        <v>10</v>
      </c>
      <c r="J1611" s="35">
        <f>IF(VENTAS[[#This Row],[Nombre del Gestor]]&gt;1,VENTAS[[#This Row],[Total]]*10%,0)</f>
        <v>1</v>
      </c>
      <c r="K1611" s="35">
        <f>IFERROR(VLOOKUP(VENTAS[[#This Row],[Código del producto Vendido]],STOCK[],16,FALSE)*VENTAS[[#This Row],[Cantidad]]+VLOOKUP(VENTAS[[#This Row],[Código del producto Vendido]],STOCK[],19,FALSE)*VENTAS[[#This Row],[Cantidad]],VENTAS[[#This Row],[Total]])</f>
        <v>4.32</v>
      </c>
      <c r="L1611" s="35">
        <f>VENTAS[[#This Row],[Total]]-VENTAS[[#This Row],[Comisión 10%]]-VENTAS[[#This Row],[Costo SIN Comision]]</f>
        <v>4.68</v>
      </c>
      <c r="M1611" s="35"/>
    </row>
    <row r="1612" ht="20" customHeight="1" spans="1:13">
      <c r="A1612" s="29"/>
      <c r="B1612" s="30"/>
      <c r="C1612" s="30"/>
      <c r="D1612" s="30"/>
      <c r="E1612" s="30" t="s">
        <v>815</v>
      </c>
      <c r="F1612" s="34" t="str">
        <f>IFERROR(VLOOKUP(VENTAS[[#This Row],[Código del producto Vendido]],STOCK[],5,FALSE),"-")</f>
        <v>Blusa verde menta vuelos</v>
      </c>
      <c r="G1612" s="34">
        <v>1</v>
      </c>
      <c r="H1612" s="35">
        <v>10</v>
      </c>
      <c r="I1612" s="35">
        <f>VENTAS[[#This Row],[Cantidad]]*VENTAS[[#This Row],[Precio Venta]]</f>
        <v>10</v>
      </c>
      <c r="J1612" s="35">
        <f>IF(VENTAS[[#This Row],[Nombre del Gestor]]&gt;1,VENTAS[[#This Row],[Total]]*10%,0)</f>
        <v>0</v>
      </c>
      <c r="K1612" s="35">
        <f>IFERROR(VLOOKUP(VENTAS[[#This Row],[Código del producto Vendido]],STOCK[],16,FALSE)*VENTAS[[#This Row],[Cantidad]]+VLOOKUP(VENTAS[[#This Row],[Código del producto Vendido]],STOCK[],19,FALSE)*VENTAS[[#This Row],[Cantidad]],VENTAS[[#This Row],[Total]])</f>
        <v>6.77777777777778</v>
      </c>
      <c r="L1612" s="35">
        <f>VENTAS[[#This Row],[Total]]-VENTAS[[#This Row],[Comisión 10%]]-VENTAS[[#This Row],[Costo SIN Comision]]</f>
        <v>3.22222222222222</v>
      </c>
      <c r="M1612" s="35"/>
    </row>
    <row r="1613" ht="20" customHeight="1" spans="1:13">
      <c r="A1613" s="29">
        <v>45588</v>
      </c>
      <c r="B1613" s="30"/>
      <c r="C1613" s="30" t="s">
        <v>3728</v>
      </c>
      <c r="D1613" s="30"/>
      <c r="E1613" s="30" t="s">
        <v>3141</v>
      </c>
      <c r="F1613" s="34" t="str">
        <f>IFERROR(VLOOKUP(VENTAS[[#This Row],[Código del producto Vendido]],STOCK[],5,FALSE),"-")</f>
        <v>Suéter oversize de cuello redondo crema con listas finas negras Marca H&amp;M</v>
      </c>
      <c r="G1613" s="34">
        <v>1</v>
      </c>
      <c r="H1613" s="35">
        <v>12</v>
      </c>
      <c r="I1613" s="35">
        <f>VENTAS[[#This Row],[Cantidad]]*VENTAS[[#This Row],[Precio Venta]]</f>
        <v>12</v>
      </c>
      <c r="J1613" s="35">
        <f>IF(VENTAS[[#This Row],[Nombre del Gestor]]&gt;1,VENTAS[[#This Row],[Total]]*10%,0)</f>
        <v>0</v>
      </c>
      <c r="K1613" s="35">
        <f>IFERROR(VLOOKUP(VENTAS[[#This Row],[Código del producto Vendido]],STOCK[],16,FALSE)*VENTAS[[#This Row],[Cantidad]]+VLOOKUP(VENTAS[[#This Row],[Código del producto Vendido]],STOCK[],19,FALSE)*VENTAS[[#This Row],[Cantidad]],VENTAS[[#This Row],[Total]])</f>
        <v>12</v>
      </c>
      <c r="L1613" s="35">
        <f>VENTAS[[#This Row],[Total]]-VENTAS[[#This Row],[Comisión 10%]]-VENTAS[[#This Row],[Costo SIN Comision]]</f>
        <v>0</v>
      </c>
      <c r="M1613" s="35"/>
    </row>
    <row r="1614" ht="20" customHeight="1" spans="1:13">
      <c r="A1614" s="29">
        <v>45588</v>
      </c>
      <c r="B1614" s="30"/>
      <c r="C1614" s="30" t="s">
        <v>3729</v>
      </c>
      <c r="D1614" s="30"/>
      <c r="E1614" s="30" t="s">
        <v>3098</v>
      </c>
      <c r="F1614" s="34" t="str">
        <f>IFERROR(VLOOKUP(VENTAS[[#This Row],[Código del producto Vendido]],STOCK[],5,FALSE),"-")</f>
        <v>Blusa negra con hombreras </v>
      </c>
      <c r="G1614" s="34">
        <v>1</v>
      </c>
      <c r="H1614" s="35">
        <v>8</v>
      </c>
      <c r="I1614" s="35">
        <f>VENTAS[[#This Row],[Cantidad]]*VENTAS[[#This Row],[Precio Venta]]</f>
        <v>8</v>
      </c>
      <c r="J1614" s="35">
        <f>IF(VENTAS[[#This Row],[Nombre del Gestor]]&gt;1,VENTAS[[#This Row],[Total]]*10%,0)</f>
        <v>0</v>
      </c>
      <c r="K1614" s="35">
        <f>IFERROR(VLOOKUP(VENTAS[[#This Row],[Código del producto Vendido]],STOCK[],16,FALSE)*VENTAS[[#This Row],[Cantidad]]+VLOOKUP(VENTAS[[#This Row],[Código del producto Vendido]],STOCK[],19,FALSE)*VENTAS[[#This Row],[Cantidad]],VENTAS[[#This Row],[Total]])</f>
        <v>8</v>
      </c>
      <c r="L1614" s="35">
        <f>VENTAS[[#This Row],[Total]]-VENTAS[[#This Row],[Comisión 10%]]-VENTAS[[#This Row],[Costo SIN Comision]]</f>
        <v>0</v>
      </c>
      <c r="M1614" s="35"/>
    </row>
    <row r="1615" ht="20" customHeight="1" spans="1:13">
      <c r="A1615" s="29">
        <v>45588</v>
      </c>
      <c r="B1615" s="30"/>
      <c r="C1615" s="30" t="s">
        <v>3730</v>
      </c>
      <c r="D1615" s="30"/>
      <c r="E1615" s="30" t="s">
        <v>3160</v>
      </c>
      <c r="F1615" s="34" t="str">
        <f>IFERROR(VLOOKUP(VENTAS[[#This Row],[Código del producto Vendido]],STOCK[],5,FALSE),"-")</f>
        <v>Tanga brasileña color verde de algodón Marca H&amp;M</v>
      </c>
      <c r="G1615" s="34">
        <v>4</v>
      </c>
      <c r="H1615" s="35">
        <v>0.86</v>
      </c>
      <c r="I1615" s="35">
        <f>VENTAS[[#This Row],[Cantidad]]*VENTAS[[#This Row],[Precio Venta]]</f>
        <v>3.44</v>
      </c>
      <c r="J1615" s="35">
        <f>IF(VENTAS[[#This Row],[Nombre del Gestor]]&gt;1,VENTAS[[#This Row],[Total]]*10%,0)</f>
        <v>0</v>
      </c>
      <c r="K1615" s="35">
        <f>IFERROR(VLOOKUP(VENTAS[[#This Row],[Código del producto Vendido]],STOCK[],16,FALSE)*VENTAS[[#This Row],[Cantidad]]+VLOOKUP(VENTAS[[#This Row],[Código del producto Vendido]],STOCK[],19,FALSE)*VENTAS[[#This Row],[Cantidad]],VENTAS[[#This Row],[Total]])</f>
        <v>3.44</v>
      </c>
      <c r="L1615" s="35">
        <f>VENTAS[[#This Row],[Total]]-VENTAS[[#This Row],[Comisión 10%]]-VENTAS[[#This Row],[Costo SIN Comision]]</f>
        <v>0</v>
      </c>
      <c r="M1615" s="35"/>
    </row>
    <row r="1616" ht="20" customHeight="1" spans="1:13">
      <c r="A1616" s="29">
        <v>45588</v>
      </c>
      <c r="B1616" s="30"/>
      <c r="C1616" s="30" t="s">
        <v>3731</v>
      </c>
      <c r="D1616" s="30"/>
      <c r="E1616" s="30" t="s">
        <v>3167</v>
      </c>
      <c r="F1616" s="34" t="str">
        <f>IFERROR(VLOOKUP(VENTAS[[#This Row],[Código del producto Vendido]],STOCK[],5,FALSE),"-")</f>
        <v>Falda negra ajustada a media pierna Marca H&amp;M</v>
      </c>
      <c r="G1616" s="34">
        <v>1</v>
      </c>
      <c r="H1616" s="35">
        <v>6</v>
      </c>
      <c r="I1616" s="35">
        <f>VENTAS[[#This Row],[Cantidad]]*VENTAS[[#This Row],[Precio Venta]]</f>
        <v>6</v>
      </c>
      <c r="J1616" s="35">
        <f>IF(VENTAS[[#This Row],[Nombre del Gestor]]&gt;1,VENTAS[[#This Row],[Total]]*10%,0)</f>
        <v>0</v>
      </c>
      <c r="K1616" s="35">
        <f>IFERROR(VLOOKUP(VENTAS[[#This Row],[Código del producto Vendido]],STOCK[],16,FALSE)*VENTAS[[#This Row],[Cantidad]]+VLOOKUP(VENTAS[[#This Row],[Código del producto Vendido]],STOCK[],19,FALSE)*VENTAS[[#This Row],[Cantidad]],VENTAS[[#This Row],[Total]])</f>
        <v>6</v>
      </c>
      <c r="L1616" s="35">
        <f>VENTAS[[#This Row],[Total]]-VENTAS[[#This Row],[Comisión 10%]]-VENTAS[[#This Row],[Costo SIN Comision]]</f>
        <v>0</v>
      </c>
      <c r="M1616" s="35"/>
    </row>
    <row r="1617" ht="20" customHeight="1" spans="1:13">
      <c r="A1617" s="29">
        <v>45588</v>
      </c>
      <c r="B1617" s="30"/>
      <c r="C1617" s="30" t="s">
        <v>3732</v>
      </c>
      <c r="D1617" s="30"/>
      <c r="E1617" s="30" t="s">
        <v>3171</v>
      </c>
      <c r="F1617" s="34" t="str">
        <f>IFERROR(VLOOKUP(VENTAS[[#This Row],[Código del producto Vendido]],STOCK[],5,FALSE),"-")</f>
        <v>Leggings mallas negros no transparentables Marca H&amp;M</v>
      </c>
      <c r="G1617" s="34">
        <v>1</v>
      </c>
      <c r="H1617" s="35">
        <v>5</v>
      </c>
      <c r="I1617" s="35">
        <f>VENTAS[[#This Row],[Cantidad]]*VENTAS[[#This Row],[Precio Venta]]</f>
        <v>5</v>
      </c>
      <c r="J1617" s="35">
        <f>IF(VENTAS[[#This Row],[Nombre del Gestor]]&gt;1,VENTAS[[#This Row],[Total]]*10%,0)</f>
        <v>0</v>
      </c>
      <c r="K1617" s="35">
        <f>IFERROR(VLOOKUP(VENTAS[[#This Row],[Código del producto Vendido]],STOCK[],16,FALSE)*VENTAS[[#This Row],[Cantidad]]+VLOOKUP(VENTAS[[#This Row],[Código del producto Vendido]],STOCK[],19,FALSE)*VENTAS[[#This Row],[Cantidad]],VENTAS[[#This Row],[Total]])</f>
        <v>5</v>
      </c>
      <c r="L1617" s="35">
        <f>VENTAS[[#This Row],[Total]]-VENTAS[[#This Row],[Comisión 10%]]-VENTAS[[#This Row],[Costo SIN Comision]]</f>
        <v>0</v>
      </c>
      <c r="M1617" s="35"/>
    </row>
    <row r="1618" ht="20" customHeight="1" spans="1:13">
      <c r="A1618" s="29">
        <v>45588</v>
      </c>
      <c r="B1618" s="30"/>
      <c r="C1618" s="30" t="s">
        <v>3733</v>
      </c>
      <c r="D1618" s="30"/>
      <c r="E1618" s="30" t="s">
        <v>3179</v>
      </c>
      <c r="F1618" s="34" t="str">
        <f>IFERROR(VLOOKUP(VENTAS[[#This Row],[Código del producto Vendido]],STOCK[],5,FALSE),"-")</f>
        <v>Pullover deportivo verde </v>
      </c>
      <c r="G1618" s="34">
        <v>1</v>
      </c>
      <c r="H1618" s="35">
        <v>10</v>
      </c>
      <c r="I1618" s="35">
        <f>VENTAS[[#This Row],[Cantidad]]*VENTAS[[#This Row],[Precio Venta]]</f>
        <v>10</v>
      </c>
      <c r="J1618" s="35">
        <f>IF(VENTAS[[#This Row],[Nombre del Gestor]]&gt;1,VENTAS[[#This Row],[Total]]*10%,0)</f>
        <v>0</v>
      </c>
      <c r="K1618" s="35">
        <f>IFERROR(VLOOKUP(VENTAS[[#This Row],[Código del producto Vendido]],STOCK[],16,FALSE)*VENTAS[[#This Row],[Cantidad]]+VLOOKUP(VENTAS[[#This Row],[Código del producto Vendido]],STOCK[],19,FALSE)*VENTAS[[#This Row],[Cantidad]],VENTAS[[#This Row],[Total]])</f>
        <v>10</v>
      </c>
      <c r="L1618" s="35">
        <f>VENTAS[[#This Row],[Total]]-VENTAS[[#This Row],[Comisión 10%]]-VENTAS[[#This Row],[Costo SIN Comision]]</f>
        <v>0</v>
      </c>
      <c r="M1618" s="35"/>
    </row>
    <row r="1619" ht="20" customHeight="1" spans="1:13">
      <c r="A1619" s="29">
        <v>45588</v>
      </c>
      <c r="B1619" s="30"/>
      <c r="C1619" s="30" t="s">
        <v>3734</v>
      </c>
      <c r="D1619" s="30"/>
      <c r="E1619" s="30" t="s">
        <v>3228</v>
      </c>
      <c r="F1619" s="34" t="str">
        <f>IFERROR(VLOOKUP(VENTAS[[#This Row],[Código del producto Vendido]],STOCK[],5,FALSE),"-")</f>
        <v>Enguatada gris jaspeado oscuro Marca H&amp;M</v>
      </c>
      <c r="G1619" s="34">
        <v>1</v>
      </c>
      <c r="H1619" s="35">
        <v>12</v>
      </c>
      <c r="I1619" s="35">
        <f>VENTAS[[#This Row],[Cantidad]]*VENTAS[[#This Row],[Precio Venta]]</f>
        <v>12</v>
      </c>
      <c r="J1619" s="35">
        <f>IF(VENTAS[[#This Row],[Nombre del Gestor]]&gt;1,VENTAS[[#This Row],[Total]]*10%,0)</f>
        <v>0</v>
      </c>
      <c r="K1619" s="35">
        <f>IFERROR(VLOOKUP(VENTAS[[#This Row],[Código del producto Vendido]],STOCK[],16,FALSE)*VENTAS[[#This Row],[Cantidad]]+VLOOKUP(VENTAS[[#This Row],[Código del producto Vendido]],STOCK[],19,FALSE)*VENTAS[[#This Row],[Cantidad]],VENTAS[[#This Row],[Total]])</f>
        <v>12</v>
      </c>
      <c r="L1619" s="35">
        <f>VENTAS[[#This Row],[Total]]-VENTAS[[#This Row],[Comisión 10%]]-VENTAS[[#This Row],[Costo SIN Comision]]</f>
        <v>0</v>
      </c>
      <c r="M1619" s="35"/>
    </row>
    <row r="1620" ht="20" customHeight="1" spans="1:13">
      <c r="A1620" s="29">
        <v>45588</v>
      </c>
      <c r="B1620" s="30"/>
      <c r="C1620" s="30" t="s">
        <v>3735</v>
      </c>
      <c r="D1620" s="30"/>
      <c r="E1620" s="30" t="s">
        <v>3233</v>
      </c>
      <c r="F1620" s="34" t="str">
        <f>IFERROR(VLOOKUP(VENTAS[[#This Row],[Código del producto Vendido]],STOCK[],5,FALSE),"-")</f>
        <v>Niños abrigos   </v>
      </c>
      <c r="G1620" s="34">
        <v>2</v>
      </c>
      <c r="H1620" s="35">
        <v>8</v>
      </c>
      <c r="I1620" s="35">
        <f>VENTAS[[#This Row],[Cantidad]]*VENTAS[[#This Row],[Precio Venta]]</f>
        <v>16</v>
      </c>
      <c r="J1620" s="35">
        <f>IF(VENTAS[[#This Row],[Nombre del Gestor]]&gt;1,VENTAS[[#This Row],[Total]]*10%,0)</f>
        <v>0</v>
      </c>
      <c r="K1620" s="35">
        <f>IFERROR(VLOOKUP(VENTAS[[#This Row],[Código del producto Vendido]],STOCK[],16,FALSE)*VENTAS[[#This Row],[Cantidad]]+VLOOKUP(VENTAS[[#This Row],[Código del producto Vendido]],STOCK[],19,FALSE)*VENTAS[[#This Row],[Cantidad]],VENTAS[[#This Row],[Total]])</f>
        <v>16</v>
      </c>
      <c r="L1620" s="35">
        <f>VENTAS[[#This Row],[Total]]-VENTAS[[#This Row],[Comisión 10%]]-VENTAS[[#This Row],[Costo SIN Comision]]</f>
        <v>0</v>
      </c>
      <c r="M1620" s="35"/>
    </row>
    <row r="1621" ht="20" customHeight="1" spans="1:13">
      <c r="A1621" s="29">
        <v>45588</v>
      </c>
      <c r="B1621" s="30"/>
      <c r="C1621" s="30" t="s">
        <v>3736</v>
      </c>
      <c r="D1621" s="30"/>
      <c r="E1621" s="30" t="s">
        <v>3236</v>
      </c>
      <c r="F1621" s="34" t="str">
        <f>IFERROR(VLOOKUP(VENTAS[[#This Row],[Código del producto Vendido]],STOCK[],5,FALSE),"-")</f>
        <v>Jogger negro de estilo cargo Marca H&amp;M</v>
      </c>
      <c r="G1621" s="34">
        <v>1</v>
      </c>
      <c r="H1621" s="35">
        <v>12</v>
      </c>
      <c r="I1621" s="35">
        <f>VENTAS[[#This Row],[Cantidad]]*VENTAS[[#This Row],[Precio Venta]]</f>
        <v>12</v>
      </c>
      <c r="J1621" s="35">
        <f>IF(VENTAS[[#This Row],[Nombre del Gestor]]&gt;1,VENTAS[[#This Row],[Total]]*10%,0)</f>
        <v>0</v>
      </c>
      <c r="K1621" s="35">
        <f>IFERROR(VLOOKUP(VENTAS[[#This Row],[Código del producto Vendido]],STOCK[],16,FALSE)*VENTAS[[#This Row],[Cantidad]]+VLOOKUP(VENTAS[[#This Row],[Código del producto Vendido]],STOCK[],19,FALSE)*VENTAS[[#This Row],[Cantidad]],VENTAS[[#This Row],[Total]])</f>
        <v>12</v>
      </c>
      <c r="L1621" s="35">
        <f>VENTAS[[#This Row],[Total]]-VENTAS[[#This Row],[Comisión 10%]]-VENTAS[[#This Row],[Costo SIN Comision]]</f>
        <v>0</v>
      </c>
      <c r="M1621" s="35"/>
    </row>
    <row r="1622" ht="20" customHeight="1" spans="1:13">
      <c r="A1622" s="29">
        <v>45588</v>
      </c>
      <c r="B1622" s="30"/>
      <c r="C1622" s="30"/>
      <c r="D1622" s="30" t="s">
        <v>3503</v>
      </c>
      <c r="E1622" s="30" t="s">
        <v>3247</v>
      </c>
      <c r="F1622" s="34" t="str">
        <f>IFERROR(VLOOKUP(VENTAS[[#This Row],[Código del producto Vendido]],STOCK[],5,FALSE),"-")</f>
        <v>Jogger gris jaspeado con bolsillos discretos Marca H&amp;M</v>
      </c>
      <c r="G1622" s="34">
        <v>1</v>
      </c>
      <c r="H1622" s="35">
        <v>12</v>
      </c>
      <c r="I1622" s="35">
        <f>VENTAS[[#This Row],[Cantidad]]*VENTAS[[#This Row],[Precio Venta]]</f>
        <v>12</v>
      </c>
      <c r="J1622" s="35">
        <f>IF(VENTAS[[#This Row],[Nombre del Gestor]]&gt;1,VENTAS[[#This Row],[Total]]*10%,0)</f>
        <v>1.2</v>
      </c>
      <c r="K1622" s="35">
        <f>IFERROR(VLOOKUP(VENTAS[[#This Row],[Código del producto Vendido]],STOCK[],16,FALSE)*VENTAS[[#This Row],[Cantidad]]+VLOOKUP(VENTAS[[#This Row],[Código del producto Vendido]],STOCK[],19,FALSE)*VENTAS[[#This Row],[Cantidad]],VENTAS[[#This Row],[Total]])</f>
        <v>12</v>
      </c>
      <c r="L1622" s="35">
        <f>VENTAS[[#This Row],[Total]]-VENTAS[[#This Row],[Comisión 10%]]-VENTAS[[#This Row],[Costo SIN Comision]]</f>
        <v>-1.2</v>
      </c>
      <c r="M1622" s="35"/>
    </row>
    <row r="1623" ht="20" customHeight="1" spans="1:13">
      <c r="A1623" s="29">
        <v>45588</v>
      </c>
      <c r="B1623" s="30"/>
      <c r="C1623" s="30" t="s">
        <v>3737</v>
      </c>
      <c r="D1623" s="30"/>
      <c r="E1623" s="30" t="s">
        <v>3248</v>
      </c>
      <c r="F1623" s="34" t="str">
        <f>IFERROR(VLOOKUP(VENTAS[[#This Row],[Código del producto Vendido]],STOCK[],5,FALSE),"-")</f>
        <v>Ajustadores Bralette de encaje Blanco Marca H&amp;M</v>
      </c>
      <c r="G1623" s="34">
        <v>1</v>
      </c>
      <c r="H1623" s="35">
        <v>3</v>
      </c>
      <c r="I1623" s="35">
        <f>VENTAS[[#This Row],[Cantidad]]*VENTAS[[#This Row],[Precio Venta]]</f>
        <v>3</v>
      </c>
      <c r="J1623" s="35">
        <f>IF(VENTAS[[#This Row],[Nombre del Gestor]]&gt;1,VENTAS[[#This Row],[Total]]*10%,0)</f>
        <v>0</v>
      </c>
      <c r="K1623" s="35">
        <f>IFERROR(VLOOKUP(VENTAS[[#This Row],[Código del producto Vendido]],STOCK[],16,FALSE)*VENTAS[[#This Row],[Cantidad]]+VLOOKUP(VENTAS[[#This Row],[Código del producto Vendido]],STOCK[],19,FALSE)*VENTAS[[#This Row],[Cantidad]],VENTAS[[#This Row],[Total]])</f>
        <v>3</v>
      </c>
      <c r="L1623" s="35">
        <f>VENTAS[[#This Row],[Total]]-VENTAS[[#This Row],[Comisión 10%]]-VENTAS[[#This Row],[Costo SIN Comision]]</f>
        <v>0</v>
      </c>
      <c r="M1623" s="35"/>
    </row>
    <row r="1624" ht="20" customHeight="1" spans="1:13">
      <c r="A1624" s="29">
        <v>45588</v>
      </c>
      <c r="B1624" s="30"/>
      <c r="C1624" s="30" t="s">
        <v>3738</v>
      </c>
      <c r="D1624" s="30"/>
      <c r="E1624" s="30" t="s">
        <v>3251</v>
      </c>
      <c r="F1624" s="34" t="str">
        <f>IFERROR(VLOOKUP(VENTAS[[#This Row],[Código del producto Vendido]],STOCK[],5,FALSE),"-")</f>
        <v>Ajustadores Bralette de encaje Negro Marca H&amp;M</v>
      </c>
      <c r="G1624" s="34">
        <v>1</v>
      </c>
      <c r="H1624" s="35">
        <v>3</v>
      </c>
      <c r="I1624" s="35">
        <f>VENTAS[[#This Row],[Cantidad]]*VENTAS[[#This Row],[Precio Venta]]</f>
        <v>3</v>
      </c>
      <c r="J1624" s="35">
        <f>IF(VENTAS[[#This Row],[Nombre del Gestor]]&gt;1,VENTAS[[#This Row],[Total]]*10%,0)</f>
        <v>0</v>
      </c>
      <c r="K1624" s="35">
        <f>IFERROR(VLOOKUP(VENTAS[[#This Row],[Código del producto Vendido]],STOCK[],16,FALSE)*VENTAS[[#This Row],[Cantidad]]+VLOOKUP(VENTAS[[#This Row],[Código del producto Vendido]],STOCK[],19,FALSE)*VENTAS[[#This Row],[Cantidad]],VENTAS[[#This Row],[Total]])</f>
        <v>3</v>
      </c>
      <c r="L1624" s="35">
        <f>VENTAS[[#This Row],[Total]]-VENTAS[[#This Row],[Comisión 10%]]-VENTAS[[#This Row],[Costo SIN Comision]]</f>
        <v>0</v>
      </c>
      <c r="M1624" s="35"/>
    </row>
    <row r="1625" ht="20" customHeight="1" spans="1:13">
      <c r="A1625" s="29">
        <v>45588</v>
      </c>
      <c r="B1625" s="30"/>
      <c r="C1625" s="30" t="s">
        <v>3739</v>
      </c>
      <c r="D1625" s="30"/>
      <c r="E1625" s="30" t="s">
        <v>3258</v>
      </c>
      <c r="F1625" s="34" t="str">
        <f>IFERROR(VLOOKUP(VENTAS[[#This Row],[Código del producto Vendido]],STOCK[],5,FALSE),"-")</f>
        <v>Calcetines bajos de algodón color beich</v>
      </c>
      <c r="G1625" s="34">
        <v>2</v>
      </c>
      <c r="H1625" s="35">
        <v>0.86</v>
      </c>
      <c r="I1625" s="35">
        <f>VENTAS[[#This Row],[Cantidad]]*VENTAS[[#This Row],[Precio Venta]]</f>
        <v>1.72</v>
      </c>
      <c r="J1625" s="35">
        <f>IF(VENTAS[[#This Row],[Nombre del Gestor]]&gt;1,VENTAS[[#This Row],[Total]]*10%,0)</f>
        <v>0</v>
      </c>
      <c r="K1625" s="35">
        <f>IFERROR(VLOOKUP(VENTAS[[#This Row],[Código del producto Vendido]],STOCK[],16,FALSE)*VENTAS[[#This Row],[Cantidad]]+VLOOKUP(VENTAS[[#This Row],[Código del producto Vendido]],STOCK[],19,FALSE)*VENTAS[[#This Row],[Cantidad]],VENTAS[[#This Row],[Total]])</f>
        <v>1.72</v>
      </c>
      <c r="L1625" s="35">
        <f>VENTAS[[#This Row],[Total]]-VENTAS[[#This Row],[Comisión 10%]]-VENTAS[[#This Row],[Costo SIN Comision]]</f>
        <v>0</v>
      </c>
      <c r="M1625" s="35"/>
    </row>
    <row r="1626" ht="20" customHeight="1" spans="1:13">
      <c r="A1626" s="29">
        <v>45588</v>
      </c>
      <c r="B1626" s="30"/>
      <c r="C1626" s="30" t="s">
        <v>3740</v>
      </c>
      <c r="D1626" s="30"/>
      <c r="E1626" s="30" t="s">
        <v>3261</v>
      </c>
      <c r="F1626" s="34" t="str">
        <f>IFERROR(VLOOKUP(VENTAS[[#This Row],[Código del producto Vendido]],STOCK[],5,FALSE),"-")</f>
        <v>Calcetines bajos de algodón color blanco</v>
      </c>
      <c r="G1626" s="34">
        <v>1</v>
      </c>
      <c r="H1626" s="35">
        <v>0.86</v>
      </c>
      <c r="I1626" s="35">
        <f>VENTAS[[#This Row],[Cantidad]]*VENTAS[[#This Row],[Precio Venta]]</f>
        <v>0.86</v>
      </c>
      <c r="J1626" s="35">
        <f>IF(VENTAS[[#This Row],[Nombre del Gestor]]&gt;1,VENTAS[[#This Row],[Total]]*10%,0)</f>
        <v>0</v>
      </c>
      <c r="K1626" s="35">
        <f>IFERROR(VLOOKUP(VENTAS[[#This Row],[Código del producto Vendido]],STOCK[],16,FALSE)*VENTAS[[#This Row],[Cantidad]]+VLOOKUP(VENTAS[[#This Row],[Código del producto Vendido]],STOCK[],19,FALSE)*VENTAS[[#This Row],[Cantidad]],VENTAS[[#This Row],[Total]])</f>
        <v>0.86</v>
      </c>
      <c r="L1626" s="35">
        <f>VENTAS[[#This Row],[Total]]-VENTAS[[#This Row],[Comisión 10%]]-VENTAS[[#This Row],[Costo SIN Comision]]</f>
        <v>0</v>
      </c>
      <c r="M1626" s="35"/>
    </row>
    <row r="1627" ht="20" customHeight="1" spans="1:13">
      <c r="A1627" s="29">
        <v>45588</v>
      </c>
      <c r="B1627" s="30"/>
      <c r="C1627" s="30" t="s">
        <v>3741</v>
      </c>
      <c r="D1627" s="30"/>
      <c r="E1627" s="30" t="s">
        <v>3063</v>
      </c>
      <c r="F1627" s="34" t="str">
        <f>IFERROR(VLOOKUP(VENTAS[[#This Row],[Código del producto Vendido]],STOCK[],5,FALSE),"-")</f>
        <v>Pullover Gris Oscuro jaspeado de algodón Marca H&amp;M</v>
      </c>
      <c r="G1627" s="34">
        <v>1</v>
      </c>
      <c r="H1627" s="35">
        <v>10</v>
      </c>
      <c r="I1627" s="35">
        <f>VENTAS[[#This Row],[Cantidad]]*VENTAS[[#This Row],[Precio Venta]]</f>
        <v>10</v>
      </c>
      <c r="J1627" s="35">
        <f>IF(VENTAS[[#This Row],[Nombre del Gestor]]&gt;1,VENTAS[[#This Row],[Total]]*10%,0)</f>
        <v>0</v>
      </c>
      <c r="K1627" s="35">
        <f>IFERROR(VLOOKUP(VENTAS[[#This Row],[Código del producto Vendido]],STOCK[],16,FALSE)*VENTAS[[#This Row],[Cantidad]]+VLOOKUP(VENTAS[[#This Row],[Código del producto Vendido]],STOCK[],19,FALSE)*VENTAS[[#This Row],[Cantidad]],VENTAS[[#This Row],[Total]])</f>
        <v>10</v>
      </c>
      <c r="L1627" s="35">
        <f>VENTAS[[#This Row],[Total]]-VENTAS[[#This Row],[Comisión 10%]]-VENTAS[[#This Row],[Costo SIN Comision]]</f>
        <v>0</v>
      </c>
      <c r="M1627" s="35"/>
    </row>
    <row r="1628" ht="20" customHeight="1" spans="1:13">
      <c r="A1628" s="29">
        <v>45588</v>
      </c>
      <c r="B1628" s="30"/>
      <c r="C1628" s="30"/>
      <c r="D1628" s="30"/>
      <c r="E1628" s="30" t="s">
        <v>2828</v>
      </c>
      <c r="F1628" s="34" t="str">
        <f>IFERROR(VLOOKUP(VENTAS[[#This Row],[Código del producto Vendido]],STOCK[],5,FALSE),"-")</f>
        <v>Traje de baño en bloque de color </v>
      </c>
      <c r="G1628" s="34">
        <v>1</v>
      </c>
      <c r="H1628" s="35">
        <v>25</v>
      </c>
      <c r="I1628" s="35"/>
      <c r="J1628" s="35"/>
      <c r="K1628" s="35"/>
      <c r="L1628" s="35"/>
      <c r="M1628" s="35"/>
    </row>
    <row r="1629" ht="20" customHeight="1" spans="1:13">
      <c r="A1629" s="29"/>
      <c r="B1629" s="30"/>
      <c r="C1629" s="30"/>
      <c r="D1629" s="30" t="s">
        <v>3640</v>
      </c>
      <c r="E1629" s="30" t="s">
        <v>2822</v>
      </c>
      <c r="F1629" s="34" t="str">
        <f>IFERROR(VLOOKUP(VENTAS[[#This Row],[Código del producto Vendido]],STOCK[],5,FALSE),"-")</f>
        <v>Bolso tejido redondo de gran capacidad Beis</v>
      </c>
      <c r="G1629" s="34">
        <v>1</v>
      </c>
      <c r="H1629" s="35"/>
      <c r="I1629" s="35"/>
      <c r="J1629" s="35"/>
      <c r="K1629" s="35"/>
      <c r="L1629" s="35"/>
      <c r="M1629" s="35"/>
    </row>
    <row r="1630" ht="20" customHeight="1" spans="1:13">
      <c r="A1630" s="29"/>
      <c r="B1630" s="30"/>
      <c r="C1630" s="30"/>
      <c r="D1630" s="30" t="s">
        <v>3640</v>
      </c>
      <c r="E1630" s="30" t="s">
        <v>2810</v>
      </c>
      <c r="F1630" s="34" t="str">
        <f>IFERROR(VLOOKUP(VENTAS[[#This Row],[Código del producto Vendido]],STOCK[],5,FALSE),"-")</f>
        <v>Bolso elegante de estilo sillín</v>
      </c>
      <c r="G1630" s="34">
        <v>1</v>
      </c>
      <c r="H1630" s="35"/>
      <c r="I1630" s="35"/>
      <c r="J1630" s="35"/>
      <c r="K1630" s="35"/>
      <c r="L1630" s="35"/>
      <c r="M1630" s="35"/>
    </row>
    <row r="1631" ht="20" customHeight="1" spans="1:13">
      <c r="A1631" s="29"/>
      <c r="B1631" s="30"/>
      <c r="C1631" s="30"/>
      <c r="D1631" s="30" t="s">
        <v>3509</v>
      </c>
      <c r="E1631" s="30" t="s">
        <v>2773</v>
      </c>
      <c r="F1631" s="34" t="str">
        <f>IFERROR(VLOOKUP(VENTAS[[#This Row],[Código del producto Vendido]],STOCK[],5,FALSE),"-")</f>
        <v>Sandalias espadriles de saco nude atada al tobillo</v>
      </c>
      <c r="G1631" s="34">
        <v>1</v>
      </c>
      <c r="H1631" s="35"/>
      <c r="I1631" s="35"/>
      <c r="J1631" s="35"/>
      <c r="K1631" s="35"/>
      <c r="L1631" s="35"/>
      <c r="M1631" s="35"/>
    </row>
    <row r="1632" ht="20" customHeight="1" spans="1:13">
      <c r="A1632" s="29"/>
      <c r="B1632" s="30"/>
      <c r="C1632" s="30" t="s">
        <v>3535</v>
      </c>
      <c r="D1632" s="30"/>
      <c r="E1632" s="30"/>
      <c r="F1632" s="34" t="str">
        <f>IFERROR(VLOOKUP(VENTAS[[#This Row],[Código del producto Vendido]],STOCK[],5,FALSE),"-")</f>
        <v>-</v>
      </c>
      <c r="G1632" s="34"/>
      <c r="H1632" s="35"/>
      <c r="I1632" s="35"/>
      <c r="J1632" s="35"/>
      <c r="K1632" s="35"/>
      <c r="L1632" s="35"/>
      <c r="M1632" s="35"/>
    </row>
    <row r="1633" ht="20" customHeight="1" spans="1:13">
      <c r="A1633" s="29"/>
      <c r="B1633" s="30"/>
      <c r="C1633" s="30"/>
      <c r="D1633" s="30"/>
      <c r="E1633" s="30" t="s">
        <v>2822</v>
      </c>
      <c r="F1633" s="34" t="str">
        <f>IFERROR(VLOOKUP(VENTAS[[#This Row],[Código del producto Vendido]],STOCK[],5,FALSE),"-")</f>
        <v>Bolso tejido redondo de gran capacidad Beis</v>
      </c>
      <c r="G1633" s="34">
        <v>1</v>
      </c>
      <c r="H1633" s="35"/>
      <c r="I1633" s="35"/>
      <c r="J1633" s="35"/>
      <c r="K1633" s="35"/>
      <c r="L1633" s="35"/>
      <c r="M1633" s="35"/>
    </row>
    <row r="1634" ht="20" customHeight="1" spans="1:13">
      <c r="A1634" s="29"/>
      <c r="B1634" s="30"/>
      <c r="C1634" s="30"/>
      <c r="D1634" s="30"/>
      <c r="E1634" s="30"/>
      <c r="F1634" s="34" t="str">
        <f>IFERROR(VLOOKUP(VENTAS[[#This Row],[Código del producto Vendido]],STOCK[],5,FALSE),"-")</f>
        <v>-</v>
      </c>
      <c r="G1634" s="34"/>
      <c r="H1634" s="35"/>
      <c r="I1634" s="35"/>
      <c r="J1634" s="35"/>
      <c r="K1634" s="35"/>
      <c r="L1634" s="35"/>
      <c r="M1634" s="35"/>
    </row>
    <row r="1635" ht="20" customHeight="1" spans="1:13">
      <c r="A1635" s="29"/>
      <c r="B1635" s="30"/>
      <c r="C1635" s="30"/>
      <c r="D1635" s="30"/>
      <c r="E1635" s="30"/>
      <c r="F1635" s="34" t="str">
        <f>IFERROR(VLOOKUP(VENTAS[[#This Row],[Código del producto Vendido]],STOCK[],5,FALSE),"-")</f>
        <v>-</v>
      </c>
      <c r="G1635" s="34"/>
      <c r="H1635" s="35"/>
      <c r="I1635" s="35"/>
      <c r="J1635" s="35"/>
      <c r="K1635" s="35"/>
      <c r="L1635" s="35"/>
      <c r="M1635" s="35"/>
    </row>
    <row r="1636" ht="20" customHeight="1" spans="1:13">
      <c r="A1636" s="29"/>
      <c r="B1636" s="30"/>
      <c r="C1636" s="30"/>
      <c r="D1636" s="30"/>
      <c r="E1636" s="30"/>
      <c r="F1636" s="34" t="str">
        <f>IFERROR(VLOOKUP(VENTAS[[#This Row],[Código del producto Vendido]],STOCK[],5,FALSE),"-")</f>
        <v>-</v>
      </c>
      <c r="G1636" s="34"/>
      <c r="H1636" s="35"/>
      <c r="I1636" s="35"/>
      <c r="J1636" s="35"/>
      <c r="K1636" s="35"/>
      <c r="L1636" s="35"/>
      <c r="M1636" s="35"/>
    </row>
    <row r="1637" ht="20" customHeight="1" spans="1:13">
      <c r="A1637" s="29"/>
      <c r="B1637" s="30"/>
      <c r="C1637" s="30"/>
      <c r="D1637" s="30"/>
      <c r="E1637" s="30"/>
      <c r="F1637" s="34" t="str">
        <f>IFERROR(VLOOKUP(VENTAS[[#This Row],[Código del producto Vendido]],STOCK[],5,FALSE),"-")</f>
        <v>-</v>
      </c>
      <c r="G1637" s="34"/>
      <c r="H1637" s="35"/>
      <c r="I1637" s="35"/>
      <c r="J1637" s="35"/>
      <c r="K1637" s="35"/>
      <c r="L1637" s="35"/>
      <c r="M1637" s="35"/>
    </row>
    <row r="1638" ht="20" customHeight="1" spans="1:13">
      <c r="A1638" s="29"/>
      <c r="B1638" s="30"/>
      <c r="C1638" s="30"/>
      <c r="D1638" s="30"/>
      <c r="E1638" s="30"/>
      <c r="F1638" s="34" t="str">
        <f>IFERROR(VLOOKUP(VENTAS[[#This Row],[Código del producto Vendido]],STOCK[],5,FALSE),"-")</f>
        <v>-</v>
      </c>
      <c r="G1638" s="34"/>
      <c r="H1638" s="35"/>
      <c r="I1638" s="35"/>
      <c r="J1638" s="35"/>
      <c r="K1638" s="35"/>
      <c r="L1638" s="35"/>
      <c r="M1638" s="35"/>
    </row>
    <row r="1639" ht="20" customHeight="1" spans="1:13">
      <c r="A1639" s="29"/>
      <c r="B1639" s="30"/>
      <c r="C1639" s="30"/>
      <c r="D1639" s="30"/>
      <c r="E1639" s="30"/>
      <c r="F1639" s="34" t="str">
        <f>IFERROR(VLOOKUP(VENTAS[[#This Row],[Código del producto Vendido]],STOCK[],5,FALSE),"-")</f>
        <v>-</v>
      </c>
      <c r="G1639" s="34"/>
      <c r="H1639" s="35"/>
      <c r="I1639" s="35"/>
      <c r="J1639" s="35"/>
      <c r="K1639" s="35"/>
      <c r="L1639" s="35"/>
      <c r="M1639" s="35"/>
    </row>
    <row r="1640" ht="20" customHeight="1" spans="1:13">
      <c r="A1640" s="29"/>
      <c r="B1640" s="30"/>
      <c r="C1640" s="30"/>
      <c r="D1640" s="30"/>
      <c r="E1640" s="30"/>
      <c r="F1640" s="34" t="str">
        <f>IFERROR(VLOOKUP(VENTAS[[#This Row],[Código del producto Vendido]],STOCK[],5,FALSE),"-")</f>
        <v>-</v>
      </c>
      <c r="G1640" s="34"/>
      <c r="H1640" s="35"/>
      <c r="I1640" s="35"/>
      <c r="J1640" s="35"/>
      <c r="K1640" s="35"/>
      <c r="L1640" s="35"/>
      <c r="M1640" s="35"/>
    </row>
    <row r="1641" ht="20" customHeight="1" spans="1:13">
      <c r="A1641" s="29"/>
      <c r="B1641" s="30"/>
      <c r="C1641" s="30"/>
      <c r="D1641" s="30"/>
      <c r="E1641" s="30"/>
      <c r="F1641" s="34" t="str">
        <f>IFERROR(VLOOKUP(VENTAS[[#This Row],[Código del producto Vendido]],STOCK[],5,FALSE),"-")</f>
        <v>-</v>
      </c>
      <c r="G1641" s="34"/>
      <c r="H1641" s="35"/>
      <c r="I1641" s="35"/>
      <c r="J1641" s="35"/>
      <c r="K1641" s="35"/>
      <c r="L1641" s="35"/>
      <c r="M1641" s="35"/>
    </row>
    <row r="1642" ht="20" customHeight="1" spans="1:13">
      <c r="A1642" s="29"/>
      <c r="B1642" s="30"/>
      <c r="C1642" s="30"/>
      <c r="D1642" s="30"/>
      <c r="E1642" s="30"/>
      <c r="F1642" s="34"/>
      <c r="G1642" s="34"/>
      <c r="H1642" s="35"/>
      <c r="I1642" s="35"/>
      <c r="J1642" s="35"/>
      <c r="K1642" s="35"/>
      <c r="L1642" s="35"/>
      <c r="M1642" s="35"/>
    </row>
    <row r="1643" ht="20" customHeight="1" spans="1:13">
      <c r="A1643" s="29"/>
      <c r="B1643" s="30"/>
      <c r="C1643" s="30"/>
      <c r="D1643" s="30"/>
      <c r="E1643" s="30"/>
      <c r="F1643" s="34"/>
      <c r="G1643" s="34"/>
      <c r="H1643" s="35"/>
      <c r="I1643" s="35"/>
      <c r="J1643" s="35"/>
      <c r="K1643" s="35"/>
      <c r="L1643" s="35"/>
      <c r="M1643" s="35"/>
    </row>
    <row r="1644" ht="20" customHeight="1" spans="1:13">
      <c r="A1644" s="29"/>
      <c r="B1644" s="30"/>
      <c r="C1644" s="30"/>
      <c r="D1644" s="30"/>
      <c r="E1644" s="30"/>
      <c r="F1644" s="34"/>
      <c r="G1644" s="34"/>
      <c r="H1644" s="35"/>
      <c r="I1644" s="35"/>
      <c r="J1644" s="35"/>
      <c r="K1644" s="35"/>
      <c r="L1644" s="35"/>
      <c r="M1644" s="35"/>
    </row>
    <row r="1645" ht="20" customHeight="1" spans="1:13">
      <c r="A1645" s="29"/>
      <c r="B1645" s="30"/>
      <c r="C1645" s="30"/>
      <c r="D1645" s="30"/>
      <c r="E1645" s="30"/>
      <c r="F1645" s="34"/>
      <c r="G1645" s="34"/>
      <c r="H1645" s="35"/>
      <c r="I1645" s="35"/>
      <c r="J1645" s="35"/>
      <c r="K1645" s="35"/>
      <c r="L1645" s="35"/>
      <c r="M1645" s="35"/>
    </row>
    <row r="1646" ht="20" customHeight="1" spans="1:13">
      <c r="A1646" s="29"/>
      <c r="B1646" s="30"/>
      <c r="C1646" s="30"/>
      <c r="D1646" s="30"/>
      <c r="E1646" s="30"/>
      <c r="F1646" s="34"/>
      <c r="G1646" s="34"/>
      <c r="H1646" s="35"/>
      <c r="I1646" s="35"/>
      <c r="J1646" s="35"/>
      <c r="K1646" s="35"/>
      <c r="L1646" s="35"/>
      <c r="M1646" s="35"/>
    </row>
    <row r="1647" ht="20" customHeight="1" spans="1:13">
      <c r="A1647" s="29"/>
      <c r="B1647" s="30"/>
      <c r="C1647" s="30"/>
      <c r="D1647" s="30"/>
      <c r="E1647" s="30"/>
      <c r="F1647" s="34"/>
      <c r="G1647" s="34"/>
      <c r="H1647" s="35"/>
      <c r="I1647" s="35"/>
      <c r="J1647" s="35"/>
      <c r="K1647" s="35"/>
      <c r="L1647" s="35"/>
      <c r="M1647" s="35"/>
    </row>
    <row r="1648" ht="20" customHeight="1" spans="1:13">
      <c r="A1648" s="29"/>
      <c r="B1648" s="30"/>
      <c r="C1648" s="30"/>
      <c r="D1648" s="30"/>
      <c r="E1648" s="30"/>
      <c r="F1648" s="34"/>
      <c r="G1648" s="34"/>
      <c r="H1648" s="35"/>
      <c r="I1648" s="35"/>
      <c r="J1648" s="35"/>
      <c r="K1648" s="35"/>
      <c r="L1648" s="35"/>
      <c r="M1648" s="35"/>
    </row>
    <row r="1649" ht="20" customHeight="1" spans="1:13">
      <c r="A1649" s="29"/>
      <c r="B1649" s="30"/>
      <c r="C1649" s="30"/>
      <c r="D1649" s="30"/>
      <c r="E1649" s="30"/>
      <c r="F1649" s="34"/>
      <c r="G1649" s="34"/>
      <c r="H1649" s="35"/>
      <c r="I1649" s="35"/>
      <c r="J1649" s="35"/>
      <c r="K1649" s="35"/>
      <c r="L1649" s="35"/>
      <c r="M1649" s="35"/>
    </row>
    <row r="1650" ht="20" customHeight="1" spans="1:13">
      <c r="A1650" s="29"/>
      <c r="B1650" s="30"/>
      <c r="C1650" s="30"/>
      <c r="D1650" s="30"/>
      <c r="E1650" s="30"/>
      <c r="F1650" s="34"/>
      <c r="G1650" s="34"/>
      <c r="H1650" s="35"/>
      <c r="I1650" s="35"/>
      <c r="J1650" s="35"/>
      <c r="K1650" s="35"/>
      <c r="L1650" s="35"/>
      <c r="M1650" s="35"/>
    </row>
    <row r="1651" ht="20" customHeight="1" spans="1:13">
      <c r="A1651" s="29"/>
      <c r="B1651" s="30"/>
      <c r="C1651" s="30"/>
      <c r="D1651" s="30"/>
      <c r="E1651" s="30"/>
      <c r="F1651" s="34"/>
      <c r="G1651" s="34"/>
      <c r="H1651" s="35"/>
      <c r="I1651" s="35"/>
      <c r="J1651" s="35"/>
      <c r="K1651" s="35"/>
      <c r="L1651" s="35"/>
      <c r="M1651" s="35"/>
    </row>
    <row r="1652" ht="20" customHeight="1" spans="1:13">
      <c r="A1652" s="29"/>
      <c r="B1652" s="30"/>
      <c r="C1652" s="30"/>
      <c r="D1652" s="30"/>
      <c r="E1652" s="30"/>
      <c r="F1652" s="34"/>
      <c r="G1652" s="34"/>
      <c r="H1652" s="35"/>
      <c r="I1652" s="35"/>
      <c r="J1652" s="35"/>
      <c r="K1652" s="35"/>
      <c r="L1652" s="35"/>
      <c r="M1652" s="35"/>
    </row>
    <row r="1653" ht="20" customHeight="1" spans="1:13">
      <c r="A1653" s="29"/>
      <c r="B1653" s="30"/>
      <c r="C1653" s="30"/>
      <c r="D1653" s="30"/>
      <c r="E1653" s="30"/>
      <c r="F1653" s="34"/>
      <c r="G1653" s="34"/>
      <c r="H1653" s="35"/>
      <c r="I1653" s="35"/>
      <c r="J1653" s="35"/>
      <c r="K1653" s="35"/>
      <c r="L1653" s="35"/>
      <c r="M1653" s="35"/>
    </row>
    <row r="1654" ht="20" customHeight="1" spans="1:13">
      <c r="A1654" s="29"/>
      <c r="B1654" s="30"/>
      <c r="C1654" s="30"/>
      <c r="D1654" s="30"/>
      <c r="E1654" s="30"/>
      <c r="F1654" s="34"/>
      <c r="G1654" s="34"/>
      <c r="H1654" s="35"/>
      <c r="I1654" s="35"/>
      <c r="J1654" s="35"/>
      <c r="K1654" s="35"/>
      <c r="L1654" s="35"/>
      <c r="M1654" s="35"/>
    </row>
    <row r="1655" ht="20" customHeight="1" spans="1:13">
      <c r="A1655" s="29"/>
      <c r="B1655" s="30"/>
      <c r="C1655" s="30"/>
      <c r="D1655" s="30"/>
      <c r="E1655" s="30"/>
      <c r="F1655" s="34"/>
      <c r="G1655" s="34"/>
      <c r="H1655" s="35"/>
      <c r="I1655" s="35"/>
      <c r="J1655" s="35"/>
      <c r="K1655" s="35"/>
      <c r="L1655" s="35"/>
      <c r="M1655" s="35"/>
    </row>
    <row r="1656" ht="20" customHeight="1" spans="1:13">
      <c r="A1656" s="29"/>
      <c r="B1656" s="30"/>
      <c r="C1656" s="30"/>
      <c r="D1656" s="30"/>
      <c r="E1656" s="30"/>
      <c r="F1656" s="34"/>
      <c r="G1656" s="34"/>
      <c r="H1656" s="35"/>
      <c r="I1656" s="35"/>
      <c r="J1656" s="35"/>
      <c r="K1656" s="35"/>
      <c r="L1656" s="35"/>
      <c r="M1656" s="35"/>
    </row>
    <row r="1657" ht="20" customHeight="1" spans="1:13">
      <c r="A1657" s="29"/>
      <c r="B1657" s="30"/>
      <c r="C1657" s="30"/>
      <c r="D1657" s="30"/>
      <c r="E1657" s="30"/>
      <c r="F1657" s="34"/>
      <c r="G1657" s="34"/>
      <c r="H1657" s="35"/>
      <c r="I1657" s="35"/>
      <c r="J1657" s="35"/>
      <c r="K1657" s="35"/>
      <c r="L1657" s="35"/>
      <c r="M1657" s="35"/>
    </row>
    <row r="1658" ht="20" customHeight="1" spans="1:13">
      <c r="A1658" s="29"/>
      <c r="B1658" s="30"/>
      <c r="C1658" s="30"/>
      <c r="D1658" s="30"/>
      <c r="E1658" s="30"/>
      <c r="F1658" s="34"/>
      <c r="G1658" s="34"/>
      <c r="H1658" s="35"/>
      <c r="I1658" s="35"/>
      <c r="J1658" s="35"/>
      <c r="K1658" s="35"/>
      <c r="L1658" s="35"/>
      <c r="M1658" s="35"/>
    </row>
    <row r="1659" ht="20" customHeight="1" spans="1:13">
      <c r="A1659" s="29"/>
      <c r="B1659" s="30"/>
      <c r="C1659" s="30"/>
      <c r="D1659" s="30"/>
      <c r="E1659" s="30"/>
      <c r="F1659" s="34"/>
      <c r="G1659" s="34"/>
      <c r="H1659" s="35"/>
      <c r="I1659" s="35"/>
      <c r="J1659" s="35"/>
      <c r="K1659" s="35"/>
      <c r="L1659" s="35"/>
      <c r="M1659" s="35"/>
    </row>
    <row r="1660" ht="20" customHeight="1" spans="1:13">
      <c r="A1660" s="29"/>
      <c r="B1660" s="30"/>
      <c r="C1660" s="30"/>
      <c r="D1660" s="30"/>
      <c r="E1660" s="30"/>
      <c r="F1660" s="34"/>
      <c r="G1660" s="34"/>
      <c r="H1660" s="35"/>
      <c r="I1660" s="35"/>
      <c r="J1660" s="35"/>
      <c r="K1660" s="35"/>
      <c r="L1660" s="35"/>
      <c r="M1660" s="35"/>
    </row>
    <row r="1661" ht="20" customHeight="1" spans="1:13">
      <c r="A1661" s="29"/>
      <c r="B1661" s="30"/>
      <c r="C1661" s="30"/>
      <c r="D1661" s="30"/>
      <c r="E1661" s="30"/>
      <c r="F1661" s="34"/>
      <c r="G1661" s="34"/>
      <c r="H1661" s="35"/>
      <c r="I1661" s="35"/>
      <c r="J1661" s="35"/>
      <c r="K1661" s="35"/>
      <c r="L1661" s="35"/>
      <c r="M1661" s="35"/>
    </row>
    <row r="1662" ht="142" customHeight="1" spans="1:13">
      <c r="A1662" s="69"/>
      <c r="B1662" s="69"/>
      <c r="C1662" s="69"/>
      <c r="D1662" s="70" t="s">
        <v>3742</v>
      </c>
      <c r="E1662" s="71" t="s">
        <v>3278</v>
      </c>
      <c r="F1662" s="72" t="s">
        <v>3743</v>
      </c>
      <c r="G1662" s="71" t="s">
        <v>3278</v>
      </c>
      <c r="H1662" s="71" t="s">
        <v>3278</v>
      </c>
      <c r="I1662" s="73" t="s">
        <v>3279</v>
      </c>
      <c r="J1662" s="73" t="s">
        <v>3279</v>
      </c>
      <c r="K1662" s="73" t="s">
        <v>3279</v>
      </c>
      <c r="L1662" s="73" t="s">
        <v>3279</v>
      </c>
      <c r="M1662" s="74"/>
    </row>
  </sheetData>
  <mergeCells count="2">
    <mergeCell ref="A1:E1"/>
    <mergeCell ref="G1:H1"/>
  </mergeCells>
  <conditionalFormatting sqref="E359">
    <cfRule type="expression" dxfId="29" priority="2433">
      <formula>#REF!=0</formula>
    </cfRule>
    <cfRule type="duplicateValues" dxfId="30" priority="2434"/>
  </conditionalFormatting>
  <conditionalFormatting sqref="E368">
    <cfRule type="expression" dxfId="29" priority="2435">
      <formula>#REF!=0</formula>
    </cfRule>
    <cfRule type="duplicateValues" dxfId="30" priority="2436"/>
  </conditionalFormatting>
  <conditionalFormatting sqref="E445">
    <cfRule type="duplicateValues" dxfId="30" priority="4"/>
  </conditionalFormatting>
  <conditionalFormatting sqref="E520:E531">
    <cfRule type="duplicateValues" dxfId="30" priority="2"/>
  </conditionalFormatting>
  <conditionalFormatting sqref="E445 E520:E531">
    <cfRule type="expression" dxfId="29" priority="2437">
      <formula>#REF!=0</formula>
    </cfRule>
  </conditionalFormatting>
  <dataValidations count="1">
    <dataValidation type="list" allowBlank="1" showInputMessage="1" showErrorMessage="1" sqref="E3:E165 E167:E228 E230:E239">
      <formula1>STOCK!$A$2:$A$1001056</formula1>
    </dataValidation>
  </dataValidations>
  <pageMargins left="0.7" right="0.7" top="0.75" bottom="0.75" header="0.3" footer="0.3"/>
  <headerFooter/>
  <legacyDrawing r:id="rId2"/>
  <tableParts count="1">
    <tablePart r:id="rId3"/>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303"/>
  <sheetViews>
    <sheetView zoomScale="150" zoomScaleNormal="150" topLeftCell="A795" workbookViewId="0">
      <selection activeCell="C105" sqref="C105"/>
    </sheetView>
  </sheetViews>
  <sheetFormatPr defaultColWidth="11" defaultRowHeight="2.4" outlineLevelCol="3"/>
  <cols>
    <col min="1" max="2" width="12" customWidth="1"/>
    <col min="3" max="3" width="52" customWidth="1"/>
  </cols>
  <sheetData>
    <row r="1" s="1" customFormat="1" ht="37" customHeight="1" spans="1:3">
      <c r="A1" s="4" t="s">
        <v>0</v>
      </c>
      <c r="B1" s="4" t="s">
        <v>1</v>
      </c>
      <c r="C1" s="4" t="s">
        <v>3287</v>
      </c>
    </row>
    <row r="2" s="2" customFormat="1" ht="55" customHeight="1" spans="1:4">
      <c r="A2" s="5" t="s">
        <v>29</v>
      </c>
      <c r="B2" s="6"/>
      <c r="C2" s="2" t="str">
        <f>IFERROR(VLOOKUP(VENTAS4[[#This Row],[Code]],STOCK[],5,FALSE),"-")</f>
        <v>Pareo falda </v>
      </c>
      <c r="D2" s="7"/>
    </row>
    <row r="3" s="2" customFormat="1" ht="55" customHeight="1" spans="1:4">
      <c r="A3" s="5" t="s">
        <v>35</v>
      </c>
      <c r="B3" s="6"/>
      <c r="C3" s="2" t="str">
        <f>IFERROR(VLOOKUP(VENTAS4[[#This Row],[Code]],STOCK[],5,FALSE),"-")</f>
        <v>Bikini Floral</v>
      </c>
      <c r="D3" s="7"/>
    </row>
    <row r="4" s="2" customFormat="1" ht="55" customHeight="1" spans="1:4">
      <c r="A4" s="5" t="s">
        <v>39</v>
      </c>
      <c r="B4" s="6"/>
      <c r="C4" s="2" t="str">
        <f>IFERROR(VLOOKUP(VENTAS4[[#This Row],[Code]],STOCK[],5,FALSE),"-")</f>
        <v>Bikini Floral</v>
      </c>
      <c r="D4" s="8"/>
    </row>
    <row r="5" s="2" customFormat="1" ht="55" customHeight="1" spans="1:3">
      <c r="A5" s="5" t="s">
        <v>41</v>
      </c>
      <c r="B5" s="6"/>
      <c r="C5" s="2" t="str">
        <f>IFERROR(VLOOKUP(VENTAS4[[#This Row],[Code]],STOCK[],5,FALSE),"-")</f>
        <v>Vestido camisero elegante</v>
      </c>
    </row>
    <row r="6" s="2" customFormat="1" ht="55" customHeight="1" spans="1:3">
      <c r="A6" s="5" t="s">
        <v>45</v>
      </c>
      <c r="B6" s="6"/>
      <c r="C6" s="2" t="str">
        <f>IFERROR(VLOOKUP(VENTAS4[[#This Row],[Code]],STOCK[],5,FALSE),"-")</f>
        <v>Vestido Camisero Elegante</v>
      </c>
    </row>
    <row r="7" s="2" customFormat="1" ht="55" customHeight="1" spans="1:3">
      <c r="A7" s="5" t="s">
        <v>48</v>
      </c>
      <c r="B7" s="6"/>
      <c r="C7" s="2" t="str">
        <f>IFERROR(VLOOKUP(VENTAS4[[#This Row],[Code]],STOCK[],5,FALSE),"-")</f>
        <v>Vestido Camisero Elegante</v>
      </c>
    </row>
    <row r="8" s="2" customFormat="1" ht="55" customHeight="1" spans="1:3">
      <c r="A8" s="5" t="s">
        <v>49</v>
      </c>
      <c r="B8" s="6"/>
      <c r="C8" s="2" t="str">
        <f>IFERROR(VLOOKUP(VENTAS4[[#This Row],[Code]],STOCK[],5,FALSE),"-")</f>
        <v>Pareo Pantalón</v>
      </c>
    </row>
    <row r="9" s="2" customFormat="1" ht="55" customHeight="1" spans="1:3">
      <c r="A9" s="5" t="s">
        <v>52</v>
      </c>
      <c r="B9" s="6"/>
      <c r="C9" s="2" t="str">
        <f>IFERROR(VLOOKUP(VENTAS4[[#This Row],[Code]],STOCK[],5,FALSE),"-")</f>
        <v>Pareo pantalón</v>
      </c>
    </row>
    <row r="10" s="2" customFormat="1" ht="55" customHeight="1" spans="1:3">
      <c r="A10" s="5" t="s">
        <v>54</v>
      </c>
      <c r="B10" s="6"/>
      <c r="C10" s="2" t="str">
        <f>IFERROR(VLOOKUP(VENTAS4[[#This Row],[Code]],STOCK[],5,FALSE),"-")</f>
        <v>Pareo pantalón en malla</v>
      </c>
    </row>
    <row r="11" s="2" customFormat="1" ht="55" customHeight="1" spans="1:3">
      <c r="A11" s="5" t="s">
        <v>56</v>
      </c>
      <c r="B11" s="6"/>
      <c r="C11" s="2" t="str">
        <f>IFERROR(VLOOKUP(VENTAS4[[#This Row],[Code]],STOCK[],5,FALSE),"-")</f>
        <v>Bañador con cremallera </v>
      </c>
    </row>
    <row r="12" s="2" customFormat="1" ht="55" customHeight="1" spans="1:3">
      <c r="A12" s="5" t="s">
        <v>58</v>
      </c>
      <c r="B12" s="6"/>
      <c r="C12" s="2" t="str">
        <f>IFERROR(VLOOKUP(VENTAS4[[#This Row],[Code]],STOCK[],5,FALSE),"-")</f>
        <v>Bikini Mangas Fuccia</v>
      </c>
    </row>
    <row r="13" s="2" customFormat="1" ht="55" customHeight="1" spans="1:3">
      <c r="A13" s="5" t="s">
        <v>61</v>
      </c>
      <c r="B13" s="6"/>
      <c r="C13" s="2" t="str">
        <f>IFERROR(VLOOKUP(VENTAS4[[#This Row],[Code]],STOCK[],5,FALSE),"-")</f>
        <v>Bikini Mangas Fuccia</v>
      </c>
    </row>
    <row r="14" s="2" customFormat="1" ht="55" customHeight="1" spans="1:3">
      <c r="A14" s="5" t="s">
        <v>62</v>
      </c>
      <c r="B14" s="6"/>
      <c r="C14" s="2" t="str">
        <f>IFERROR(VLOOKUP(VENTAS4[[#This Row],[Code]],STOCK[],5,FALSE),"-")</f>
        <v>Enguatada con protección UV</v>
      </c>
    </row>
    <row r="15" s="2" customFormat="1" ht="55" customHeight="1" spans="1:3">
      <c r="A15" s="5" t="s">
        <v>64</v>
      </c>
      <c r="B15" s="6"/>
      <c r="C15" s="2" t="str">
        <f>IFERROR(VLOOKUP(VENTAS4[[#This Row],[Code]],STOCK[],5,FALSE),"-")</f>
        <v>Bañador Elegante con Lazo</v>
      </c>
    </row>
    <row r="16" s="2" customFormat="1" ht="55" customHeight="1" spans="1:3">
      <c r="A16" s="5" t="s">
        <v>66</v>
      </c>
      <c r="B16" s="6"/>
      <c r="C16" s="2" t="str">
        <f>IFERROR(VLOOKUP(VENTAS4[[#This Row],[Code]],STOCK[],5,FALSE),"-")</f>
        <v>Bikini Elegante con Herrajes</v>
      </c>
    </row>
    <row r="17" s="2" customFormat="1" ht="55" customHeight="1" spans="1:3">
      <c r="A17" s="5" t="s">
        <v>68</v>
      </c>
      <c r="B17" s="6"/>
      <c r="C17" s="2" t="str">
        <f>IFERROR(VLOOKUP(VENTAS4[[#This Row],[Code]],STOCK[],5,FALSE),"-")</f>
        <v>Bikini Elegante con Herrajes</v>
      </c>
    </row>
    <row r="18" s="2" customFormat="1" ht="55" customHeight="1" spans="1:3">
      <c r="A18" s="5" t="s">
        <v>69</v>
      </c>
      <c r="B18" s="6"/>
      <c r="C18" s="2" t="str">
        <f>IFERROR(VLOOKUP(VENTAS4[[#This Row],[Code]],STOCK[],5,FALSE),"-")</f>
        <v>Bañador de una pieza con degradado</v>
      </c>
    </row>
    <row r="19" s="2" customFormat="1" ht="55" customHeight="1" spans="1:3">
      <c r="A19" s="5" t="s">
        <v>71</v>
      </c>
      <c r="B19" s="6"/>
      <c r="C19" s="2" t="str">
        <f>IFERROR(VLOOKUP(VENTAS4[[#This Row],[Code]],STOCK[],5,FALSE),"-")</f>
        <v>Bañador con estampado floral</v>
      </c>
    </row>
    <row r="20" s="2" customFormat="1" ht="55" customHeight="1" spans="1:3">
      <c r="A20" s="5" t="s">
        <v>73</v>
      </c>
      <c r="B20" s="6"/>
      <c r="C20" s="2" t="str">
        <f>IFERROR(VLOOKUP(VENTAS4[[#This Row],[Code]],STOCK[],5,FALSE),"-")</f>
        <v>Bañador floral </v>
      </c>
    </row>
    <row r="21" s="2" customFormat="1" ht="55" customHeight="1" spans="1:3">
      <c r="A21" s="5" t="s">
        <v>75</v>
      </c>
      <c r="B21" s="6"/>
      <c r="C21" s="2" t="str">
        <f>IFERROR(VLOOKUP(VENTAS4[[#This Row],[Code]],STOCK[],5,FALSE),"-")</f>
        <v>Pareo pantalón de malla</v>
      </c>
    </row>
    <row r="22" s="2" customFormat="1" ht="55" customHeight="1" spans="1:3">
      <c r="A22" s="5" t="s">
        <v>3294</v>
      </c>
      <c r="B22" s="6"/>
      <c r="C22" s="2" t="str">
        <f>IFERROR(VLOOKUP(VENTAS4[[#This Row],[Code]],STOCK[],5,FALSE),"-")</f>
        <v>-</v>
      </c>
    </row>
    <row r="23" s="2" customFormat="1" ht="55" customHeight="1" spans="1:3">
      <c r="A23" s="5" t="s">
        <v>77</v>
      </c>
      <c r="B23" s="6"/>
      <c r="C23" s="2" t="str">
        <f>IFERROR(VLOOKUP(VENTAS4[[#This Row],[Code]],STOCK[],5,FALSE),"-")</f>
        <v>Bikini con cordón lateral</v>
      </c>
    </row>
    <row r="24" s="2" customFormat="1" ht="55" customHeight="1" spans="1:3">
      <c r="A24" s="5" t="s">
        <v>79</v>
      </c>
      <c r="B24" s="6"/>
      <c r="C24" s="2" t="str">
        <f>IFERROR(VLOOKUP(VENTAS4[[#This Row],[Code]],STOCK[],5,FALSE),"-")</f>
        <v>Pareo pantalón de malla</v>
      </c>
    </row>
    <row r="25" s="2" customFormat="1" ht="55" customHeight="1" spans="1:3">
      <c r="A25" s="5" t="s">
        <v>82</v>
      </c>
      <c r="B25" s="6"/>
      <c r="C25" s="2" t="str">
        <f>IFERROR(VLOOKUP(VENTAS4[[#This Row],[Code]],STOCK[],5,FALSE),"-")</f>
        <v>Enguatada solera sin parte de abajo</v>
      </c>
    </row>
    <row r="26" s="2" customFormat="1" ht="55" customHeight="1" spans="1:3">
      <c r="A26" s="5" t="s">
        <v>84</v>
      </c>
      <c r="B26" s="6"/>
      <c r="C26" s="2" t="str">
        <f>IFERROR(VLOOKUP(VENTAS4[[#This Row],[Code]],STOCK[],5,FALSE),"-")</f>
        <v>Bikini elegante con herrajes color humo</v>
      </c>
    </row>
    <row r="27" s="2" customFormat="1" ht="55" customHeight="1" spans="1:3">
      <c r="A27" s="5" t="s">
        <v>87</v>
      </c>
      <c r="B27" s="6"/>
      <c r="C27" s="2" t="str">
        <f>IFERROR(VLOOKUP(VENTAS4[[#This Row],[Code]],STOCK[],5,FALSE),"-")</f>
        <v>Bikini Elegante con Herrajes</v>
      </c>
    </row>
    <row r="28" s="2" customFormat="1" ht="55" customHeight="1" spans="1:3">
      <c r="A28" s="5" t="s">
        <v>88</v>
      </c>
      <c r="B28" s="6"/>
      <c r="C28" s="2" t="str">
        <f>IFERROR(VLOOKUP(VENTAS4[[#This Row],[Code]],STOCK[],5,FALSE),"-")</f>
        <v>Bañador con Cremallera</v>
      </c>
    </row>
    <row r="29" s="2" customFormat="1" ht="55" customHeight="1" spans="1:3">
      <c r="A29" s="5" t="s">
        <v>91</v>
      </c>
      <c r="B29" s="6"/>
      <c r="C29" s="2" t="str">
        <f>IFERROR(VLOOKUP(VENTAS4[[#This Row],[Code]],STOCK[],5,FALSE),"-")</f>
        <v>Bañador una pieza de malla en contraste</v>
      </c>
    </row>
    <row r="30" s="2" customFormat="1" ht="55" customHeight="1" spans="1:3">
      <c r="A30" s="5" t="s">
        <v>93</v>
      </c>
      <c r="B30" s="6"/>
      <c r="C30" s="2" t="str">
        <f>IFERROR(VLOOKUP(VENTAS4[[#This Row],[Code]],STOCK[],5,FALSE),"-")</f>
        <v>Sets de Bikini Casual</v>
      </c>
    </row>
    <row r="31" s="2" customFormat="1" ht="55" customHeight="1" spans="1:3">
      <c r="A31" s="5" t="s">
        <v>95</v>
      </c>
      <c r="B31" s="6"/>
      <c r="C31" s="2" t="str">
        <f>IFERROR(VLOOKUP(VENTAS4[[#This Row],[Code]],STOCK[],5,FALSE),"-")</f>
        <v>Bañador estampado de planta </v>
      </c>
    </row>
    <row r="32" s="2" customFormat="1" ht="55" customHeight="1" spans="1:3">
      <c r="A32" s="5" t="s">
        <v>97</v>
      </c>
      <c r="B32" s="6"/>
      <c r="C32" s="2" t="str">
        <f>IFERROR(VLOOKUP(VENTAS4[[#This Row],[Code]],STOCK[],5,FALSE),"-")</f>
        <v>Bañador estampado de planta</v>
      </c>
    </row>
    <row r="33" s="2" customFormat="1" ht="55" customHeight="1" spans="1:3">
      <c r="A33" s="5" t="s">
        <v>99</v>
      </c>
      <c r="B33" s="6"/>
      <c r="C33" s="2" t="str">
        <f>IFERROR(VLOOKUP(VENTAS4[[#This Row],[Code]],STOCK[],5,FALSE),"-")</f>
        <v>Bañador estampado de planta</v>
      </c>
    </row>
    <row r="34" s="2" customFormat="1" ht="55" customHeight="1" spans="1:3">
      <c r="A34" s="5" t="s">
        <v>100</v>
      </c>
      <c r="B34" s="6"/>
      <c r="C34" s="2" t="str">
        <f>IFERROR(VLOOKUP(VENTAS4[[#This Row],[Code]],STOCK[],5,FALSE),"-")</f>
        <v>Pareo pantalón de malla</v>
      </c>
    </row>
    <row r="35" s="2" customFormat="1" ht="55" customHeight="1" spans="1:3">
      <c r="A35" s="5" t="s">
        <v>102</v>
      </c>
      <c r="B35" s="6"/>
      <c r="C35" s="2" t="str">
        <f>IFERROR(VLOOKUP(VENTAS4[[#This Row],[Code]],STOCK[],5,FALSE),"-")</f>
        <v>Bañador con tira cruzada </v>
      </c>
    </row>
    <row r="36" s="2" customFormat="1" ht="55" customHeight="1" spans="1:3">
      <c r="A36" s="5" t="s">
        <v>104</v>
      </c>
      <c r="B36" s="6"/>
      <c r="C36" s="2" t="str">
        <f>IFERROR(VLOOKUP(VENTAS4[[#This Row],[Code]],STOCK[],5,FALSE),"-")</f>
        <v>Bikini Elegante con Herrajes</v>
      </c>
    </row>
    <row r="37" s="2" customFormat="1" ht="55" customHeight="1" spans="1:3">
      <c r="A37" s="5" t="s">
        <v>105</v>
      </c>
      <c r="B37" s="6"/>
      <c r="C37" s="2" t="str">
        <f>IFERROR(VLOOKUP(VENTAS4[[#This Row],[Code]],STOCK[],5,FALSE),"-")</f>
        <v>Bikini elegante con herrajes color negro</v>
      </c>
    </row>
    <row r="38" s="2" customFormat="1" ht="55" customHeight="1" spans="1:3">
      <c r="A38" s="5" t="s">
        <v>107</v>
      </c>
      <c r="B38" s="6"/>
      <c r="C38" s="2" t="str">
        <f>IFERROR(VLOOKUP(VENTAS4[[#This Row],[Code]],STOCK[],5,FALSE),"-")</f>
        <v>Bañador color combinado</v>
      </c>
    </row>
    <row r="39" s="2" customFormat="1" ht="55" customHeight="1" spans="1:3">
      <c r="A39" s="5" t="s">
        <v>109</v>
      </c>
      <c r="B39" s="6"/>
      <c r="C39" s="2" t="str">
        <f>IFERROR(VLOOKUP(VENTAS4[[#This Row],[Code]],STOCK[],5,FALSE),"-")</f>
        <v>Bañador de zíper en color combinado</v>
      </c>
    </row>
    <row r="40" s="2" customFormat="1" ht="55" customHeight="1" spans="1:3">
      <c r="A40" s="5" t="s">
        <v>111</v>
      </c>
      <c r="B40" s="6"/>
      <c r="C40" s="2" t="str">
        <f>IFERROR(VLOOKUP(VENTAS4[[#This Row],[Code]],STOCK[],5,FALSE),"-")</f>
        <v>Bikini Floral</v>
      </c>
    </row>
    <row r="41" s="2" customFormat="1" ht="55" customHeight="1" spans="1:3">
      <c r="A41" s="5" t="s">
        <v>112</v>
      </c>
      <c r="B41" s="6"/>
      <c r="C41" s="2" t="str">
        <f>IFERROR(VLOOKUP(VENTAS4[[#This Row],[Code]],STOCK[],5,FALSE),"-")</f>
        <v>Bikini Mangas Negro</v>
      </c>
    </row>
    <row r="42" s="2" customFormat="1" ht="55" customHeight="1" spans="1:3">
      <c r="A42" s="5" t="s">
        <v>114</v>
      </c>
      <c r="B42" s="6"/>
      <c r="C42" s="2" t="str">
        <f>IFERROR(VLOOKUP(VENTAS4[[#This Row],[Code]],STOCK[],5,FALSE),"-")</f>
        <v>Bikini con cordón lateral</v>
      </c>
    </row>
    <row r="43" s="2" customFormat="1" ht="55" customHeight="1" spans="1:3">
      <c r="A43" s="5" t="s">
        <v>115</v>
      </c>
      <c r="B43" s="6"/>
      <c r="C43" s="2" t="str">
        <f>IFERROR(VLOOKUP(VENTAS4[[#This Row],[Code]],STOCK[],5,FALSE),"-")</f>
        <v>Bañador con estampado floral</v>
      </c>
    </row>
    <row r="44" s="2" customFormat="1" ht="55" customHeight="1" spans="1:3">
      <c r="A44" s="5" t="s">
        <v>116</v>
      </c>
      <c r="B44" s="6"/>
      <c r="C44" s="2" t="str">
        <f>IFERROR(VLOOKUP(VENTAS4[[#This Row],[Code]],STOCK[],5,FALSE),"-")</f>
        <v>Bañador en contraste con cremallera</v>
      </c>
    </row>
    <row r="45" s="2" customFormat="1" ht="55" customHeight="1" spans="1:3">
      <c r="A45" s="5" t="s">
        <v>118</v>
      </c>
      <c r="B45" s="6"/>
      <c r="C45" s="2" t="str">
        <f>IFERROR(VLOOKUP(VENTAS4[[#This Row],[Code]],STOCK[],5,FALSE),"-")</f>
        <v>Bañador color combinado con cremallera_S</v>
      </c>
    </row>
    <row r="46" s="2" customFormat="1" ht="55" customHeight="1" spans="1:3">
      <c r="A46" s="5" t="s">
        <v>120</v>
      </c>
      <c r="B46" s="6"/>
      <c r="C46" s="2" t="str">
        <f>IFERROR(VLOOKUP(VENTAS4[[#This Row],[Code]],STOCK[],5,FALSE),"-")</f>
        <v>Bañador una pieza tropical</v>
      </c>
    </row>
    <row r="47" s="2" customFormat="1" ht="55" customHeight="1" spans="1:3">
      <c r="A47" s="5" t="s">
        <v>122</v>
      </c>
      <c r="B47" s="6"/>
      <c r="C47" s="2" t="str">
        <f>IFERROR(VLOOKUP(VENTAS4[[#This Row],[Code]],STOCK[],5,FALSE),"-")</f>
        <v>Bikini chicas estampado tropical</v>
      </c>
    </row>
    <row r="48" s="2" customFormat="1" ht="55" customHeight="1" spans="1:3">
      <c r="A48" s="5" t="s">
        <v>126</v>
      </c>
      <c r="B48" s="6"/>
      <c r="C48" s="2" t="str">
        <f>IFERROR(VLOOKUP(VENTAS4[[#This Row],[Code]],STOCK[],5,FALSE),"-")</f>
        <v>Bañador chicas con estampado de letra con cremallera</v>
      </c>
    </row>
    <row r="49" s="2" customFormat="1" ht="55" customHeight="1" spans="1:3">
      <c r="A49" s="5" t="s">
        <v>129</v>
      </c>
      <c r="B49" s="6"/>
      <c r="C49" s="2" t="str">
        <f>IFERROR(VLOOKUP(VENTAS4[[#This Row],[Code]],STOCK[],5,FALSE),"-")</f>
        <v>Bibiki niñita Pez</v>
      </c>
    </row>
    <row r="50" s="2" customFormat="1" ht="55" customHeight="1" spans="1:3">
      <c r="A50" s="5" t="s">
        <v>133</v>
      </c>
      <c r="B50" s="6"/>
      <c r="C50" s="2" t="str">
        <f>IFERROR(VLOOKUP(VENTAS4[[#This Row],[Code]],STOCK[],5,FALSE),"-")</f>
        <v>Traje de baño Mariposa</v>
      </c>
    </row>
    <row r="51" s="2" customFormat="1" ht="55" customHeight="1" spans="1:3">
      <c r="A51" s="5" t="s">
        <v>137</v>
      </c>
      <c r="B51" s="6"/>
      <c r="C51" s="2" t="str">
        <f>IFERROR(VLOOKUP(VENTAS4[[#This Row],[Code]],STOCK[],5,FALSE),"-")</f>
        <v>Bañador con estampado de girasol con cover up</v>
      </c>
    </row>
    <row r="52" s="2" customFormat="1" ht="55" customHeight="1" spans="1:3">
      <c r="A52" s="5" t="s">
        <v>140</v>
      </c>
      <c r="B52" s="6"/>
      <c r="C52" s="2" t="str">
        <f>IFERROR(VLOOKUP(VENTAS4[[#This Row],[Code]],STOCK[],5,FALSE),"-")</f>
        <v>Bikini niñitas Sandía</v>
      </c>
    </row>
    <row r="53" s="2" customFormat="1" ht="55" customHeight="1" spans="1:3">
      <c r="A53" s="5" t="s">
        <v>142</v>
      </c>
      <c r="B53" s="6"/>
      <c r="C53" s="2" t="str">
        <f>IFERROR(VLOOKUP(VENTAS4[[#This Row],[Code]],STOCK[],5,FALSE),"-")</f>
        <v>Bikini niñitas Sandía</v>
      </c>
    </row>
    <row r="54" s="2" customFormat="1" ht="55" customHeight="1" spans="1:3">
      <c r="A54" s="5" t="s">
        <v>144</v>
      </c>
      <c r="B54" s="6"/>
      <c r="C54" s="2" t="str">
        <f>IFERROR(VLOOKUP(VENTAS4[[#This Row],[Code]],STOCK[],5,FALSE),"-")</f>
        <v>Traje de baño niñitas Pastel con diadema</v>
      </c>
    </row>
    <row r="55" s="2" customFormat="1" ht="55" customHeight="1" spans="1:3">
      <c r="A55" s="5" t="s">
        <v>147</v>
      </c>
      <c r="B55" s="6"/>
      <c r="C55" s="2" t="str">
        <f>IFERROR(VLOOKUP(VENTAS4[[#This Row],[Code]],STOCK[],5,FALSE),"-")</f>
        <v>Bikini niñitas unicornio con Diadema</v>
      </c>
    </row>
    <row r="56" s="2" customFormat="1" ht="55" customHeight="1" spans="1:3">
      <c r="A56" s="5" t="s">
        <v>150</v>
      </c>
      <c r="B56" s="6"/>
      <c r="C56" s="2" t="str">
        <f>IFERROR(VLOOKUP(VENTAS4[[#This Row],[Code]],STOCK[],5,FALSE),"-")</f>
        <v>Jean Boyfriend con rotos</v>
      </c>
    </row>
    <row r="57" s="2" customFormat="1" ht="55" customHeight="1" spans="1:3">
      <c r="A57" s="5" t="s">
        <v>153</v>
      </c>
      <c r="B57" s="6"/>
      <c r="C57" s="2" t="str">
        <f>IFERROR(VLOOKUP(VENTAS4[[#This Row],[Code]],STOCK[],5,FALSE),"-")</f>
        <v>Jeans de pierna recta desgarro</v>
      </c>
    </row>
    <row r="58" s="2" customFormat="1" ht="55" customHeight="1" spans="1:3">
      <c r="A58" s="5" t="s">
        <v>156</v>
      </c>
      <c r="B58" s="6"/>
      <c r="C58" s="2" t="str">
        <f>IFERROR(VLOOKUP(VENTAS4[[#This Row],[Code]],STOCK[],5,FALSE),"-")</f>
        <v>Jeans de pierna recta desgarro</v>
      </c>
    </row>
    <row r="59" s="2" customFormat="1" ht="55" customHeight="1" spans="1:3">
      <c r="A59" s="5" t="s">
        <v>157</v>
      </c>
      <c r="B59" s="6"/>
      <c r="C59" s="2" t="str">
        <f>IFERROR(VLOOKUP(VENTAS4[[#This Row],[Code]],STOCK[],5,FALSE),"-")</f>
        <v>Jeans de pierna recta desgarro</v>
      </c>
    </row>
    <row r="60" s="2" customFormat="1" ht="55" customHeight="1" spans="1:3">
      <c r="A60" s="5" t="s">
        <v>158</v>
      </c>
      <c r="B60" s="6"/>
      <c r="C60" s="2" t="str">
        <f>IFERROR(VLOOKUP(VENTAS4[[#This Row],[Code]],STOCK[],5,FALSE),"-")</f>
        <v>Bañador con estampado floral</v>
      </c>
    </row>
    <row r="61" s="2" customFormat="1" ht="55" customHeight="1" spans="1:3">
      <c r="A61" s="5" t="s">
        <v>159</v>
      </c>
      <c r="B61" s="6"/>
      <c r="C61" s="2" t="str">
        <f>IFERROR(VLOOKUP(VENTAS4[[#This Row],[Code]],STOCK[],5,FALSE),"-")</f>
        <v>Bikini niñita Arcoíris</v>
      </c>
    </row>
    <row r="62" s="2" customFormat="1" ht="55" customHeight="1" spans="1:3">
      <c r="A62" s="5" t="s">
        <v>161</v>
      </c>
      <c r="B62" s="6"/>
      <c r="C62" s="2" t="str">
        <f>IFERROR(VLOOKUP(VENTAS4[[#This Row],[Code]],STOCK[],5,FALSE),"-")</f>
        <v>Bañador una pieza con adorno de mariposas</v>
      </c>
    </row>
    <row r="63" s="2" customFormat="1" ht="55" customHeight="1" spans="1:3">
      <c r="A63" s="5" t="s">
        <v>163</v>
      </c>
      <c r="B63" s="6"/>
      <c r="C63" s="2" t="str">
        <f>IFERROR(VLOOKUP(VENTAS4[[#This Row],[Code]],STOCK[],5,FALSE),"-")</f>
        <v>Traje de baño niñitas malla protectora</v>
      </c>
    </row>
    <row r="64" s="2" customFormat="1" ht="55" customHeight="1" spans="1:3">
      <c r="A64" s="5" t="s">
        <v>165</v>
      </c>
      <c r="B64" s="6"/>
      <c r="C64" s="2" t="str">
        <f>IFERROR(VLOOKUP(VENTAS4[[#This Row],[Code]],STOCK[],5,FALSE),"-")</f>
        <v>Vestido de manga farol con cordón delantero</v>
      </c>
    </row>
    <row r="65" s="2" customFormat="1" ht="55" customHeight="1" spans="1:3">
      <c r="A65" s="5" t="s">
        <v>168</v>
      </c>
      <c r="B65" s="6"/>
      <c r="C65" s="2" t="str">
        <f>IFERROR(VLOOKUP(VENTAS4[[#This Row],[Code]],STOCK[],5,FALSE),"-")</f>
        <v>Vestido con estampado floral con abertura alta</v>
      </c>
    </row>
    <row r="66" s="2" customFormat="1" ht="55" customHeight="1" spans="1:3">
      <c r="A66" s="5" t="s">
        <v>170</v>
      </c>
      <c r="B66" s="6"/>
      <c r="C66" s="2" t="str">
        <f>IFERROR(VLOOKUP(VENTAS4[[#This Row],[Code]],STOCK[],5,FALSE),"-")</f>
        <v>Vestido floral de cuello cuadrado</v>
      </c>
    </row>
    <row r="67" s="2" customFormat="1" ht="55" customHeight="1" spans="1:3">
      <c r="A67" s="5" t="s">
        <v>172</v>
      </c>
      <c r="B67" s="6"/>
      <c r="C67" s="2" t="str">
        <f>IFERROR(VLOOKUP(VENTAS4[[#This Row],[Code]],STOCK[],5,FALSE),"-")</f>
        <v>Camiseta unicolor de malla</v>
      </c>
    </row>
    <row r="68" s="2" customFormat="1" ht="55" customHeight="1" spans="1:3">
      <c r="A68" s="5" t="s">
        <v>175</v>
      </c>
      <c r="B68" s="6"/>
      <c r="C68" s="2" t="str">
        <f>IFERROR(VLOOKUP(VENTAS4[[#This Row],[Code]],STOCK[],5,FALSE),"-")</f>
        <v>Vestido cruzado con abertura con nudo delantero </v>
      </c>
    </row>
    <row r="69" s="2" customFormat="1" ht="55" customHeight="1" spans="1:3">
      <c r="A69" s="5" t="s">
        <v>177</v>
      </c>
      <c r="B69" s="6"/>
      <c r="C69" s="2" t="str">
        <f>IFERROR(VLOOKUP(VENTAS4[[#This Row],[Code]],STOCK[],5,FALSE),"-")</f>
        <v>Vestido cruzado con abertura con nudo delantero</v>
      </c>
    </row>
    <row r="70" s="2" customFormat="1" ht="55" customHeight="1" spans="1:3">
      <c r="A70" s="5" t="s">
        <v>179</v>
      </c>
      <c r="B70" s="6"/>
      <c r="C70" s="2" t="str">
        <f>IFERROR(VLOOKUP(VENTAS4[[#This Row],[Code]],STOCK[],5,FALSE),"-")</f>
        <v>Top de manga farol con abertura en espalda</v>
      </c>
    </row>
    <row r="71" s="2" customFormat="1" ht="55" customHeight="1" spans="1:3">
      <c r="A71" s="5" t="s">
        <v>181</v>
      </c>
      <c r="B71" s="6"/>
      <c r="C71" s="2" t="str">
        <f>IFERROR(VLOOKUP(VENTAS4[[#This Row],[Code]],STOCK[],5,FALSE),"-")</f>
        <v>Top de manga farol con abertura en espalda</v>
      </c>
    </row>
    <row r="72" s="2" customFormat="1" ht="55" customHeight="1" spans="1:3">
      <c r="A72" s="5" t="s">
        <v>182</v>
      </c>
      <c r="B72" s="6"/>
      <c r="C72" s="2" t="str">
        <f>IFERROR(VLOOKUP(VENTAS4[[#This Row],[Code]],STOCK[],5,FALSE),"-")</f>
        <v>Top de manga farol con abertura en espald</v>
      </c>
    </row>
    <row r="73" s="2" customFormat="1" ht="55" customHeight="1" spans="1:3">
      <c r="A73" s="5" t="s">
        <v>184</v>
      </c>
      <c r="B73" s="6"/>
      <c r="C73" s="2" t="str">
        <f>IFERROR(VLOOKUP(VENTAS4[[#This Row],[Code]],STOCK[],5,FALSE),"-")</f>
        <v>Blusa espalda cruzada color rosa</v>
      </c>
    </row>
    <row r="74" s="2" customFormat="1" ht="55" customHeight="1" spans="1:3">
      <c r="A74" s="5" t="s">
        <v>187</v>
      </c>
      <c r="B74" s="6"/>
      <c r="C74" s="2" t="str">
        <f>IFERROR(VLOOKUP(VENTAS4[[#This Row],[Code]],STOCK[],5,FALSE),"-")</f>
        <v> Top de espalda cruzada</v>
      </c>
    </row>
    <row r="75" s="2" customFormat="1" ht="55" customHeight="1" spans="1:3">
      <c r="A75" s="5" t="s">
        <v>190</v>
      </c>
      <c r="B75" s="6"/>
      <c r="C75" s="2" t="str">
        <f>IFERROR(VLOOKUP(VENTAS4[[#This Row],[Code]],STOCK[],5,FALSE),"-")</f>
        <v>Pantalones de pierna ancha de talle alto con abertura</v>
      </c>
    </row>
    <row r="76" s="2" customFormat="1" ht="55" customHeight="1" spans="1:3">
      <c r="A76" s="5" t="s">
        <v>192</v>
      </c>
      <c r="B76" s="6"/>
      <c r="C76" s="2" t="str">
        <f>IFERROR(VLOOKUP(VENTAS4[[#This Row],[Code]],STOCK[],5,FALSE),"-")</f>
        <v>Pantalones de pierna ancha de talle alto con abertura</v>
      </c>
    </row>
    <row r="77" s="2" customFormat="1" ht="55" customHeight="1" spans="1:3">
      <c r="A77" s="5" t="s">
        <v>193</v>
      </c>
      <c r="B77" s="6"/>
      <c r="C77" s="2" t="str">
        <f>IFERROR(VLOOKUP(VENTAS4[[#This Row],[Code]],STOCK[],5,FALSE),"-")</f>
        <v>Pantalones de pierna ancha de talle alto con abertura</v>
      </c>
    </row>
    <row r="78" s="2" customFormat="1" ht="55" customHeight="1" spans="1:3">
      <c r="A78" s="5" t="s">
        <v>194</v>
      </c>
      <c r="B78" s="6"/>
      <c r="C78" s="2" t="str">
        <f>IFERROR(VLOOKUP(VENTAS4[[#This Row],[Code]],STOCK[],5,FALSE),"-")</f>
        <v>Falda de trabajo entallada</v>
      </c>
    </row>
    <row r="79" s="2" customFormat="1" ht="55" customHeight="1" spans="1:3">
      <c r="A79" s="5" t="s">
        <v>197</v>
      </c>
      <c r="B79" s="6"/>
      <c r="C79" s="2" t="str">
        <f>IFERROR(VLOOKUP(VENTAS4[[#This Row],[Code]],STOCK[],5,FALSE),"-")</f>
        <v>Falda de trabajo entallada</v>
      </c>
    </row>
    <row r="80" s="2" customFormat="1" ht="55" customHeight="1" spans="1:3">
      <c r="A80" s="5" t="s">
        <v>199</v>
      </c>
      <c r="B80" s="6"/>
      <c r="C80" s="2" t="str">
        <f>IFERROR(VLOOKUP(VENTAS4[[#This Row],[Code]],STOCK[],5,FALSE),"-")</f>
        <v>Vestido ajustado de tirantes</v>
      </c>
    </row>
    <row r="81" s="2" customFormat="1" ht="55" customHeight="1" spans="1:3">
      <c r="A81" s="5" t="s">
        <v>201</v>
      </c>
      <c r="B81" s="6"/>
      <c r="C81" s="2" t="str">
        <f>IFERROR(VLOOKUP(VENTAS4[[#This Row],[Code]],STOCK[],5,FALSE),"-")</f>
        <v>Vestido moca ajustado</v>
      </c>
    </row>
    <row r="82" s="2" customFormat="1" ht="55" customHeight="1" spans="1:3">
      <c r="A82" s="5" t="s">
        <v>205</v>
      </c>
      <c r="B82" s="6"/>
      <c r="C82" s="2" t="str">
        <f>IFERROR(VLOOKUP(VENTAS4[[#This Row],[Code]],STOCK[],5,FALSE),"-")</f>
        <v>Vestido de satén ajustado de tirantes fruncido</v>
      </c>
    </row>
    <row r="83" s="2" customFormat="1" ht="55" customHeight="1" spans="1:3">
      <c r="A83" s="5" t="s">
        <v>207</v>
      </c>
      <c r="B83" s="6"/>
      <c r="C83" s="2" t="str">
        <f>IFERROR(VLOOKUP(VENTAS4[[#This Row],[Code]],STOCK[],5,FALSE),"-")</f>
        <v>Maxi vestido de bajo floral</v>
      </c>
    </row>
    <row r="84" s="2" customFormat="1" ht="55" customHeight="1" spans="1:3">
      <c r="A84" s="5" t="s">
        <v>209</v>
      </c>
      <c r="B84" s="6"/>
      <c r="C84" s="2" t="str">
        <f>IFERROR(VLOOKUP(VENTAS4[[#This Row],[Code]],STOCK[],5,FALSE),"-")</f>
        <v>Maxi vestido de bajo floral</v>
      </c>
    </row>
    <row r="85" s="2" customFormat="1" ht="55" customHeight="1" spans="1:3">
      <c r="A85" s="5" t="s">
        <v>211</v>
      </c>
      <c r="B85" s="6"/>
      <c r="C85" s="2" t="str">
        <f>IFERROR(VLOOKUP(VENTAS4[[#This Row],[Code]],STOCK[],5,FALSE),"-")</f>
        <v>Maxi vestido con bajo floral</v>
      </c>
    </row>
    <row r="86" s="2" customFormat="1" ht="55" customHeight="1" spans="1:3">
      <c r="A86" s="5" t="s">
        <v>214</v>
      </c>
      <c r="B86" s="6"/>
      <c r="C86" s="2" t="str">
        <f>IFERROR(VLOOKUP(VENTAS4[[#This Row],[Code]],STOCK[],5,FALSE),"-")</f>
        <v>Vestido de solapa y abertura</v>
      </c>
    </row>
    <row r="87" s="2" customFormat="1" ht="55" customHeight="1" spans="1:3">
      <c r="A87" s="5" t="s">
        <v>217</v>
      </c>
      <c r="B87" s="6"/>
      <c r="C87" s="2" t="str">
        <f>IFERROR(VLOOKUP(VENTAS4[[#This Row],[Code]],STOCK[],5,FALSE),"-")</f>
        <v>Vestido de solapa y abertura</v>
      </c>
    </row>
    <row r="88" s="2" customFormat="1" ht="55" customHeight="1" spans="1:3">
      <c r="A88" s="5" t="s">
        <v>218</v>
      </c>
      <c r="B88" s="6"/>
      <c r="C88" s="2" t="str">
        <f>IFERROR(VLOOKUP(VENTAS4[[#This Row],[Code]],STOCK[],5,FALSE),"-")</f>
        <v>Camisetaen contraste tejido canalé</v>
      </c>
    </row>
    <row r="89" s="2" customFormat="1" ht="55" customHeight="1" spans="1:3">
      <c r="A89" s="5" t="s">
        <v>220</v>
      </c>
      <c r="B89" s="6"/>
      <c r="C89" s="2" t="str">
        <f>IFERROR(VLOOKUP(VENTAS4[[#This Row],[Code]],STOCK[],5,FALSE),"-")</f>
        <v>Vestido slip abertura de espalda abierta de cuello desbocado</v>
      </c>
    </row>
    <row r="90" s="2" customFormat="1" ht="55" customHeight="1" spans="1:3">
      <c r="A90" s="5" t="s">
        <v>222</v>
      </c>
      <c r="B90" s="6"/>
      <c r="C90" s="2" t="str">
        <f>IFERROR(VLOOKUP(VENTAS4[[#This Row],[Code]],STOCK[],5,FALSE),"-")</f>
        <v>Vestido ajustado de tirantes con abertura</v>
      </c>
    </row>
    <row r="91" s="2" customFormat="1" ht="55" customHeight="1" spans="1:3">
      <c r="A91" s="5" t="s">
        <v>224</v>
      </c>
      <c r="B91" s="6"/>
      <c r="C91" s="2" t="str">
        <f>IFERROR(VLOOKUP(VENTAS4[[#This Row],[Code]],STOCK[],5,FALSE),"-")</f>
        <v>Vestido de manga farol con cordón delantero</v>
      </c>
    </row>
    <row r="92" s="2" customFormat="1" ht="55" customHeight="1" spans="1:3">
      <c r="A92" s="5" t="s">
        <v>225</v>
      </c>
      <c r="B92" s="6"/>
      <c r="C92" s="2" t="str">
        <f>IFERROR(VLOOKUP(VENTAS4[[#This Row],[Code]],STOCK[],5,FALSE),"-")</f>
        <v> Pantalón ancho con cinturón</v>
      </c>
    </row>
    <row r="93" s="2" customFormat="1" ht="55" customHeight="1" spans="1:3">
      <c r="A93" s="5" t="s">
        <v>228</v>
      </c>
      <c r="B93" s="6"/>
      <c r="C93" s="2" t="str">
        <f>IFERROR(VLOOKUP(VENTAS4[[#This Row],[Code]],STOCK[],5,FALSE),"-")</f>
        <v>Pantalón pierna ancha con cinturón</v>
      </c>
    </row>
    <row r="94" s="2" customFormat="1" ht="55" customHeight="1" spans="1:3">
      <c r="A94" s="5" t="s">
        <v>230</v>
      </c>
      <c r="B94" s="6"/>
      <c r="C94" s="2" t="str">
        <f>IFERROR(VLOOKUP(VENTAS4[[#This Row],[Code]],STOCK[],5,FALSE),"-")</f>
        <v>Vestido Esmeralda Fruncido</v>
      </c>
    </row>
    <row r="95" s="2" customFormat="1" ht="55" customHeight="1" spans="1:3">
      <c r="A95" s="5" t="s">
        <v>232</v>
      </c>
      <c r="B95" s="6"/>
      <c r="C95" s="2" t="str">
        <f>IFERROR(VLOOKUP(VENTAS4[[#This Row],[Code]],STOCK[],5,FALSE),"-")</f>
        <v>Top estampado de cuello con cordón</v>
      </c>
    </row>
    <row r="96" s="2" customFormat="1" ht="55" customHeight="1" spans="1:3">
      <c r="A96" s="5" t="s">
        <v>234</v>
      </c>
      <c r="B96" s="6"/>
      <c r="C96" s="2" t="str">
        <f>IFERROR(VLOOKUP(VENTAS4[[#This Row],[Code]],STOCK[],5,FALSE),"-")</f>
        <v>Top de cuello con cordón de lunares</v>
      </c>
    </row>
    <row r="97" s="2" customFormat="1" ht="55" customHeight="1" spans="1:3">
      <c r="A97" s="5" t="s">
        <v>236</v>
      </c>
      <c r="B97" s="6"/>
      <c r="C97" s="2" t="str">
        <f>IFERROR(VLOOKUP(VENTAS4[[#This Row],[Code]],STOCK[],5,FALSE),"-")</f>
        <v>Top de cuello con cordón de lunares</v>
      </c>
    </row>
    <row r="98" s="2" customFormat="1" ht="55" customHeight="1" spans="1:3">
      <c r="A98" s="5" t="s">
        <v>237</v>
      </c>
      <c r="B98" s="6"/>
      <c r="C98" s="2" t="str">
        <f>IFERROR(VLOOKUP(VENTAS4[[#This Row],[Code]],STOCK[],5,FALSE),"-")</f>
        <v>Vestido tank tejido de canalé con cinturón</v>
      </c>
    </row>
    <row r="99" s="2" customFormat="1" ht="55" customHeight="1" spans="1:3">
      <c r="A99" s="5" t="s">
        <v>239</v>
      </c>
      <c r="B99" s="6"/>
      <c r="C99" s="2" t="str">
        <f>IFERROR(VLOOKUP(VENTAS4[[#This Row],[Code]],STOCK[],5,FALSE),"-")</f>
        <v>Vestido tank tejido de canalé con cinturón</v>
      </c>
    </row>
    <row r="100" s="2" customFormat="1" ht="55" customHeight="1" spans="1:3">
      <c r="A100" s="5" t="s">
        <v>240</v>
      </c>
      <c r="B100" s="6"/>
      <c r="C100" s="2" t="str">
        <f>IFERROR(VLOOKUP(VENTAS4[[#This Row],[Code]],STOCK[],5,FALSE),"-")</f>
        <v>Vestido de cuello cuadrado de espalda abierta</v>
      </c>
    </row>
    <row r="101" s="2" customFormat="1" ht="55" customHeight="1" spans="1:3">
      <c r="A101" s="5" t="s">
        <v>242</v>
      </c>
      <c r="B101" s="6"/>
      <c r="C101" s="2" t="str">
        <f>IFERROR(VLOOKUP(VENTAS4[[#This Row],[Code]],STOCK[],5,FALSE),"-")</f>
        <v>Vestido de cuello cuadrado de espalda abierta</v>
      </c>
    </row>
    <row r="102" s="2" customFormat="1" ht="55" customHeight="1" spans="1:3">
      <c r="A102" s="5" t="s">
        <v>243</v>
      </c>
      <c r="B102" s="6"/>
      <c r="C102" s="2" t="str">
        <f>IFERROR(VLOOKUP(VENTAS4[[#This Row],[Code]],STOCK[],5,FALSE),"-")</f>
        <v>Blusa de manga mariposa escote V</v>
      </c>
    </row>
    <row r="103" s="2" customFormat="1" ht="55" customHeight="1" spans="1:3">
      <c r="A103" s="5" t="s">
        <v>245</v>
      </c>
      <c r="B103" s="6"/>
      <c r="C103" s="2" t="str">
        <f>IFERROR(VLOOKUP(VENTAS4[[#This Row],[Code]],STOCK[],5,FALSE),"-")</f>
        <v>Top de mangas anchas y lentejuelas amarillo</v>
      </c>
    </row>
    <row r="104" s="2" customFormat="1" ht="55" customHeight="1" spans="1:3">
      <c r="A104" s="5" t="s">
        <v>248</v>
      </c>
      <c r="B104" s="6"/>
      <c r="C104" s="2" t="str">
        <f>IFERROR(VLOOKUP(VENTAS4[[#This Row],[Code]],STOCK[],5,FALSE),"-")</f>
        <v>Vestido con abertura con botón floral de margarita</v>
      </c>
    </row>
    <row r="105" s="2" customFormat="1" ht="55" customHeight="1" spans="1:3">
      <c r="A105" s="5" t="s">
        <v>250</v>
      </c>
      <c r="B105" s="6"/>
      <c r="C105" s="2" t="str">
        <f>IFERROR(VLOOKUP(VENTAS4[[#This Row],[Code]],STOCK[],5,FALSE),"-")</f>
        <v>Vestido flor y botones</v>
      </c>
    </row>
    <row r="106" s="2" customFormat="1" ht="55" customHeight="1" spans="1:3">
      <c r="A106" s="5" t="s">
        <v>252</v>
      </c>
      <c r="B106" s="6"/>
      <c r="C106" s="2" t="str">
        <f>IFERROR(VLOOKUP(VENTAS4[[#This Row],[Code]],STOCK[],5,FALSE),"-")</f>
        <v>Vestido con abertura con botón floral de margarita</v>
      </c>
    </row>
    <row r="107" s="2" customFormat="1" ht="55" customHeight="1" spans="1:3">
      <c r="A107" s="5" t="s">
        <v>253</v>
      </c>
      <c r="B107" s="6"/>
      <c r="C107" s="2" t="str">
        <f>IFERROR(VLOOKUP(VENTAS4[[#This Row],[Code]],STOCK[],5,FALSE),"-")</f>
        <v>Blusa espalda cruzada blanca</v>
      </c>
    </row>
    <row r="108" s="2" customFormat="1" ht="55" customHeight="1" spans="1:3">
      <c r="A108" s="5" t="s">
        <v>255</v>
      </c>
      <c r="B108" s="6"/>
      <c r="C108" s="2" t="str">
        <f>IFERROR(VLOOKUP(VENTAS4[[#This Row],[Code]],STOCK[],5,FALSE),"-")</f>
        <v>Top de espalda cruzada</v>
      </c>
    </row>
    <row r="109" s="2" customFormat="1" ht="55" customHeight="1" spans="1:3">
      <c r="A109" s="5" t="s">
        <v>258</v>
      </c>
      <c r="B109" s="6"/>
      <c r="C109" s="2" t="str">
        <f>IFERROR(VLOOKUP(VENTAS4[[#This Row],[Code]],STOCK[],5,FALSE),"-")</f>
        <v>Top unicolor de hombros con almohadilla</v>
      </c>
    </row>
    <row r="110" s="2" customFormat="1" ht="55" customHeight="1" spans="1:3">
      <c r="A110" s="5" t="s">
        <v>260</v>
      </c>
      <c r="B110" s="6"/>
      <c r="C110" s="2" t="str">
        <f>IFERROR(VLOOKUP(VENTAS4[[#This Row],[Code]],STOCK[],5,FALSE),"-")</f>
        <v>Blusas Botón Floral Casual</v>
      </c>
    </row>
    <row r="111" s="2" customFormat="1" ht="55" customHeight="1" spans="1:3">
      <c r="A111" s="5" t="s">
        <v>262</v>
      </c>
      <c r="B111" s="6"/>
      <c r="C111" s="2" t="str">
        <f>IFERROR(VLOOKUP(VENTAS4[[#This Row],[Code]],STOCK[],5,FALSE),"-")</f>
        <v>Blusas Botón Floral Casual</v>
      </c>
    </row>
    <row r="112" s="2" customFormat="1" ht="55" customHeight="1" spans="1:3">
      <c r="A112" s="5" t="s">
        <v>263</v>
      </c>
      <c r="B112" s="6"/>
      <c r="C112" s="2" t="str">
        <f>IFERROR(VLOOKUP(VENTAS4[[#This Row],[Code]],STOCK[],5,FALSE),"-")</f>
        <v>Blusas Botón Floral Casual</v>
      </c>
    </row>
    <row r="113" s="2" customFormat="1" ht="55" customHeight="1" spans="1:3">
      <c r="A113" s="5" t="s">
        <v>264</v>
      </c>
      <c r="B113" s="6"/>
      <c r="C113" s="2" t="str">
        <f>IFERROR(VLOOKUP(VENTAS4[[#This Row],[Code]],STOCK[],5,FALSE),"-")</f>
        <v>Vestido de  lunares de cintura con cordó</v>
      </c>
    </row>
    <row r="114" s="2" customFormat="1" ht="55" customHeight="1" spans="1:3">
      <c r="A114" s="5" t="s">
        <v>266</v>
      </c>
      <c r="B114" s="6"/>
      <c r="C114" s="2" t="str">
        <f>IFERROR(VLOOKUP(VENTAS4[[#This Row],[Code]],STOCK[],5,FALSE),"-")</f>
        <v>Vestido Malla en contraste Lunares Elegante</v>
      </c>
    </row>
    <row r="115" s="2" customFormat="1" ht="55" customHeight="1" spans="1:3">
      <c r="A115" s="5" t="s">
        <v>268</v>
      </c>
      <c r="B115" s="6"/>
      <c r="C115" s="2" t="str">
        <f>IFERROR(VLOOKUP(VENTAS4[[#This Row],[Code]],STOCK[],5,FALSE),"-")</f>
        <v>Vestido Malla en contraste Lunares Elegante</v>
      </c>
    </row>
    <row r="116" s="2" customFormat="1" ht="55" customHeight="1" spans="1:3">
      <c r="A116" s="5" t="s">
        <v>269</v>
      </c>
      <c r="B116" s="6"/>
      <c r="C116" s="2" t="str">
        <f>IFERROR(VLOOKUP(VENTAS4[[#This Row],[Code]],STOCK[],5,FALSE),"-")</f>
        <v>Vestido playera oversize</v>
      </c>
    </row>
    <row r="117" s="2" customFormat="1" ht="55" customHeight="1" spans="1:3">
      <c r="A117" s="5" t="s">
        <v>271</v>
      </c>
      <c r="B117" s="6"/>
      <c r="C117" s="2" t="str">
        <f>IFERROR(VLOOKUP(VENTAS4[[#This Row],[Code]],STOCK[],5,FALSE),"-")</f>
        <v>Vestido camiseta bajo con abertura</v>
      </c>
    </row>
    <row r="118" s="2" customFormat="1" ht="55" customHeight="1" spans="1:3">
      <c r="A118" s="5" t="s">
        <v>273</v>
      </c>
      <c r="B118" s="6"/>
      <c r="C118" s="2" t="str">
        <f>IFERROR(VLOOKUP(VENTAS4[[#This Row],[Code]],STOCK[],5,FALSE),"-")</f>
        <v>Vestido playera oversize</v>
      </c>
    </row>
    <row r="119" s="2" customFormat="1" ht="55" customHeight="1" spans="1:3">
      <c r="A119" s="5" t="s">
        <v>274</v>
      </c>
      <c r="B119" s="6"/>
      <c r="C119" s="2" t="str">
        <f>IFERROR(VLOOKUP(VENTAS4[[#This Row],[Code]],STOCK[],5,FALSE),"-")</f>
        <v>Vestido camiseta bajo con abertura</v>
      </c>
    </row>
    <row r="120" s="2" customFormat="1" ht="55" customHeight="1" spans="1:3">
      <c r="A120" s="5" t="s">
        <v>275</v>
      </c>
      <c r="B120" s="6"/>
      <c r="C120" s="2" t="str">
        <f>IFERROR(VLOOKUP(VENTAS4[[#This Row],[Code]],STOCK[],5,FALSE),"-")</f>
        <v>Falda larga viniletto</v>
      </c>
    </row>
    <row r="121" s="2" customFormat="1" ht="55" customHeight="1" spans="1:3">
      <c r="A121" s="5" t="s">
        <v>278</v>
      </c>
      <c r="B121" s="6"/>
      <c r="C121" s="2" t="str">
        <f>IFERROR(VLOOKUP(VENTAS4[[#This Row],[Code]],STOCK[],5,FALSE),"-")</f>
        <v>Top de cuello V media manga</v>
      </c>
    </row>
    <row r="122" s="2" customFormat="1" ht="55" customHeight="1" spans="1:3">
      <c r="A122" s="5" t="s">
        <v>281</v>
      </c>
      <c r="B122" s="6"/>
      <c r="C122" s="2" t="str">
        <f>IFERROR(VLOOKUP(VENTAS4[[#This Row],[Code]],STOCK[],5,FALSE),"-")</f>
        <v>Conjunto cuadros</v>
      </c>
    </row>
    <row r="123" s="2" customFormat="1" ht="55" customHeight="1" spans="1:3">
      <c r="A123" s="5" t="s">
        <v>284</v>
      </c>
      <c r="B123" s="6"/>
      <c r="C123" s="2" t="str">
        <f>IFERROR(VLOOKUP(VENTAS4[[#This Row],[Code]],STOCK[],5,FALSE),"-")</f>
        <v>Vestido lápiz de manga con malla fina</v>
      </c>
    </row>
    <row r="124" s="2" customFormat="1" ht="55" customHeight="1" spans="1:3">
      <c r="A124" s="5" t="s">
        <v>286</v>
      </c>
      <c r="B124" s="6"/>
      <c r="C124" s="2" t="str">
        <f>IFERROR(VLOOKUP(VENTAS4[[#This Row],[Code]],STOCK[],5,FALSE),"-")</f>
        <v>Conjunto de cuello profundo con girante delantero con falda</v>
      </c>
    </row>
    <row r="125" s="2" customFormat="1" ht="55" customHeight="1" spans="1:3">
      <c r="A125" s="5" t="s">
        <v>289</v>
      </c>
      <c r="B125" s="6"/>
      <c r="C125" s="2" t="str">
        <f>IFERROR(VLOOKUP(VENTAS4[[#This Row],[Code]],STOCK[],5,FALSE),"-")</f>
        <v>Conjunto de cuello profundo con girante delantero con falda</v>
      </c>
    </row>
    <row r="126" s="2" customFormat="1" ht="55" customHeight="1" spans="1:3">
      <c r="A126" s="5" t="s">
        <v>290</v>
      </c>
      <c r="B126" s="6"/>
      <c r="C126" s="2" t="str">
        <f>IFERROR(VLOOKUP(VENTAS4[[#This Row],[Code]],STOCK[],5,FALSE),"-")</f>
        <v> Conjunto elegante acanalado </v>
      </c>
    </row>
    <row r="127" s="2" customFormat="1" ht="55" customHeight="1" spans="1:3">
      <c r="A127" s="5" t="s">
        <v>292</v>
      </c>
      <c r="B127" s="6"/>
      <c r="C127" s="2" t="str">
        <f>IFERROR(VLOOKUP(VENTAS4[[#This Row],[Code]],STOCK[],5,FALSE),"-")</f>
        <v>Blusa elegante con diseño geométrico</v>
      </c>
    </row>
    <row r="128" s="2" customFormat="1" ht="55" customHeight="1" spans="1:3">
      <c r="A128" s="5" t="s">
        <v>295</v>
      </c>
      <c r="B128" s="6"/>
      <c r="C128" s="2" t="str">
        <f>IFERROR(VLOOKUP(VENTAS4[[#This Row],[Code]],STOCK[],5,FALSE),"-")</f>
        <v>Conjunto falda y blusa</v>
      </c>
    </row>
    <row r="129" s="2" customFormat="1" ht="55" customHeight="1" spans="1:3">
      <c r="A129" s="5" t="s">
        <v>297</v>
      </c>
      <c r="B129" s="6"/>
      <c r="C129" s="2" t="str">
        <f>IFERROR(VLOOKUP(VENTAS4[[#This Row],[Code]],STOCK[],5,FALSE),"-")</f>
        <v>Jumpsuit palazzo con lazo delantero</v>
      </c>
    </row>
    <row r="130" s="2" customFormat="1" ht="55" customHeight="1" spans="1:3">
      <c r="A130" s="5" t="s">
        <v>300</v>
      </c>
      <c r="B130" s="6"/>
      <c r="C130" s="2" t="str">
        <f>IFERROR(VLOOKUP(VENTAS4[[#This Row],[Code]],STOCK[],5,FALSE),"-")</f>
        <v>Jumpsuit palazzo de tie dye</v>
      </c>
    </row>
    <row r="131" s="2" customFormat="1" ht="55" customHeight="1" spans="1:3">
      <c r="A131" s="5" t="s">
        <v>303</v>
      </c>
      <c r="B131" s="6"/>
      <c r="C131" s="2" t="str">
        <f>IFERROR(VLOOKUP(VENTAS4[[#This Row],[Code]],STOCK[],5,FALSE),"-")</f>
        <v>Jumpsuit palazzo de tie dye</v>
      </c>
    </row>
    <row r="132" s="2" customFormat="1" ht="55" customHeight="1" spans="1:3">
      <c r="A132" s="5" t="s">
        <v>304</v>
      </c>
      <c r="B132" s="6"/>
      <c r="C132" s="2" t="str">
        <f>IFERROR(VLOOKUP(VENTAS4[[#This Row],[Code]],STOCK[],5,FALSE),"-")</f>
        <v>Conjunto short, camisa y top</v>
      </c>
    </row>
    <row r="133" s="2" customFormat="1" ht="55" customHeight="1" spans="1:3">
      <c r="A133" s="5" t="s">
        <v>306</v>
      </c>
      <c r="B133" s="6"/>
      <c r="C133" s="2" t="str">
        <f>IFERROR(VLOOKUP(VENTAS4[[#This Row],[Code]],STOCK[],5,FALSE),"-")</f>
        <v>Conjunto short, camisa y top</v>
      </c>
    </row>
    <row r="134" s="2" customFormat="1" ht="55" customHeight="1" spans="1:3">
      <c r="A134" s="5" t="s">
        <v>307</v>
      </c>
      <c r="B134" s="6"/>
      <c r="C134" s="2" t="str">
        <f>IFERROR(VLOOKUP(VENTAS4[[#This Row],[Code]],STOCK[],5,FALSE),"-")</f>
        <v>Conjunto de top y pantalón</v>
      </c>
    </row>
    <row r="135" s="2" customFormat="1" ht="55" customHeight="1" spans="1:3">
      <c r="A135" s="5" t="s">
        <v>309</v>
      </c>
      <c r="B135" s="6"/>
      <c r="C135" s="2" t="str">
        <f>IFERROR(VLOOKUP(VENTAS4[[#This Row],[Code]],STOCK[],5,FALSE),"-")</f>
        <v>Vestido ajustado de titrantes finos</v>
      </c>
    </row>
    <row r="136" s="2" customFormat="1" ht="55" customHeight="1" spans="1:3">
      <c r="A136" s="5" t="s">
        <v>311</v>
      </c>
      <c r="B136" s="6"/>
      <c r="C136" s="2" t="str">
        <f>IFERROR(VLOOKUP(VENTAS4[[#This Row],[Code]],STOCK[],5,FALSE),"-")</f>
        <v>Vestido ajustado de titrantes finos</v>
      </c>
    </row>
    <row r="137" s="2" customFormat="1" ht="55" customHeight="1" spans="1:3">
      <c r="A137" s="5" t="s">
        <v>312</v>
      </c>
      <c r="B137" s="6"/>
      <c r="C137" s="2" t="str">
        <f>IFERROR(VLOOKUP(VENTAS4[[#This Row],[Code]],STOCK[],5,FALSE),"-")</f>
        <v>Vestido línea A elegante</v>
      </c>
    </row>
    <row r="138" s="2" customFormat="1" ht="55" customHeight="1" spans="1:3">
      <c r="A138" s="5" t="s">
        <v>314</v>
      </c>
      <c r="B138" s="6"/>
      <c r="C138" s="9" t="str">
        <f>IFERROR(VLOOKUP(VENTAS4[[#This Row],[Code]],STOCK[],5,FALSE),"-")</f>
        <v>Vestido línea A elegante</v>
      </c>
    </row>
    <row r="139" s="2" customFormat="1" ht="55" customHeight="1" spans="1:3">
      <c r="A139" s="5" t="s">
        <v>315</v>
      </c>
      <c r="B139" s="6"/>
      <c r="C139" s="9" t="str">
        <f>IFERROR(VLOOKUP(VENTAS4[[#This Row],[Code]],STOCK[],5,FALSE),"-")</f>
        <v>Conjunto Top y Falda con textura</v>
      </c>
    </row>
    <row r="140" s="2" customFormat="1" ht="55" customHeight="1" spans="1:3">
      <c r="A140" s="5" t="s">
        <v>317</v>
      </c>
      <c r="B140" s="6"/>
      <c r="C140" s="9" t="str">
        <f>IFERROR(VLOOKUP(VENTAS4[[#This Row],[Code]],STOCK[],5,FALSE),"-")</f>
        <v>Conjuntot Top corto &amp; Pantalones</v>
      </c>
    </row>
    <row r="141" s="2" customFormat="1" ht="55" customHeight="1" spans="1:3">
      <c r="A141" s="5" t="s">
        <v>319</v>
      </c>
      <c r="B141" s="6"/>
      <c r="C141" s="9" t="str">
        <f>IFERROR(VLOOKUP(VENTAS4[[#This Row],[Code]],STOCK[],5,FALSE),"-")</f>
        <v>Falda en mezclilla de talle alto con abertura</v>
      </c>
    </row>
    <row r="142" s="2" customFormat="1" ht="55" customHeight="1" spans="1:3">
      <c r="A142" s="5" t="s">
        <v>321</v>
      </c>
      <c r="B142" s="6"/>
      <c r="C142" s="9" t="str">
        <f>IFERROR(VLOOKUP(VENTAS4[[#This Row],[Code]],STOCK[],5,FALSE),"-")</f>
        <v>Conjunto top corto y pantalones</v>
      </c>
    </row>
    <row r="143" s="2" customFormat="1" ht="55" customHeight="1" spans="1:3">
      <c r="A143" s="5" t="s">
        <v>323</v>
      </c>
      <c r="B143" s="6"/>
      <c r="C143" s="9" t="str">
        <f>IFERROR(VLOOKUP(VENTAS4[[#This Row],[Code]],STOCK[],5,FALSE),"-")</f>
        <v>Vestido Tie-Dye Bohemio</v>
      </c>
    </row>
    <row r="144" s="2" customFormat="1" ht="55" customHeight="1" spans="1:3">
      <c r="A144" s="5" t="s">
        <v>325</v>
      </c>
      <c r="B144" s="6"/>
      <c r="C144" s="9" t="str">
        <f>IFERROR(VLOOKUP(VENTAS4[[#This Row],[Code]],STOCK[],5,FALSE),"-")</f>
        <v>Vestido camisero con cinturón</v>
      </c>
    </row>
    <row r="145" s="2" customFormat="1" ht="55" customHeight="1" spans="1:3">
      <c r="A145" s="5" t="s">
        <v>327</v>
      </c>
      <c r="B145" s="6"/>
      <c r="C145" s="9" t="str">
        <f>IFERROR(VLOOKUP(VENTAS4[[#This Row],[Code]],STOCK[],5,FALSE),"-")</f>
        <v>Vestido tubo con abertura de muslo con abertura</v>
      </c>
    </row>
    <row r="146" s="2" customFormat="1" ht="55" customHeight="1" spans="1:3">
      <c r="A146" s="5" t="s">
        <v>329</v>
      </c>
      <c r="B146" s="6"/>
      <c r="C146" s="9" t="str">
        <f>IFERROR(VLOOKUP(VENTAS4[[#This Row],[Code]],STOCK[],5,FALSE),"-")</f>
        <v>Vestido ajustado con abertura</v>
      </c>
    </row>
    <row r="147" s="2" customFormat="1" ht="55" customHeight="1" spans="1:3">
      <c r="A147" s="5" t="s">
        <v>331</v>
      </c>
      <c r="B147" s="6"/>
      <c r="C147" s="9" t="str">
        <f>IFERROR(VLOOKUP(VENTAS4[[#This Row],[Code]],STOCK[],5,FALSE),"-")</f>
        <v>Vestido floral con cinturón</v>
      </c>
    </row>
    <row r="148" s="2" customFormat="1" ht="55" customHeight="1" spans="1:3">
      <c r="A148" s="5" t="s">
        <v>333</v>
      </c>
      <c r="B148" s="6"/>
      <c r="C148" s="9" t="str">
        <f>IFERROR(VLOOKUP(VENTAS4[[#This Row],[Code]],STOCK[],5,FALSE),"-")</f>
        <v>Vestido cruzado de lunares </v>
      </c>
    </row>
    <row r="149" s="2" customFormat="1" ht="55" customHeight="1" spans="1:3">
      <c r="A149" s="5" t="s">
        <v>335</v>
      </c>
      <c r="B149" s="6"/>
      <c r="C149" s="9" t="str">
        <f>IFERROR(VLOOKUP(VENTAS4[[#This Row],[Code]],STOCK[],5,FALSE),"-")</f>
        <v>Vestido cruzado de lunares </v>
      </c>
    </row>
    <row r="150" s="2" customFormat="1" ht="55" customHeight="1" spans="1:3">
      <c r="A150" s="5" t="s">
        <v>336</v>
      </c>
      <c r="B150" s="6"/>
      <c r="C150" s="9" t="str">
        <f>IFERROR(VLOOKUP(VENTAS4[[#This Row],[Code]],STOCK[],5,FALSE),"-")</f>
        <v>Vestido healter dama de honor</v>
      </c>
    </row>
    <row r="151" s="2" customFormat="1" ht="55" customHeight="1" spans="1:3">
      <c r="A151" s="5" t="s">
        <v>339</v>
      </c>
      <c r="B151" s="6"/>
      <c r="C151" s="9" t="str">
        <f>IFERROR(VLOOKUP(VENTAS4[[#This Row],[Code]],STOCK[],5,FALSE),"-")</f>
        <v>Vestido healter dama de honor</v>
      </c>
    </row>
    <row r="152" s="2" customFormat="1" ht="55" customHeight="1" spans="1:3">
      <c r="A152" s="5" t="s">
        <v>340</v>
      </c>
      <c r="B152" s="6"/>
      <c r="C152" s="9" t="str">
        <f>IFERROR(VLOOKUP(VENTAS4[[#This Row],[Code]],STOCK[],5,FALSE),"-")</f>
        <v>Vestido healter dama de honor</v>
      </c>
    </row>
    <row r="153" s="2" customFormat="1" ht="55" customHeight="1" spans="1:3">
      <c r="A153" s="5" t="s">
        <v>341</v>
      </c>
      <c r="B153" s="6"/>
      <c r="C153" s="9" t="str">
        <f>IFERROR(VLOOKUP(VENTAS4[[#This Row],[Code]],STOCK[],5,FALSE),"-")</f>
        <v> Body de encaje</v>
      </c>
    </row>
    <row r="154" s="2" customFormat="1" ht="55" customHeight="1" spans="1:3">
      <c r="A154" s="5" t="s">
        <v>343</v>
      </c>
      <c r="B154" s="6"/>
      <c r="C154" s="9" t="str">
        <f>IFERROR(VLOOKUP(VENTAS4[[#This Row],[Code]],STOCK[],5,FALSE),"-")</f>
        <v>Vestido ajustado</v>
      </c>
    </row>
    <row r="155" s="2" customFormat="1" ht="55" customHeight="1" spans="1:3">
      <c r="A155" s="5" t="s">
        <v>345</v>
      </c>
      <c r="B155" s="6"/>
      <c r="C155" s="9" t="str">
        <f>IFERROR(VLOOKUP(VENTAS4[[#This Row],[Code]],STOCK[],5,FALSE),"-")</f>
        <v>SHEIN Belle Vestido de dama de honor de hombros descubiertos fruncido cruzado de satén</v>
      </c>
    </row>
    <row r="156" s="2" customFormat="1" ht="55" customHeight="1" spans="1:3">
      <c r="A156" s="5" t="s">
        <v>347</v>
      </c>
      <c r="B156" s="6"/>
      <c r="C156" s="9" t="str">
        <f>IFERROR(VLOOKUP(VENTAS4[[#This Row],[Code]],STOCK[],5,FALSE),"-")</f>
        <v>Vestido bajo cruzado de tie dye</v>
      </c>
    </row>
    <row r="157" s="2" customFormat="1" ht="55" customHeight="1" spans="1:3">
      <c r="A157" s="5" t="s">
        <v>349</v>
      </c>
      <c r="B157" s="6"/>
      <c r="C157" s="9" t="str">
        <f>IFERROR(VLOOKUP(VENTAS4[[#This Row],[Code]],STOCK[],5,FALSE),"-")</f>
        <v>Pañuelo con estampado de paisley</v>
      </c>
    </row>
    <row r="158" s="2" customFormat="1" ht="55" customHeight="1" spans="1:3">
      <c r="A158" s="5" t="s">
        <v>353</v>
      </c>
      <c r="B158" s="6"/>
      <c r="C158" s="9" t="str">
        <f>IFERROR(VLOOKUP(VENTAS4[[#This Row],[Code]],STOCK[],5,FALSE),"-")</f>
        <v>Vestido de espalda cruzada</v>
      </c>
    </row>
    <row r="159" s="2" customFormat="1" ht="55" customHeight="1" spans="1:3">
      <c r="A159" s="5" t="s">
        <v>355</v>
      </c>
      <c r="B159" s="6"/>
      <c r="C159" s="9" t="str">
        <f>IFERROR(VLOOKUP(VENTAS4[[#This Row],[Code]],STOCK[],5,FALSE),"-")</f>
        <v>EMERY ROSE Vestido maxi floral con estampado de pañuelo de manga farol bajo con fruncido</v>
      </c>
    </row>
    <row r="160" s="2" customFormat="1" ht="55" customHeight="1" spans="1:3">
      <c r="A160" s="5" t="s">
        <v>357</v>
      </c>
      <c r="B160" s="6"/>
      <c r="C160" s="9" t="str">
        <f>IFERROR(VLOOKUP(VENTAS4[[#This Row],[Code]],STOCK[],5,FALSE),"-")</f>
        <v>Vestido elegante de espalda corrida</v>
      </c>
    </row>
    <row r="161" s="2" customFormat="1" ht="55" customHeight="1" spans="1:3">
      <c r="A161" s="5" t="s">
        <v>359</v>
      </c>
      <c r="B161" s="6"/>
      <c r="C161" s="9" t="str">
        <f>IFERROR(VLOOKUP(VENTAS4[[#This Row],[Code]],STOCK[],5,FALSE),"-")</f>
        <v>Pantalón tejido de rayas </v>
      </c>
    </row>
    <row r="162" s="2" customFormat="1" ht="55" customHeight="1" spans="1:3">
      <c r="A162" s="5" t="s">
        <v>361</v>
      </c>
      <c r="B162" s="6"/>
      <c r="C162" s="9" t="str">
        <f>IFERROR(VLOOKUP(VENTAS4[[#This Row],[Code]],STOCK[],5,FALSE),"-")</f>
        <v>Pantalones tejido de rayas </v>
      </c>
    </row>
    <row r="163" s="2" customFormat="1" ht="55" customHeight="1" spans="1:3">
      <c r="A163" s="5" t="s">
        <v>363</v>
      </c>
      <c r="B163" s="6"/>
      <c r="C163" s="9" t="str">
        <f>IFERROR(VLOOKUP(VENTAS4[[#This Row],[Code]],STOCK[],5,FALSE),"-")</f>
        <v>Vestido satinado elegante</v>
      </c>
    </row>
    <row r="164" s="2" customFormat="1" ht="55" customHeight="1" spans="1:3">
      <c r="A164" s="5" t="s">
        <v>365</v>
      </c>
      <c r="B164" s="6"/>
      <c r="C164" s="9" t="str">
        <f>IFERROR(VLOOKUP(VENTAS4[[#This Row],[Code]],STOCK[],5,FALSE),"-")</f>
        <v>Vestido manga larga con cinturón</v>
      </c>
    </row>
    <row r="165" s="2" customFormat="1" ht="55" customHeight="1" spans="1:3">
      <c r="A165" s="5" t="s">
        <v>367</v>
      </c>
      <c r="B165" s="6"/>
      <c r="C165" s="9" t="str">
        <f>IFERROR(VLOOKUP(VENTAS4[[#This Row],[Code]],STOCK[],5,FALSE),"-")</f>
        <v>Vestido de un hombro con nudo</v>
      </c>
    </row>
    <row r="166" s="2" customFormat="1" ht="55" customHeight="1" spans="1:3">
      <c r="A166" s="5" t="s">
        <v>369</v>
      </c>
      <c r="B166" s="6"/>
      <c r="C166" s="9" t="str">
        <f>IFERROR(VLOOKUP(VENTAS4[[#This Row],[Code]],STOCK[],5,FALSE),"-")</f>
        <v>SHEIN Vestido niña ceremonia de tirantes bajo con malla con lazo grande_98CM</v>
      </c>
    </row>
    <row r="167" s="2" customFormat="1" ht="55" customHeight="1" spans="1:3">
      <c r="A167" s="5" t="s">
        <v>372</v>
      </c>
      <c r="B167" s="6"/>
      <c r="C167" s="9" t="str">
        <f>IFERROR(VLOOKUP(VENTAS4[[#This Row],[Code]],STOCK[],5,FALSE),"-")</f>
        <v>SHEIN VCAY Vestido ajustado con estampado de corazón de confeti de hombros descubiertos ribete fruncido_S</v>
      </c>
    </row>
    <row r="168" s="2" customFormat="1" ht="55" customHeight="1" spans="1:3">
      <c r="A168" s="5" t="s">
        <v>374</v>
      </c>
      <c r="B168" s="6"/>
      <c r="C168" s="9" t="str">
        <f>IFERROR(VLOOKUP(VENTAS4[[#This Row],[Code]],STOCK[],5,FALSE),"-")</f>
        <v>SHEIN Belle Vestido de dama de honor de hombros descubiertos fruncido cruzado_S</v>
      </c>
    </row>
    <row r="169" s="2" customFormat="1" ht="55" customHeight="1" spans="1:3">
      <c r="A169" s="5" t="s">
        <v>376</v>
      </c>
      <c r="B169" s="6"/>
      <c r="C169" s="9" t="str">
        <f>IFERROR(VLOOKUP(VENTAS4[[#This Row],[Code]],STOCK[],5,FALSE),"-")</f>
        <v>SHEIN Felegant Vestido ajustado con estampado de leopardo_M</v>
      </c>
    </row>
    <row r="170" s="2" customFormat="1" ht="55" customHeight="1" spans="1:3">
      <c r="A170" s="5" t="s">
        <v>378</v>
      </c>
      <c r="B170" s="6"/>
      <c r="C170" s="9" t="str">
        <f>IFERROR(VLOOKUP(VENTAS4[[#This Row],[Code]],STOCK[],5,FALSE),"-")</f>
        <v>Elegant Vestido ajustado con estampado de leopardo</v>
      </c>
    </row>
    <row r="171" s="2" customFormat="1" ht="55" customHeight="1" spans="1:3">
      <c r="A171" s="5" t="s">
        <v>380</v>
      </c>
      <c r="B171" s="6"/>
      <c r="C171" s="9" t="str">
        <f>IFERROR(VLOOKUP(VENTAS4[[#This Row],[Code]],STOCK[],5,FALSE),"-")</f>
        <v>Vestido corto de puntos </v>
      </c>
    </row>
    <row r="172" s="2" customFormat="1" ht="55" customHeight="1" spans="1:3">
      <c r="A172" s="5" t="s">
        <v>382</v>
      </c>
      <c r="B172" s="6"/>
      <c r="C172" s="9" t="str">
        <f>IFERROR(VLOOKUP(VENTAS4[[#This Row],[Code]],STOCK[],5,FALSE),"-")</f>
        <v>Cinturón con hebilla_Unitalla</v>
      </c>
    </row>
    <row r="173" s="2" customFormat="1" ht="55" customHeight="1" spans="1:3">
      <c r="A173" s="5" t="s">
        <v>385</v>
      </c>
      <c r="B173" s="6"/>
      <c r="C173" s="9" t="str">
        <f>IFERROR(VLOOKUP(VENTAS4[[#This Row],[Code]],STOCK[],5,FALSE),"-")</f>
        <v>Bolsa cartera con manija_Negro</v>
      </c>
    </row>
    <row r="174" s="2" customFormat="1" ht="55" customHeight="1" spans="1:3">
      <c r="A174" s="5" t="s">
        <v>388</v>
      </c>
      <c r="B174" s="6"/>
      <c r="C174" s="9" t="str">
        <f>IFERROR(VLOOKUP(VENTAS4[[#This Row],[Code]],STOCK[],5,FALSE),"-")</f>
        <v>Bolsa cartera con solapa con lagartija_Caqui</v>
      </c>
    </row>
    <row r="175" s="2" customFormat="1" ht="55" customHeight="1" spans="1:3">
      <c r="A175" s="5" t="s">
        <v>390</v>
      </c>
      <c r="B175" s="6"/>
      <c r="C175" s="9" t="str">
        <f>IFERROR(VLOOKUP(VENTAS4[[#This Row],[Code]],STOCK[],5,FALSE),"-")</f>
        <v>Brocha para maquillaje</v>
      </c>
    </row>
    <row r="176" s="2" customFormat="1" ht="55" customHeight="1" spans="1:3">
      <c r="A176" s="5" t="s">
        <v>394</v>
      </c>
      <c r="B176" s="6"/>
      <c r="C176" s="9" t="str">
        <f>IFERROR(VLOOKUP(VENTAS4[[#This Row],[Code]],STOCK[],5,FALSE),"-")</f>
        <v>Bolsa cartera de cocodrilo_Naranja Quemada</v>
      </c>
    </row>
    <row r="177" s="2" customFormat="1" ht="55" customHeight="1" spans="1:3">
      <c r="A177" s="5" t="s">
        <v>396</v>
      </c>
      <c r="B177" s="6"/>
      <c r="C177" s="9" t="str">
        <f>IFERROR(VLOOKUP(VENTAS4[[#This Row],[Code]],STOCK[],5,FALSE),"-")</f>
        <v>Cinturones Casual</v>
      </c>
    </row>
    <row r="178" s="2" customFormat="1" ht="55" customHeight="1" spans="1:3">
      <c r="A178" s="5" t="s">
        <v>398</v>
      </c>
      <c r="B178" s="6"/>
      <c r="C178" s="9" t="str">
        <f>IFERROR(VLOOKUP(VENTAS4[[#This Row],[Code]],STOCK[],5,FALSE),"-")</f>
        <v>EMERY ROSE Vestido Volante rígido Floral Sencillo_L</v>
      </c>
    </row>
    <row r="179" s="2" customFormat="1" ht="55" customHeight="1" spans="1:3">
      <c r="A179" s="5" t="s">
        <v>400</v>
      </c>
      <c r="B179" s="6"/>
      <c r="C179" s="9" t="str">
        <f>IFERROR(VLOOKUP(VENTAS4[[#This Row],[Code]],STOCK[],5,FALSE),"-")</f>
        <v>Vestido Volante rígido Floral </v>
      </c>
    </row>
    <row r="180" s="2" customFormat="1" ht="55" customHeight="1" spans="1:3">
      <c r="A180" s="5" t="s">
        <v>402</v>
      </c>
      <c r="B180" s="6"/>
      <c r="C180" s="9" t="str">
        <f>IFERROR(VLOOKUP(VENTAS4[[#This Row],[Code]],STOCK[],5,FALSE),"-")</f>
        <v>Vestido Floreado corte de sirena</v>
      </c>
    </row>
    <row r="181" s="2" customFormat="1" ht="55" customHeight="1" spans="1:3">
      <c r="A181" s="5" t="s">
        <v>404</v>
      </c>
      <c r="B181" s="6"/>
      <c r="C181" s="9" t="str">
        <f>IFERROR(VLOOKUP(VENTAS4[[#This Row],[Code]],STOCK[],5,FALSE),"-")</f>
        <v>Vestido Bohemio</v>
      </c>
    </row>
    <row r="182" s="2" customFormat="1" ht="55" customHeight="1" spans="1:3">
      <c r="A182" s="5" t="s">
        <v>406</v>
      </c>
      <c r="B182" s="6"/>
      <c r="C182" s="9" t="str">
        <f>IFERROR(VLOOKUP(VENTAS4[[#This Row],[Code]],STOCK[],5,FALSE),"-")</f>
        <v>Bañador una pieza de color combinado </v>
      </c>
    </row>
    <row r="183" s="2" customFormat="1" ht="55" customHeight="1" spans="1:3">
      <c r="A183" s="5" t="s">
        <v>408</v>
      </c>
      <c r="B183" s="6"/>
      <c r="C183" s="9" t="str">
        <f>IFERROR(VLOOKUP(VENTAS4[[#This Row],[Code]],STOCK[],5,FALSE),"-")</f>
        <v>Bañador una pieza de color combinado </v>
      </c>
    </row>
    <row r="184" s="2" customFormat="1" ht="55" customHeight="1" spans="1:3">
      <c r="A184" s="5" t="s">
        <v>409</v>
      </c>
      <c r="B184" s="6"/>
      <c r="C184" s="9" t="str">
        <f>IFERROR(VLOOKUP(VENTAS4[[#This Row],[Code]],STOCK[],5,FALSE),"-")</f>
        <v>Bañador una pieza de color combinado </v>
      </c>
    </row>
    <row r="185" s="2" customFormat="1" ht="55" customHeight="1" spans="1:3">
      <c r="A185" s="5" t="s">
        <v>410</v>
      </c>
      <c r="B185" s="6"/>
      <c r="C185" s="9" t="str">
        <f>IFERROR(VLOOKUP(VENTAS4[[#This Row],[Code]],STOCK[],5,FALSE),"-")</f>
        <v>Bikini Floral</v>
      </c>
    </row>
    <row r="186" s="2" customFormat="1" ht="55" customHeight="1" spans="1:3">
      <c r="A186" s="5" t="s">
        <v>411</v>
      </c>
      <c r="B186" s="6"/>
      <c r="C186" s="9" t="str">
        <f>IFERROR(VLOOKUP(VENTAS4[[#This Row],[Code]],STOCK[],5,FALSE),"-")</f>
        <v>Bikini Floral</v>
      </c>
    </row>
    <row r="187" s="2" customFormat="1" ht="55" customHeight="1" spans="1:3">
      <c r="A187" s="5" t="s">
        <v>412</v>
      </c>
      <c r="B187" s="6"/>
      <c r="C187" s="9" t="str">
        <f>IFERROR(VLOOKUP(VENTAS4[[#This Row],[Code]],STOCK[],5,FALSE),"-")</f>
        <v>Bikini Floral</v>
      </c>
    </row>
    <row r="188" s="2" customFormat="1" ht="55" customHeight="1" spans="1:3">
      <c r="A188" s="5" t="s">
        <v>413</v>
      </c>
      <c r="B188" s="6"/>
      <c r="C188" s="9" t="str">
        <f>IFERROR(VLOOKUP(VENTAS4[[#This Row],[Code]],STOCK[],5,FALSE),"-")</f>
        <v>Bañador bikini tropical con estampado de hoja de talle alto_L</v>
      </c>
    </row>
    <row r="189" s="2" customFormat="1" ht="55" customHeight="1" spans="1:3">
      <c r="A189" s="5" t="s">
        <v>415</v>
      </c>
      <c r="B189" s="6"/>
      <c r="C189" s="9" t="str">
        <f>IFERROR(VLOOKUP(VENTAS4[[#This Row],[Code]],STOCK[],5,FALSE),"-")</f>
        <v>Bañador bikini tropical con estampado de hoja de talle alto_M</v>
      </c>
    </row>
    <row r="190" s="2" customFormat="1" ht="55" customHeight="1" spans="1:3">
      <c r="A190" s="5" t="s">
        <v>417</v>
      </c>
      <c r="B190" s="6"/>
      <c r="C190" s="9" t="str">
        <f>IFERROR(VLOOKUP(VENTAS4[[#This Row],[Code]],STOCK[],5,FALSE),"-")</f>
        <v>Bikini tropical con estampado de hoja</v>
      </c>
    </row>
    <row r="191" s="2" customFormat="1" ht="55" customHeight="1" spans="1:3">
      <c r="A191" s="5" t="s">
        <v>419</v>
      </c>
      <c r="B191" s="6"/>
      <c r="C191" s="9" t="str">
        <f>IFERROR(VLOOKUP(VENTAS4[[#This Row],[Code]],STOCK[],5,FALSE),"-")</f>
        <v>Bañador una pieza tropical_XL</v>
      </c>
    </row>
    <row r="192" s="2" customFormat="1" ht="55" customHeight="1" spans="1:3">
      <c r="A192" s="5" t="s">
        <v>421</v>
      </c>
      <c r="B192" s="6"/>
      <c r="C192" s="9" t="str">
        <f>IFERROR(VLOOKUP(VENTAS4[[#This Row],[Code]],STOCK[],5,FALSE),"-")</f>
        <v>Bañador una pieza tropical_M</v>
      </c>
    </row>
    <row r="193" s="2" customFormat="1" ht="55" customHeight="1" spans="1:3">
      <c r="A193" s="5" t="s">
        <v>423</v>
      </c>
      <c r="B193" s="6"/>
      <c r="C193" s="9" t="str">
        <f>IFERROR(VLOOKUP(VENTAS4[[#This Row],[Code]],STOCK[],5,FALSE),"-")</f>
        <v>Bañador una pieza tropical_L</v>
      </c>
    </row>
    <row r="194" s="2" customFormat="1" ht="55" customHeight="1" spans="1:3">
      <c r="A194" s="5" t="s">
        <v>425</v>
      </c>
      <c r="B194" s="6"/>
      <c r="C194" s="9" t="str">
        <f>IFERROR(VLOOKUP(VENTAS4[[#This Row],[Code]],STOCK[],5,FALSE),"-")</f>
        <v>Mono Bohemiocon cinturón </v>
      </c>
    </row>
    <row r="195" s="2" customFormat="1" ht="55" customHeight="1" spans="1:3">
      <c r="A195" s="5" t="s">
        <v>427</v>
      </c>
      <c r="B195" s="6"/>
      <c r="C195" s="9" t="str">
        <f>IFERROR(VLOOKUP(VENTAS4[[#This Row],[Code]],STOCK[],5,FALSE),"-")</f>
        <v>Mono Bohemio con cinturón </v>
      </c>
    </row>
    <row r="196" s="2" customFormat="1" ht="55" customHeight="1" spans="1:3">
      <c r="A196" s="5" t="s">
        <v>429</v>
      </c>
      <c r="B196" s="6"/>
      <c r="C196" s="9" t="str">
        <f>IFERROR(VLOOKUP(VENTAS4[[#This Row],[Code]],STOCK[],5,FALSE),"-")</f>
        <v>Vestido con cordón de espalda cruzada</v>
      </c>
    </row>
    <row r="197" s="2" customFormat="1" ht="55" customHeight="1" spans="1:3">
      <c r="A197" s="5" t="s">
        <v>431</v>
      </c>
      <c r="B197" s="6"/>
      <c r="C197" s="9" t="str">
        <f>IFERROR(VLOOKUP(VENTAS4[[#This Row],[Code]],STOCK[],5,FALSE),"-")</f>
        <v>Vestido con cordón de espalda cruzada</v>
      </c>
    </row>
    <row r="198" s="2" customFormat="1" ht="55" customHeight="1" spans="1:3">
      <c r="A198" s="5" t="s">
        <v>432</v>
      </c>
      <c r="B198" s="6"/>
      <c r="C198" s="9" t="str">
        <f>IFERROR(VLOOKUP(VENTAS4[[#This Row],[Code]],STOCK[],5,FALSE),"-")</f>
        <v>Vestido con cordón de espalda abierta </v>
      </c>
    </row>
    <row r="199" s="2" customFormat="1" ht="55" customHeight="1" spans="1:3">
      <c r="A199" s="5" t="s">
        <v>434</v>
      </c>
      <c r="B199" s="6"/>
      <c r="C199" s="9" t="str">
        <f>IFERROR(VLOOKUP(VENTAS4[[#This Row],[Code]],STOCK[],5,FALSE),"-")</f>
        <v>Camisa amplia multicolor </v>
      </c>
    </row>
    <row r="200" s="2" customFormat="1" ht="55" customHeight="1" spans="1:3">
      <c r="A200" s="5" t="s">
        <v>436</v>
      </c>
      <c r="B200" s="6"/>
      <c r="C200" s="9" t="str">
        <f>IFERROR(VLOOKUP(VENTAS4[[#This Row],[Code]],STOCK[],5,FALSE),"-")</f>
        <v>Bañador bikini floral</v>
      </c>
    </row>
    <row r="201" s="2" customFormat="1" ht="55" customHeight="1" spans="1:3">
      <c r="A201" s="5" t="s">
        <v>438</v>
      </c>
      <c r="B201" s="6"/>
      <c r="C201" s="9" t="str">
        <f>IFERROR(VLOOKUP(VENTAS4[[#This Row],[Code]],STOCK[],5,FALSE),"-")</f>
        <v>Bañador estampado de planta</v>
      </c>
    </row>
    <row r="202" s="2" customFormat="1" ht="55" customHeight="1" spans="1:3">
      <c r="A202" s="5" t="s">
        <v>439</v>
      </c>
      <c r="B202" s="6"/>
      <c r="C202" s="9" t="str">
        <f>IFERROR(VLOOKUP(VENTAS4[[#This Row],[Code]],STOCK[],5,FALSE),"-")</f>
        <v>Blusa de cuello cisne</v>
      </c>
    </row>
    <row r="203" s="2" customFormat="1" ht="55" customHeight="1" spans="1:3">
      <c r="A203" s="5" t="s">
        <v>441</v>
      </c>
      <c r="B203" s="6"/>
      <c r="C203" s="9" t="str">
        <f>IFERROR(VLOOKUP(VENTAS4[[#This Row],[Code]],STOCK[],5,FALSE),"-")</f>
        <v>Top corto de cuello cuadrado </v>
      </c>
    </row>
    <row r="204" s="2" customFormat="1" ht="55" customHeight="1" spans="1:3">
      <c r="A204" s="5" t="s">
        <v>444</v>
      </c>
      <c r="B204" s="6"/>
      <c r="C204" s="9" t="str">
        <f>IFERROR(VLOOKUP(VENTAS4[[#This Row],[Code]],STOCK[],5,FALSE),"-")</f>
        <v>Vestido Amanecer</v>
      </c>
    </row>
    <row r="205" s="2" customFormat="1" ht="55" customHeight="1" spans="1:3">
      <c r="A205" s="5" t="s">
        <v>446</v>
      </c>
      <c r="B205" s="6"/>
      <c r="C205" s="9" t="str">
        <f>IFERROR(VLOOKUP(VENTAS4[[#This Row],[Code]],STOCK[],5,FALSE),"-")</f>
        <v>Skort asimétrico floral </v>
      </c>
    </row>
    <row r="206" s="2" customFormat="1" ht="55" customHeight="1" spans="1:3">
      <c r="A206" s="5" t="s">
        <v>448</v>
      </c>
      <c r="B206" s="6"/>
      <c r="C206" s="9" t="str">
        <f>IFERROR(VLOOKUP(VENTAS4[[#This Row],[Code]],STOCK[],5,FALSE),"-")</f>
        <v>Bañador estampado de planta</v>
      </c>
    </row>
    <row r="207" s="2" customFormat="1" ht="55" customHeight="1" spans="1:3">
      <c r="A207" s="5" t="s">
        <v>449</v>
      </c>
      <c r="B207" s="6"/>
      <c r="C207" s="9" t="str">
        <f>IFERROR(VLOOKUP(VENTAS4[[#This Row],[Code]],STOCK[],5,FALSE),"-")</f>
        <v>Bañador estampado de planta</v>
      </c>
    </row>
    <row r="208" s="2" customFormat="1" ht="55" customHeight="1" spans="1:3">
      <c r="A208" s="5" t="s">
        <v>450</v>
      </c>
      <c r="B208" s="6"/>
      <c r="C208" s="9" t="str">
        <f>IFERROR(VLOOKUP(VENTAS4[[#This Row],[Code]],STOCK[],5,FALSE),"-")</f>
        <v>Bañador estampado de planta</v>
      </c>
    </row>
    <row r="209" s="2" customFormat="1" ht="55" customHeight="1" spans="1:3">
      <c r="A209" s="5" t="s">
        <v>451</v>
      </c>
      <c r="B209" s="6"/>
      <c r="C209" s="9" t="str">
        <f>IFERROR(VLOOKUP(VENTAS4[[#This Row],[Code]],STOCK[],5,FALSE),"-")</f>
        <v>Bañador bikini de manga raglán con cordón floral</v>
      </c>
    </row>
    <row r="210" s="2" customFormat="1" ht="55" customHeight="1" spans="1:3">
      <c r="A210" s="5" t="s">
        <v>453</v>
      </c>
      <c r="B210" s="6"/>
      <c r="C210" s="9" t="str">
        <f>IFERROR(VLOOKUP(VENTAS4[[#This Row],[Code]],STOCK[],5,FALSE),"-")</f>
        <v>Bañador bikini de manga raglán con cordón floral</v>
      </c>
    </row>
    <row r="211" s="2" customFormat="1" ht="55" customHeight="1" spans="1:3">
      <c r="A211" s="5" t="s">
        <v>454</v>
      </c>
      <c r="B211" s="6"/>
      <c r="C211" s="9" t="str">
        <f>IFERROR(VLOOKUP(VENTAS4[[#This Row],[Code]],STOCK[],5,FALSE),"-")</f>
        <v>Bikini de manga y short floreado</v>
      </c>
    </row>
    <row r="212" s="2" customFormat="1" ht="55" customHeight="1" spans="1:3">
      <c r="A212" s="5" t="s">
        <v>456</v>
      </c>
      <c r="B212" s="6"/>
      <c r="C212" s="9" t="str">
        <f>IFERROR(VLOOKUP(VENTAS4[[#This Row],[Code]],STOCK[],5,FALSE),"-")</f>
        <v>Bolso pequeño guateado con perla artificial</v>
      </c>
    </row>
    <row r="213" s="2" customFormat="1" ht="55" customHeight="1" spans="1:3">
      <c r="A213" s="5" t="s">
        <v>458</v>
      </c>
      <c r="B213" s="6"/>
      <c r="C213" s="9" t="str">
        <f>IFERROR(VLOOKUP(VENTAS4[[#This Row],[Code]],STOCK[],5,FALSE),"-")</f>
        <v>Bañador bikini con estampado tropical_M</v>
      </c>
    </row>
    <row r="214" s="2" customFormat="1" ht="55" customHeight="1" spans="1:3">
      <c r="A214" s="5" t="s">
        <v>460</v>
      </c>
      <c r="B214" s="6"/>
      <c r="C214" s="9" t="str">
        <f>IFERROR(VLOOKUP(VENTAS4[[#This Row],[Code]],STOCK[],5,FALSE),"-")</f>
        <v>Bañador bikini con estampado tropical con nudo de talle alto_M</v>
      </c>
    </row>
    <row r="215" s="2" customFormat="1" ht="55" customHeight="1" spans="1:3">
      <c r="A215" s="5" t="s">
        <v>462</v>
      </c>
      <c r="B215" s="6"/>
      <c r="C215" s="9" t="str">
        <f>IFERROR(VLOOKUP(VENTAS4[[#This Row],[Code]],STOCK[],5,FALSE),"-")</f>
        <v>Vestido cruzado de lunares</v>
      </c>
    </row>
    <row r="216" s="2" customFormat="1" ht="55" customHeight="1" spans="1:3">
      <c r="A216" s="5" t="s">
        <v>464</v>
      </c>
      <c r="B216" s="6"/>
      <c r="C216" s="9" t="str">
        <f>IFERROR(VLOOKUP(VENTAS4[[#This Row],[Code]],STOCK[],5,FALSE),"-")</f>
        <v>Vestido escote de corazón</v>
      </c>
    </row>
    <row r="217" s="2" customFormat="1" ht="55" customHeight="1" spans="1:3">
      <c r="A217" s="5" t="s">
        <v>466</v>
      </c>
      <c r="B217" s="6"/>
      <c r="C217" s="9" t="str">
        <f>IFERROR(VLOOKUP(VENTAS4[[#This Row],[Code]],STOCK[],5,FALSE),"-")</f>
        <v>Vestido escote de corazón</v>
      </c>
    </row>
    <row r="218" s="2" customFormat="1" ht="55" customHeight="1" spans="1:3">
      <c r="A218" s="5" t="s">
        <v>467</v>
      </c>
      <c r="B218" s="6"/>
      <c r="C218" s="9" t="str">
        <f>IFERROR(VLOOKUP(VENTAS4[[#This Row],[Code]],STOCK[],5,FALSE),"-")</f>
        <v>Vestido plisado</v>
      </c>
    </row>
    <row r="219" s="2" customFormat="1" ht="55" customHeight="1" spans="1:3">
      <c r="A219" s="5" t="s">
        <v>471</v>
      </c>
      <c r="B219" s="6"/>
      <c r="C219" s="9" t="str">
        <f>IFERROR(VLOOKUP(VENTAS4[[#This Row],[Code]],STOCK[],5,FALSE),"-")</f>
        <v>Vestido plisado</v>
      </c>
    </row>
    <row r="220" s="2" customFormat="1" ht="55" customHeight="1" spans="1:3">
      <c r="A220" s="5" t="s">
        <v>472</v>
      </c>
      <c r="B220" s="6"/>
      <c r="C220" s="9" t="str">
        <f>IFERROR(VLOOKUP(VENTAS4[[#This Row],[Code]],STOCK[],5,FALSE),"-")</f>
        <v>SHEIN Vestido de hombros descubiertos con botón falso de cintura fruncido de manga farol_S</v>
      </c>
    </row>
    <row r="221" s="2" customFormat="1" ht="55" customHeight="1" spans="1:3">
      <c r="A221" s="5" t="s">
        <v>474</v>
      </c>
      <c r="B221" s="6"/>
      <c r="C221" s="9" t="str">
        <f>IFERROR(VLOOKUP(VENTAS4[[#This Row],[Code]],STOCK[],5,FALSE),"-")</f>
        <v>Bañador bikini push up de cuadros girante_M</v>
      </c>
    </row>
    <row r="222" s="2" customFormat="1" ht="55" customHeight="1" spans="1:3">
      <c r="A222" s="5" t="s">
        <v>476</v>
      </c>
      <c r="B222" s="6"/>
      <c r="C222" s="9" t="str">
        <f>IFERROR(VLOOKUP(VENTAS4[[#This Row],[Code]],STOCK[],5,FALSE),"-")</f>
        <v>Vestido asimétrico</v>
      </c>
    </row>
    <row r="223" s="2" customFormat="1" ht="55" customHeight="1" spans="1:3">
      <c r="A223" s="5" t="s">
        <v>478</v>
      </c>
      <c r="B223" s="6"/>
      <c r="C223" s="9" t="str">
        <f>IFERROR(VLOOKUP(VENTAS4[[#This Row],[Code]],STOCK[],5,FALSE),"-")</f>
        <v>Bolsa cuadrada mini geométrico </v>
      </c>
    </row>
    <row r="224" s="2" customFormat="1" ht="55" customHeight="1" spans="1:3">
      <c r="A224" s="5" t="s">
        <v>480</v>
      </c>
      <c r="B224" s="6"/>
      <c r="C224" s="9" t="str">
        <f>IFERROR(VLOOKUP(VENTAS4[[#This Row],[Code]],STOCK[],5,FALSE),"-")</f>
        <v>Bikini estampado cebra</v>
      </c>
    </row>
    <row r="225" s="2" customFormat="1" ht="55" customHeight="1" spans="1:3">
      <c r="A225" s="5" t="s">
        <v>482</v>
      </c>
      <c r="B225" s="6"/>
      <c r="C225" s="9" t="str">
        <f>IFERROR(VLOOKUP(VENTAS4[[#This Row],[Code]],STOCK[],5,FALSE),"-")</f>
        <v>Bikini estampado cebra</v>
      </c>
    </row>
    <row r="226" s="2" customFormat="1" ht="55" customHeight="1" spans="1:3">
      <c r="A226" s="5" t="s">
        <v>484</v>
      </c>
      <c r="B226" s="6"/>
      <c r="C226" s="9" t="str">
        <f>IFERROR(VLOOKUP(VENTAS4[[#This Row],[Code]],STOCK[],5,FALSE),"-")</f>
        <v>Bolsa cartera con manija</v>
      </c>
    </row>
    <row r="227" s="2" customFormat="1" ht="55" customHeight="1" spans="1:3">
      <c r="A227" s="5" t="s">
        <v>486</v>
      </c>
      <c r="B227" s="6"/>
      <c r="C227" s="9" t="str">
        <f>IFERROR(VLOOKUP(VENTAS4[[#This Row],[Code]],STOCK[],5,FALSE),"-")</f>
        <v>Bolsa bandolera</v>
      </c>
    </row>
    <row r="228" s="2" customFormat="1" ht="55" customHeight="1" spans="1:3">
      <c r="A228" s="5" t="s">
        <v>490</v>
      </c>
      <c r="B228" s="6"/>
      <c r="C228" s="9" t="str">
        <f>IFERROR(VLOOKUP(VENTAS4[[#This Row],[Code]],STOCK[],5,FALSE),"-")</f>
        <v>Bolso cartera con solapa transparente</v>
      </c>
    </row>
    <row r="229" s="2" customFormat="1" ht="55" customHeight="1" spans="1:3">
      <c r="A229" s="5" t="s">
        <v>492</v>
      </c>
      <c r="B229" s="6"/>
      <c r="C229" s="9" t="str">
        <f>IFERROR(VLOOKUP(VENTAS4[[#This Row],[Code]],STOCK[],5,FALSE),"-")</f>
        <v>Bañador de talle alto con vuelos</v>
      </c>
    </row>
    <row r="230" s="2" customFormat="1" ht="55" customHeight="1" spans="1:3">
      <c r="A230" s="5" t="s">
        <v>494</v>
      </c>
      <c r="B230" s="6"/>
      <c r="C230" s="9" t="str">
        <f>IFERROR(VLOOKUP(VENTAS4[[#This Row],[Code]],STOCK[],5,FALSE),"-")</f>
        <v>Bañador bikini con nudo delantero bajo fruncido tropical_S</v>
      </c>
    </row>
    <row r="231" s="2" customFormat="1" ht="55" customHeight="1" spans="1:3">
      <c r="A231" s="5" t="s">
        <v>496</v>
      </c>
      <c r="B231" s="6"/>
      <c r="C231" s="9" t="str">
        <f>IFERROR(VLOOKUP(VENTAS4[[#This Row],[Code]],STOCK[],5,FALSE),"-")</f>
        <v>Bikini estampado de cebra</v>
      </c>
    </row>
    <row r="232" s="2" customFormat="1" ht="55" customHeight="1" spans="1:3">
      <c r="A232" s="5" t="s">
        <v>498</v>
      </c>
      <c r="B232" s="6"/>
      <c r="C232" s="9" t="str">
        <f>IFERROR(VLOOKUP(VENTAS4[[#This Row],[Code]],STOCK[],5,FALSE),"-")</f>
        <v>Vestido Bohemio</v>
      </c>
    </row>
    <row r="233" s="2" customFormat="1" ht="55" customHeight="1" spans="1:3">
      <c r="A233" s="5" t="s">
        <v>499</v>
      </c>
      <c r="B233" s="6"/>
      <c r="C233" s="9" t="str">
        <f>IFERROR(VLOOKUP(VENTAS4[[#This Row],[Code]],STOCK[],5,FALSE),"-")</f>
        <v>Vestido Bohemio</v>
      </c>
    </row>
    <row r="234" s="2" customFormat="1" ht="55" customHeight="1" spans="1:3">
      <c r="A234" s="5" t="s">
        <v>500</v>
      </c>
      <c r="B234" s="6"/>
      <c r="C234" s="9" t="str">
        <f>IFERROR(VLOOKUP(VENTAS4[[#This Row],[Code]],STOCK[],5,FALSE),"-")</f>
        <v>3 piezas Bañador bikini push up con estampado tropical con falda de playa</v>
      </c>
    </row>
    <row r="235" s="2" customFormat="1" ht="55" customHeight="1" spans="1:3">
      <c r="A235" s="5" t="s">
        <v>502</v>
      </c>
      <c r="B235" s="6"/>
      <c r="C235" s="9" t="str">
        <f>IFERROR(VLOOKUP(VENTAS4[[#This Row],[Code]],STOCK[],5,FALSE),"-")</f>
        <v>Bikini push up tropical </v>
      </c>
    </row>
    <row r="236" s="2" customFormat="1" ht="55" customHeight="1" spans="1:3">
      <c r="A236" s="5" t="s">
        <v>504</v>
      </c>
      <c r="B236" s="6"/>
      <c r="C236" s="9" t="str">
        <f>IFERROR(VLOOKUP(VENTAS4[[#This Row],[Code]],STOCK[],5,FALSE),"-")</f>
        <v>Capucha de dos tonos</v>
      </c>
    </row>
    <row r="237" s="2" customFormat="1" ht="55" customHeight="1" spans="1:3">
      <c r="A237" s="5" t="s">
        <v>507</v>
      </c>
      <c r="B237" s="6"/>
      <c r="C237" s="9" t="str">
        <f>IFERROR(VLOOKUP(VENTAS4[[#This Row],[Code]],STOCK[],5,FALSE),"-")</f>
        <v>3 piezas Bañador bikini triángulo halter con estampado geométrico con pantalones cover up</v>
      </c>
    </row>
    <row r="238" s="2" customFormat="1" ht="55" customHeight="1" spans="1:3">
      <c r="A238" s="5" t="s">
        <v>509</v>
      </c>
      <c r="B238" s="6"/>
      <c r="C238" s="9" t="str">
        <f>IFERROR(VLOOKUP(VENTAS4[[#This Row],[Code]],STOCK[],5,FALSE),"-")</f>
        <v>Set 3 piezas bikini</v>
      </c>
    </row>
    <row r="239" s="2" customFormat="1" ht="55" customHeight="1" spans="1:3">
      <c r="A239" s="5" t="s">
        <v>511</v>
      </c>
      <c r="B239" s="6"/>
      <c r="C239" s="9" t="str">
        <f>IFERROR(VLOOKUP(VENTAS4[[#This Row],[Code]],STOCK[],5,FALSE),"-")</f>
        <v>Estuche para gafas transparente</v>
      </c>
    </row>
    <row r="240" s="2" customFormat="1" ht="55" customHeight="1" spans="1:3">
      <c r="A240" s="5" t="s">
        <v>513</v>
      </c>
      <c r="B240" s="6"/>
      <c r="C240" s="9" t="str">
        <f>IFERROR(VLOOKUP(VENTAS4[[#This Row],[Code]],STOCK[],5,FALSE),"-")</f>
        <v>Zapatillas con cordón </v>
      </c>
    </row>
    <row r="241" s="2" customFormat="1" ht="55" customHeight="1" spans="1:3">
      <c r="A241" s="5" t="s">
        <v>517</v>
      </c>
      <c r="B241" s="6"/>
      <c r="C241" s="9" t="str">
        <f>IFERROR(VLOOKUP(VENTAS4[[#This Row],[Code]],STOCK[],5,FALSE),"-")</f>
        <v>Calcetines unicolor</v>
      </c>
    </row>
    <row r="242" s="2" customFormat="1" ht="55" customHeight="1" spans="1:3">
      <c r="A242" s="5" t="s">
        <v>519</v>
      </c>
      <c r="B242" s="6"/>
      <c r="C242" s="9" t="str">
        <f>IFERROR(VLOOKUP(VENTAS4[[#This Row],[Code]],STOCK[],5,FALSE),"-")</f>
        <v> Mocasines con puntada</v>
      </c>
    </row>
    <row r="243" s="2" customFormat="1" ht="55" customHeight="1" spans="1:3">
      <c r="A243" s="5" t="s">
        <v>521</v>
      </c>
      <c r="B243" s="6"/>
      <c r="C243" s="9" t="str">
        <f>IFERROR(VLOOKUP(VENTAS4[[#This Row],[Code]],STOCK[],5,FALSE),"-")</f>
        <v>Almohadilla de maquillaje </v>
      </c>
    </row>
    <row r="244" s="2" customFormat="1" ht="55" customHeight="1" spans="1:3">
      <c r="A244" s="5" t="s">
        <v>525</v>
      </c>
      <c r="B244" s="6"/>
      <c r="C244" s="9" t="str">
        <f>IFERROR(VLOOKUP(VENTAS4[[#This Row],[Code]],STOCK[],5,FALSE),"-")</f>
        <v>Alisador</v>
      </c>
    </row>
    <row r="245" s="2" customFormat="1" ht="55" customHeight="1" spans="1:3">
      <c r="A245" s="5" t="s">
        <v>529</v>
      </c>
      <c r="B245" s="6"/>
      <c r="C245" s="9" t="str">
        <f>IFERROR(VLOOKUP(VENTAS4[[#This Row],[Code]],STOCK[],5,FALSE),"-")</f>
        <v>Esponja de maquillaje </v>
      </c>
    </row>
    <row r="246" s="2" customFormat="1" ht="55" customHeight="1" spans="1:3">
      <c r="A246" s="5" t="s">
        <v>531</v>
      </c>
      <c r="B246" s="6"/>
      <c r="C246" s="9" t="str">
        <f>IFERROR(VLOOKUP(VENTAS4[[#This Row],[Code]],STOCK[],5,FALSE),"-")</f>
        <v>Rizador de pelo de color al azar 10 piezas</v>
      </c>
    </row>
    <row r="247" s="2" customFormat="1" ht="55" customHeight="1" spans="1:3">
      <c r="A247" s="5" t="s">
        <v>533</v>
      </c>
      <c r="B247" s="6"/>
      <c r="C247" s="9" t="str">
        <f>IFERROR(VLOOKUP(VENTAS4[[#This Row],[Code]],STOCK[],5,FALSE),"-")</f>
        <v>Vestido corrugado de vuelos</v>
      </c>
    </row>
    <row r="248" s="2" customFormat="1" ht="55" customHeight="1" spans="1:3">
      <c r="A248" s="5" t="s">
        <v>535</v>
      </c>
      <c r="B248" s="6"/>
      <c r="C248" s="9" t="str">
        <f>IFERROR(VLOOKUP(VENTAS4[[#This Row],[Code]],STOCK[],5,FALSE),"-")</f>
        <v>Gafas minimalista de moda </v>
      </c>
    </row>
    <row r="249" s="2" customFormat="1" ht="55" customHeight="1" spans="1:3">
      <c r="A249" s="5" t="s">
        <v>537</v>
      </c>
      <c r="B249" s="6"/>
      <c r="C249" s="9" t="str">
        <f>IFERROR(VLOOKUP(VENTAS4[[#This Row],[Code]],STOCK[],5,FALSE),"-")</f>
        <v>Sandalias de tiras con diseño de diamante de imitación con tacón grueso Plateado_MX24</v>
      </c>
    </row>
    <row r="250" s="2" customFormat="1" ht="55" customHeight="1" spans="1:3">
      <c r="A250" s="5" t="s">
        <v>540</v>
      </c>
      <c r="B250" s="6"/>
      <c r="C250" s="9" t="str">
        <f>IFERROR(VLOOKUP(VENTAS4[[#This Row],[Code]],STOCK[],5,FALSE),"-")</f>
        <v>SHEIN Felegant Shorts PU de cintura con volante con cordón Negro_5</v>
      </c>
    </row>
    <row r="251" s="2" customFormat="1" ht="55" customHeight="1" spans="1:3">
      <c r="A251" s="5" t="s">
        <v>542</v>
      </c>
      <c r="B251" s="6"/>
      <c r="C251" s="9" t="str">
        <f>IFERROR(VLOOKUP(VENTAS4[[#This Row],[Code]],STOCK[],5,FALSE),"-")</f>
        <v>Body de un hombro manga farol </v>
      </c>
    </row>
    <row r="252" s="2" customFormat="1" ht="55" customHeight="1" spans="1:3">
      <c r="A252" s="5" t="s">
        <v>544</v>
      </c>
      <c r="B252" s="6"/>
      <c r="C252" s="9" t="str">
        <f>IFERROR(VLOOKUP(VENTAS4[[#This Row],[Code]],STOCK[],5,FALSE),"-")</f>
        <v>Cubierta de pezón de metal vinculado</v>
      </c>
    </row>
    <row r="253" s="2" customFormat="1" ht="55" customHeight="1" spans="1:3">
      <c r="A253" s="5" t="s">
        <v>548</v>
      </c>
      <c r="B253" s="6"/>
      <c r="C253" s="9" t="str">
        <f>IFERROR(VLOOKUP(VENTAS4[[#This Row],[Code]],STOCK[],5,FALSE),"-")</f>
        <v>Shorts bajo de doblez de cintura </v>
      </c>
    </row>
    <row r="254" s="2" customFormat="1" ht="55" customHeight="1" spans="1:3">
      <c r="A254" s="5" t="s">
        <v>550</v>
      </c>
      <c r="B254" s="6"/>
      <c r="C254" s="9" t="str">
        <f>IFERROR(VLOOKUP(VENTAS4[[#This Row],[Code]],STOCK[],5,FALSE),"-")</f>
        <v>Botines con tacón con cordón</v>
      </c>
    </row>
    <row r="255" s="2" customFormat="1" ht="55" customHeight="1" spans="1:3">
      <c r="A255" s="5" t="s">
        <v>552</v>
      </c>
      <c r="B255" s="6"/>
      <c r="C255" s="9" t="str">
        <f>IFERROR(VLOOKUP(VENTAS4[[#This Row],[Code]],STOCK[],5,FALSE),"-")</f>
        <v>Falda con abertura alta_XS</v>
      </c>
    </row>
    <row r="256" s="2" customFormat="1" ht="55" customHeight="1" spans="1:3">
      <c r="A256" s="5" t="s">
        <v>554</v>
      </c>
      <c r="B256" s="6"/>
      <c r="C256" s="9" t="str">
        <f>IFERROR(VLOOKUP(VENTAS4[[#This Row],[Code]],STOCK[],5,FALSE),"-")</f>
        <v>Sandalias plateadas con pedrería</v>
      </c>
    </row>
    <row r="257" s="2" customFormat="1" ht="55" customHeight="1" spans="1:3">
      <c r="A257" s="5" t="s">
        <v>557</v>
      </c>
      <c r="B257" s="6"/>
      <c r="C257" s="9" t="str">
        <f>IFERROR(VLOOKUP(VENTAS4[[#This Row],[Code]],STOCK[],5,FALSE),"-")</f>
        <v>Vestido Azul Rey de tela faja</v>
      </c>
    </row>
    <row r="258" s="2" customFormat="1" ht="55" customHeight="1" spans="1:3">
      <c r="A258" s="5" t="s">
        <v>559</v>
      </c>
      <c r="B258" s="6"/>
      <c r="C258" s="9" t="str">
        <f>IFERROR(VLOOKUP(VENTAS4[[#This Row],[Code]],STOCK[],5,FALSE),"-")</f>
        <v>Shorts de cintura con cordón</v>
      </c>
    </row>
    <row r="259" s="2" customFormat="1" ht="55" customHeight="1" spans="1:3">
      <c r="A259" s="5" t="s">
        <v>561</v>
      </c>
      <c r="B259" s="6"/>
      <c r="C259" s="9" t="str">
        <f>IFERROR(VLOOKUP(VENTAS4[[#This Row],[Code]],STOCK[],5,FALSE),"-")</f>
        <v>Vestido de muslo con abertura .</v>
      </c>
    </row>
    <row r="260" s="2" customFormat="1" ht="55" customHeight="1" spans="1:3">
      <c r="A260" s="5" t="s">
        <v>563</v>
      </c>
      <c r="B260" s="6"/>
      <c r="C260" s="9" t="str">
        <f>IFERROR(VLOOKUP(VENTAS4[[#This Row],[Code]],STOCK[],5,FALSE),"-")</f>
        <v>Vestido de espalda abierta de manga farol_S</v>
      </c>
    </row>
    <row r="261" s="2" customFormat="1" ht="55" customHeight="1" spans="1:3">
      <c r="A261" s="5" t="s">
        <v>565</v>
      </c>
      <c r="B261" s="6"/>
      <c r="C261" s="9" t="str">
        <f>IFERROR(VLOOKUP(VENTAS4[[#This Row],[Code]],STOCK[],5,FALSE),"-")</f>
        <v>Vestido de espalda abierta de manga farol_XS</v>
      </c>
    </row>
    <row r="262" s="2" customFormat="1" ht="55" customHeight="1" spans="1:3">
      <c r="A262" s="5" t="s">
        <v>567</v>
      </c>
      <c r="B262" s="6"/>
      <c r="C262" s="9" t="str">
        <f>IFERROR(VLOOKUP(VENTAS4[[#This Row],[Code]],STOCK[],5,FALSE),"-")</f>
        <v>Vestido de manga farol de cuello cuadrado_L</v>
      </c>
    </row>
    <row r="263" s="2" customFormat="1" ht="55" customHeight="1" spans="1:3">
      <c r="A263" s="5" t="s">
        <v>569</v>
      </c>
      <c r="B263" s="6"/>
      <c r="C263" s="9" t="str">
        <f>IFERROR(VLOOKUP(VENTAS4[[#This Row],[Code]],STOCK[],5,FALSE),"-")</f>
        <v>Vestido de manga farol de cuello cuadrado_M</v>
      </c>
    </row>
    <row r="264" s="2" customFormat="1" ht="55" customHeight="1" spans="1:3">
      <c r="A264" s="5" t="s">
        <v>571</v>
      </c>
      <c r="B264" s="6"/>
      <c r="C264" s="9" t="str">
        <f>IFERROR(VLOOKUP(VENTAS4[[#This Row],[Code]],STOCK[],5,FALSE),"-")</f>
        <v>Vestido de manga farol de cuello cuadrado_S</v>
      </c>
    </row>
    <row r="265" s="2" customFormat="1" ht="55" customHeight="1" spans="1:3">
      <c r="A265" s="5" t="s">
        <v>573</v>
      </c>
      <c r="B265" s="6"/>
      <c r="C265" s="9" t="str">
        <f>IFERROR(VLOOKUP(VENTAS4[[#This Row],[Code]],STOCK[],5,FALSE),"-")</f>
        <v>Vestido de manga farol de cuello cuadrado_XS</v>
      </c>
    </row>
    <row r="266" s="2" customFormat="1" ht="55" customHeight="1" spans="1:3">
      <c r="A266" s="5" t="s">
        <v>575</v>
      </c>
      <c r="B266" s="6"/>
      <c r="C266" s="9" t="str">
        <f>IFERROR(VLOOKUP(VENTAS4[[#This Row],[Code]],STOCK[],5,FALSE),"-")</f>
        <v>Top de hombros descubiertos unicolor ribete con fruncido_S</v>
      </c>
    </row>
    <row r="267" s="2" customFormat="1" ht="55" customHeight="1" spans="1:3">
      <c r="A267" s="5" t="s">
        <v>577</v>
      </c>
      <c r="B267" s="6"/>
      <c r="C267" s="9" t="str">
        <f>IFERROR(VLOOKUP(VENTAS4[[#This Row],[Code]],STOCK[],5,FALSE),"-")</f>
        <v>SHEIN SXY Camiseta corta unicolor con abertura_XS</v>
      </c>
    </row>
    <row r="268" s="2" customFormat="1" ht="55" customHeight="1" spans="1:3">
      <c r="A268" s="5" t="s">
        <v>579</v>
      </c>
      <c r="B268" s="6"/>
      <c r="C268" s="9" t="str">
        <f>IFERROR(VLOOKUP(VENTAS4[[#This Row],[Code]],STOCK[],5,FALSE),"-")</f>
        <v>Camiseta corta unicolor con abertura</v>
      </c>
    </row>
    <row r="269" s="2" customFormat="1" ht="55" customHeight="1" spans="1:3">
      <c r="A269" s="5" t="s">
        <v>581</v>
      </c>
      <c r="B269" s="6"/>
      <c r="C269" s="9" t="str">
        <f>IFERROR(VLOOKUP(VENTAS4[[#This Row],[Code]],STOCK[],5,FALSE),"-")</f>
        <v>SHEIN SXY Camiseta corta unicolor con abertura</v>
      </c>
    </row>
    <row r="270" s="2" customFormat="1" ht="55" customHeight="1" spans="1:3">
      <c r="A270" s="5" t="s">
        <v>583</v>
      </c>
      <c r="B270" s="6"/>
      <c r="C270" s="9" t="str">
        <f>IFERROR(VLOOKUP(VENTAS4[[#This Row],[Code]],STOCK[],5,FALSE),"-")</f>
        <v>Top cruzado blanco</v>
      </c>
    </row>
    <row r="271" s="2" customFormat="1" ht="55" customHeight="1" spans="1:3">
      <c r="A271" s="5" t="s">
        <v>586</v>
      </c>
      <c r="B271" s="6"/>
      <c r="C271" s="9" t="str">
        <f>IFERROR(VLOOKUP(VENTAS4[[#This Row],[Code]],STOCK[],5,FALSE),"-")</f>
        <v>Top cruzado blanco</v>
      </c>
    </row>
    <row r="272" s="2" customFormat="1" ht="55" customHeight="1" spans="1:3">
      <c r="A272" s="5" t="s">
        <v>587</v>
      </c>
      <c r="B272" s="6"/>
      <c r="C272" s="9" t="str">
        <f>IFERROR(VLOOKUP(VENTAS4[[#This Row],[Code]],STOCK[],5,FALSE),"-")</f>
        <v>Top corto manga farol</v>
      </c>
    </row>
    <row r="273" s="2" customFormat="1" ht="55" customHeight="1" spans="1:3">
      <c r="A273" s="5" t="s">
        <v>589</v>
      </c>
      <c r="B273" s="6"/>
      <c r="C273" s="9" t="str">
        <f>IFERROR(VLOOKUP(VENTAS4[[#This Row],[Code]],STOCK[],5,FALSE),"-")</f>
        <v>SHEIN SXY Top corto con nudo con abertura de manga farol_S</v>
      </c>
    </row>
    <row r="274" s="2" customFormat="1" ht="55" customHeight="1" spans="1:3">
      <c r="A274" s="5" t="s">
        <v>591</v>
      </c>
      <c r="B274" s="6"/>
      <c r="C274" s="9" t="str">
        <f>IFERROR(VLOOKUP(VENTAS4[[#This Row],[Code]],STOCK[],5,FALSE),"-")</f>
        <v>SHEIN SXY Top corto con nudo con abertura de manga farol_M</v>
      </c>
    </row>
    <row r="275" s="2" customFormat="1" ht="55" customHeight="1" spans="1:3">
      <c r="A275" s="5" t="s">
        <v>593</v>
      </c>
      <c r="B275" s="6"/>
      <c r="C275" s="9" t="str">
        <f>IFERROR(VLOOKUP(VENTAS4[[#This Row],[Code]],STOCK[],5,FALSE),"-")</f>
        <v>Top cruzado naranja</v>
      </c>
    </row>
    <row r="276" s="2" customFormat="1" ht="55" customHeight="1" spans="1:3">
      <c r="A276" s="5" t="s">
        <v>595</v>
      </c>
      <c r="B276" s="6"/>
      <c r="C276" s="9" t="str">
        <f>IFERROR(VLOOKUP(VENTAS4[[#This Row],[Code]],STOCK[],5,FALSE),"-")</f>
        <v>Top cruzado naranja</v>
      </c>
    </row>
    <row r="277" s="2" customFormat="1" ht="55" customHeight="1" spans="1:3">
      <c r="A277" s="5" t="s">
        <v>596</v>
      </c>
      <c r="B277" s="6"/>
      <c r="C277" s="9" t="str">
        <f>IFERROR(VLOOKUP(VENTAS4[[#This Row],[Code]],STOCK[],5,FALSE),"-")</f>
        <v>Top cruzado naranja</v>
      </c>
    </row>
    <row r="278" s="2" customFormat="1" ht="55" customHeight="1" spans="1:3">
      <c r="A278" s="5" t="s">
        <v>597</v>
      </c>
      <c r="B278" s="6"/>
      <c r="C278" s="9" t="str">
        <f>IFERROR(VLOOKUP(VENTAS4[[#This Row],[Code]],STOCK[],5,FALSE),"-")</f>
        <v>Top corsetero asimétrico</v>
      </c>
    </row>
    <row r="279" s="2" customFormat="1" ht="55" customHeight="1" spans="1:3">
      <c r="A279" s="5" t="s">
        <v>599</v>
      </c>
      <c r="B279" s="6"/>
      <c r="C279" s="9" t="str">
        <f>IFERROR(VLOOKUP(VENTAS4[[#This Row],[Code]],STOCK[],5,FALSE),"-")</f>
        <v>Top corsetero asimétrico</v>
      </c>
    </row>
    <row r="280" s="2" customFormat="1" ht="55" customHeight="1" spans="1:3">
      <c r="A280" s="5" t="s">
        <v>600</v>
      </c>
      <c r="B280" s="6"/>
      <c r="C280" s="9" t="str">
        <f>IFERROR(VLOOKUP(VENTAS4[[#This Row],[Code]],STOCK[],5,FALSE),"-")</f>
        <v>Top corsetero asimétrico</v>
      </c>
    </row>
    <row r="281" s="2" customFormat="1" ht="55" customHeight="1" spans="1:3">
      <c r="A281" s="5" t="s">
        <v>601</v>
      </c>
      <c r="B281" s="6"/>
      <c r="C281" s="9" t="str">
        <f>IFERROR(VLOOKUP(VENTAS4[[#This Row],[Code]],STOCK[],5,FALSE),"-")</f>
        <v>Vestido floral de mangas farol</v>
      </c>
    </row>
    <row r="282" s="2" customFormat="1" ht="55" customHeight="1" spans="1:3">
      <c r="A282" s="5" t="s">
        <v>603</v>
      </c>
      <c r="B282" s="6"/>
      <c r="C282" s="9" t="str">
        <f>IFERROR(VLOOKUP(VENTAS4[[#This Row],[Code]],STOCK[],5,FALSE),"-")</f>
        <v>Vestido floral de mangas farol</v>
      </c>
    </row>
    <row r="283" s="2" customFormat="1" ht="55" customHeight="1" spans="1:3">
      <c r="A283" s="5" t="s">
        <v>604</v>
      </c>
      <c r="B283" s="6"/>
      <c r="C283" s="9" t="str">
        <f>IFERROR(VLOOKUP(VENTAS4[[#This Row],[Code]],STOCK[],5,FALSE),"-")</f>
        <v>Vestido floral de mangas farol</v>
      </c>
    </row>
    <row r="284" s="2" customFormat="1" ht="55" customHeight="1" spans="1:3">
      <c r="A284" s="5" t="s">
        <v>605</v>
      </c>
      <c r="B284" s="6"/>
      <c r="C284" s="9" t="str">
        <f>IFERROR(VLOOKUP(VENTAS4[[#This Row],[Code]],STOCK[],5,FALSE),"-")</f>
        <v>SHEIN Vestido con estampado floral pecho con fruncido con nudo delantero bajo con fruncido_L</v>
      </c>
    </row>
    <row r="285" s="2" customFormat="1" ht="55" customHeight="1" spans="1:3">
      <c r="A285" s="5" t="s">
        <v>607</v>
      </c>
      <c r="B285" s="6"/>
      <c r="C285" s="9" t="str">
        <f>IFERROR(VLOOKUP(VENTAS4[[#This Row],[Code]],STOCK[],5,FALSE),"-")</f>
        <v>Camiseta corta de cuadros</v>
      </c>
    </row>
    <row r="286" s="2" customFormat="1" ht="55" customHeight="1" spans="1:3">
      <c r="A286" s="5" t="s">
        <v>609</v>
      </c>
      <c r="B286" s="6"/>
      <c r="C286" s="9" t="str">
        <f>IFERROR(VLOOKUP(VENTAS4[[#This Row],[Code]],STOCK[],5,FALSE),"-")</f>
        <v>SHEIN Vestido fruncido de cuello con cordón de manga con volante de lunares_XS</v>
      </c>
    </row>
    <row r="287" s="2" customFormat="1" ht="55" customHeight="1" spans="1:3">
      <c r="A287" s="5" t="s">
        <v>611</v>
      </c>
      <c r="B287" s="6"/>
      <c r="C287" s="9" t="str">
        <f>IFERROR(VLOOKUP(VENTAS4[[#This Row],[Code]],STOCK[],5,FALSE),"-")</f>
        <v>SHEIN Vestido fruncido de cuello con cordón de manga con volante de lunares_M</v>
      </c>
    </row>
    <row r="288" s="2" customFormat="1" ht="55" customHeight="1" spans="1:3">
      <c r="A288" s="5" t="s">
        <v>613</v>
      </c>
      <c r="B288" s="6"/>
      <c r="C288" s="9" t="str">
        <f>IFERROR(VLOOKUP(VENTAS4[[#This Row],[Code]],STOCK[],5,FALSE),"-")</f>
        <v>Camiseta corta de manga farol</v>
      </c>
    </row>
    <row r="289" s="2" customFormat="1" ht="55" customHeight="1" spans="1:3">
      <c r="A289" s="5" t="s">
        <v>615</v>
      </c>
      <c r="B289" s="6"/>
      <c r="C289" s="9" t="str">
        <f>IFERROR(VLOOKUP(VENTAS4[[#This Row],[Code]],STOCK[],5,FALSE),"-")</f>
        <v>Camiseta corta de manga farol</v>
      </c>
    </row>
    <row r="290" s="2" customFormat="1" ht="55" customHeight="1" spans="1:3">
      <c r="A290" s="5" t="s">
        <v>616</v>
      </c>
      <c r="B290" s="6"/>
      <c r="C290" s="9" t="str">
        <f>IFERROR(VLOOKUP(VENTAS4[[#This Row],[Code]],STOCK[],5,FALSE),"-")</f>
        <v>Cinturón trenzado </v>
      </c>
    </row>
    <row r="291" s="2" customFormat="1" ht="55" customHeight="1" spans="1:3">
      <c r="A291" s="5" t="s">
        <v>618</v>
      </c>
      <c r="B291" s="6"/>
      <c r="C291" s="9" t="str">
        <f>IFERROR(VLOOKUP(VENTAS4[[#This Row],[Code]],STOCK[],5,FALSE),"-")</f>
        <v>Vestido pecho con fruncido </v>
      </c>
    </row>
    <row r="292" s="2" customFormat="1" ht="55" customHeight="1" spans="1:3">
      <c r="A292" s="5" t="s">
        <v>620</v>
      </c>
      <c r="B292" s="6"/>
      <c r="C292" s="9" t="str">
        <f>IFERROR(VLOOKUP(VENTAS4[[#This Row],[Code]],STOCK[],5,FALSE),"-")</f>
        <v>Vestido pecho con fruncido cruzado cintura con estampado floral_S</v>
      </c>
    </row>
    <row r="293" s="2" customFormat="1" ht="55" customHeight="1" spans="1:3">
      <c r="A293" s="5" t="s">
        <v>622</v>
      </c>
      <c r="B293" s="6"/>
      <c r="C293" s="9" t="str">
        <f>IFERROR(VLOOKUP(VENTAS4[[#This Row],[Code]],STOCK[],5,FALSE),"-")</f>
        <v>Vestido pecho con fruncido cruzado cintura con estampado floral_M</v>
      </c>
    </row>
    <row r="294" s="2" customFormat="1" ht="55" customHeight="1" spans="1:3">
      <c r="A294" s="5" t="s">
        <v>624</v>
      </c>
      <c r="B294" s="6"/>
      <c r="C294" s="9" t="str">
        <f>IFERROR(VLOOKUP(VENTAS4[[#This Row],[Code]],STOCK[],5,FALSE),"-")</f>
        <v>Vestido pecho con fruncido cruzado cintura con estampado floral_L</v>
      </c>
    </row>
    <row r="295" s="2" customFormat="1" ht="55" customHeight="1" spans="1:3">
      <c r="A295" s="5" t="s">
        <v>626</v>
      </c>
      <c r="B295" s="6"/>
      <c r="C295" s="9" t="str">
        <f>IFERROR(VLOOKUP(VENTAS4[[#This Row],[Code]],STOCK[],5,FALSE),"-")</f>
        <v>Vestido vaporoso</v>
      </c>
    </row>
    <row r="296" s="2" customFormat="1" ht="55" customHeight="1" spans="1:3">
      <c r="A296" s="5" t="s">
        <v>628</v>
      </c>
      <c r="B296" s="6"/>
      <c r="C296" s="9" t="str">
        <f>IFERROR(VLOOKUP(VENTAS4[[#This Row],[Code]],STOCK[],5,FALSE),"-")</f>
        <v>Vestido ajustado de malla en contraste</v>
      </c>
    </row>
    <row r="297" s="2" customFormat="1" ht="55" customHeight="1" spans="1:3">
      <c r="A297" s="5" t="s">
        <v>630</v>
      </c>
      <c r="B297" s="6"/>
      <c r="C297" s="9" t="str">
        <f>IFERROR(VLOOKUP(VENTAS4[[#This Row],[Code]],STOCK[],5,FALSE),"-")</f>
        <v>Vestido floral con abertura trasera</v>
      </c>
    </row>
    <row r="298" s="2" customFormat="1" ht="55" customHeight="1" spans="1:3">
      <c r="A298" s="5" t="s">
        <v>632</v>
      </c>
      <c r="B298" s="6"/>
      <c r="C298" s="9" t="str">
        <f>IFERROR(VLOOKUP(VENTAS4[[#This Row],[Code]],STOCK[],5,FALSE),"-")</f>
        <v>Vestido floral con abertura trasera</v>
      </c>
    </row>
    <row r="299" s="2" customFormat="1" ht="55" customHeight="1" spans="1:3">
      <c r="A299" s="5" t="s">
        <v>633</v>
      </c>
      <c r="B299" s="6"/>
      <c r="C299" s="9" t="str">
        <f>IFERROR(VLOOKUP(VENTAS4[[#This Row],[Code]],STOCK[],5,FALSE),"-")</f>
        <v>Vestido floral con abertura trasera</v>
      </c>
    </row>
    <row r="300" s="2" customFormat="1" ht="55" customHeight="1" spans="1:3">
      <c r="A300" s="5" t="s">
        <v>634</v>
      </c>
      <c r="B300" s="6"/>
      <c r="C300" s="9" t="str">
        <f>IFERROR(VLOOKUP(VENTAS4[[#This Row],[Code]],STOCK[],5,FALSE),"-")</f>
        <v>Vestido floral escote corazón</v>
      </c>
    </row>
    <row r="301" s="2" customFormat="1" ht="55" customHeight="1" spans="1:3">
      <c r="A301" s="5" t="s">
        <v>636</v>
      </c>
      <c r="B301" s="6"/>
      <c r="C301" s="9" t="str">
        <f>IFERROR(VLOOKUP(VENTAS4[[#This Row],[Code]],STOCK[],5,FALSE),"-")</f>
        <v>Vestido floral escote corazón</v>
      </c>
    </row>
    <row r="302" s="2" customFormat="1" ht="55" customHeight="1" spans="1:3">
      <c r="A302" s="5" t="s">
        <v>637</v>
      </c>
      <c r="B302" s="6"/>
      <c r="C302" s="9" t="str">
        <f>IFERROR(VLOOKUP(VENTAS4[[#This Row],[Code]],STOCK[],5,FALSE),"-")</f>
        <v>SHEIN Vestido con estampado floral con nudo delantero de manga farol_L</v>
      </c>
    </row>
    <row r="303" s="2" customFormat="1" ht="55" customHeight="1" spans="1:3">
      <c r="A303" s="5" t="s">
        <v>639</v>
      </c>
      <c r="B303" s="6"/>
      <c r="C303" s="9" t="str">
        <f>IFERROR(VLOOKUP(VENTAS4[[#This Row],[Code]],STOCK[],5,FALSE),"-")</f>
        <v>Vestido con estampado floral</v>
      </c>
    </row>
    <row r="304" s="2" customFormat="1" ht="55" customHeight="1" spans="1:3">
      <c r="A304" s="5" t="s">
        <v>641</v>
      </c>
      <c r="B304" s="6"/>
      <c r="C304" s="9" t="str">
        <f>IFERROR(VLOOKUP(VENTAS4[[#This Row],[Code]],STOCK[],5,FALSE),"-")</f>
        <v>Vestido con estampado floral</v>
      </c>
    </row>
    <row r="305" s="2" customFormat="1" ht="55" customHeight="1" spans="1:3">
      <c r="A305" s="5" t="s">
        <v>642</v>
      </c>
      <c r="B305" s="6"/>
      <c r="C305" s="9" t="str">
        <f>IFERROR(VLOOKUP(VENTAS4[[#This Row],[Code]],STOCK[],5,FALSE),"-")</f>
        <v>Vestido floral de manga farol escote corazón con cordón lateral_S</v>
      </c>
    </row>
    <row r="306" s="2" customFormat="1" ht="55" customHeight="1" spans="1:3">
      <c r="A306" s="5" t="s">
        <v>644</v>
      </c>
      <c r="B306" s="6"/>
      <c r="C306" s="9" t="str">
        <f>IFERROR(VLOOKUP(VENTAS4[[#This Row],[Code]],STOCK[],5,FALSE),"-")</f>
        <v>Vestido con estampado jungla</v>
      </c>
    </row>
    <row r="307" s="2" customFormat="1" ht="55" customHeight="1" spans="1:3">
      <c r="A307" s="5" t="s">
        <v>646</v>
      </c>
      <c r="B307" s="6"/>
      <c r="C307" s="9" t="str">
        <f>IFERROR(VLOOKUP(VENTAS4[[#This Row],[Code]],STOCK[],5,FALSE),"-")</f>
        <v>Vestido con estampado jungla</v>
      </c>
    </row>
    <row r="308" s="2" customFormat="1" ht="55" customHeight="1" spans="1:3">
      <c r="A308" s="5" t="s">
        <v>647</v>
      </c>
      <c r="B308" s="6"/>
      <c r="C308" s="9" t="str">
        <f>IFERROR(VLOOKUP(VENTAS4[[#This Row],[Code]],STOCK[],5,FALSE),"-")</f>
        <v>Vestido con estampado jungla</v>
      </c>
    </row>
    <row r="309" s="2" customFormat="1" ht="55" customHeight="1" spans="1:3">
      <c r="A309" s="5" t="s">
        <v>649</v>
      </c>
      <c r="B309" s="6"/>
      <c r="C309" s="9" t="str">
        <f>IFERROR(VLOOKUP(VENTAS4[[#This Row],[Code]],STOCK[],5,FALSE),"-")</f>
        <v>Vestido floral de manga farol de espalda abierta con cordón bajo con fruncido_XS</v>
      </c>
    </row>
    <row r="310" s="2" customFormat="1" ht="55" customHeight="1" spans="1:3">
      <c r="A310" s="5" t="s">
        <v>651</v>
      </c>
      <c r="B310" s="6"/>
      <c r="C310" s="9" t="str">
        <f>IFERROR(VLOOKUP(VENTAS4[[#This Row],[Code]],STOCK[],5,FALSE),"-")</f>
        <v>Vestido floral de manga farol de espalda abierta con cordón bajo con fruncido_S</v>
      </c>
    </row>
    <row r="311" s="2" customFormat="1" ht="55" customHeight="1" spans="1:3">
      <c r="A311" s="5" t="s">
        <v>653</v>
      </c>
      <c r="B311" s="6"/>
      <c r="C311" s="9" t="str">
        <f>IFERROR(VLOOKUP(VENTAS4[[#This Row],[Code]],STOCK[],5,FALSE),"-")</f>
        <v>Vestido floral de manga farol de espalda abierta con cordón bajo con fruncido_M</v>
      </c>
    </row>
    <row r="312" s="2" customFormat="1" ht="55" customHeight="1" spans="1:3">
      <c r="A312" s="5" t="s">
        <v>655</v>
      </c>
      <c r="B312" s="6"/>
      <c r="C312" s="9" t="str">
        <f>IFERROR(VLOOKUP(VENTAS4[[#This Row],[Code]],STOCK[],5,FALSE),"-")</f>
        <v>Vestido floral de manga farol de espalda abierta con cordón bajo con fruncido_L</v>
      </c>
    </row>
    <row r="313" s="2" customFormat="1" ht="55" customHeight="1" spans="1:3">
      <c r="A313" s="5" t="s">
        <v>657</v>
      </c>
      <c r="B313" s="6"/>
      <c r="C313" s="9" t="str">
        <f>IFERROR(VLOOKUP(VENTAS4[[#This Row],[Code]],STOCK[],5,FALSE),"-")</f>
        <v>SHEIN Vestido lencero floral de muslo con abertura_XS</v>
      </c>
    </row>
    <row r="314" s="2" customFormat="1" ht="55" customHeight="1" spans="1:3">
      <c r="A314" s="5" t="s">
        <v>659</v>
      </c>
      <c r="B314" s="6"/>
      <c r="C314" s="9" t="str">
        <f>IFERROR(VLOOKUP(VENTAS4[[#This Row],[Code]],STOCK[],5,FALSE),"-")</f>
        <v>SHEIN Vestido lencero floral de muslo con abertura_S</v>
      </c>
    </row>
    <row r="315" s="2" customFormat="1" ht="55" customHeight="1" spans="1:3">
      <c r="A315" s="5" t="s">
        <v>661</v>
      </c>
      <c r="B315" s="6"/>
      <c r="C315" s="9" t="str">
        <f>IFERROR(VLOOKUP(VENTAS4[[#This Row],[Code]],STOCK[],5,FALSE),"-")</f>
        <v>Top Cruzado negro</v>
      </c>
    </row>
    <row r="316" s="2" customFormat="1" ht="55" customHeight="1" spans="1:3">
      <c r="A316" s="5" t="s">
        <v>663</v>
      </c>
      <c r="B316" s="6"/>
      <c r="C316" s="9" t="str">
        <f>IFERROR(VLOOKUP(VENTAS4[[#This Row],[Code]],STOCK[],5,FALSE),"-")</f>
        <v>Top Cruzado negro</v>
      </c>
    </row>
    <row r="317" s="2" customFormat="1" ht="55" customHeight="1" spans="1:3">
      <c r="A317" s="5" t="s">
        <v>664</v>
      </c>
      <c r="B317" s="6"/>
      <c r="C317" s="9" t="str">
        <f>IFERROR(VLOOKUP(VENTAS4[[#This Row],[Code]],STOCK[],5,FALSE),"-")</f>
        <v>Top Cruzado negro</v>
      </c>
    </row>
    <row r="318" s="2" customFormat="1" ht="55" customHeight="1" spans="1:3">
      <c r="A318" s="5" t="s">
        <v>665</v>
      </c>
      <c r="B318" s="6"/>
      <c r="C318" s="9" t="str">
        <f>IFERROR(VLOOKUP(VENTAS4[[#This Row],[Code]],STOCK[],5,FALSE),"-")</f>
        <v>SHEIN SXY Camiseta con abertura de malla_M</v>
      </c>
    </row>
    <row r="319" s="2" customFormat="1" ht="55" customHeight="1" spans="1:3">
      <c r="A319" s="5" t="s">
        <v>667</v>
      </c>
      <c r="B319" s="6"/>
      <c r="C319" s="9" t="str">
        <f>IFERROR(VLOOKUP(VENTAS4[[#This Row],[Code]],STOCK[],5,FALSE),"-")</f>
        <v>SHEIN SXY Camiseta con abertura de malla_S</v>
      </c>
    </row>
    <row r="320" s="2" customFormat="1" ht="55" customHeight="1" spans="1:3">
      <c r="A320" s="5" t="s">
        <v>669</v>
      </c>
      <c r="B320" s="6"/>
      <c r="C320" s="9" t="str">
        <f>IFERROR(VLOOKUP(VENTAS4[[#This Row],[Code]],STOCK[],5,FALSE),"-")</f>
        <v>SHEIN SXY Camiseta con abertura de malla_XS</v>
      </c>
    </row>
    <row r="321" s="2" customFormat="1" ht="55" customHeight="1" spans="1:3">
      <c r="A321" s="5" t="s">
        <v>671</v>
      </c>
      <c r="B321" s="6"/>
      <c r="C321" s="9" t="str">
        <f>IFERROR(VLOOKUP(VENTAS4[[#This Row],[Code]],STOCK[],5,FALSE),"-")</f>
        <v>Top Cruzado azul</v>
      </c>
    </row>
    <row r="322" s="2" customFormat="1" ht="55" customHeight="1" spans="1:3">
      <c r="A322" s="5" t="s">
        <v>673</v>
      </c>
      <c r="B322" s="6"/>
      <c r="C322" s="9" t="str">
        <f>IFERROR(VLOOKUP(VENTAS4[[#This Row],[Code]],STOCK[],5,FALSE),"-")</f>
        <v>Top Cruzado azul</v>
      </c>
    </row>
    <row r="323" s="2" customFormat="1" ht="55" customHeight="1" spans="1:3">
      <c r="A323" s="5" t="s">
        <v>674</v>
      </c>
      <c r="B323" s="6"/>
      <c r="C323" s="9" t="str">
        <f>IFERROR(VLOOKUP(VENTAS4[[#This Row],[Code]],STOCK[],5,FALSE),"-")</f>
        <v>SHEIN Frenchy Vestido de leopardo &amp; piel de tigre con estampado de manga mariposa sin cinturón_S</v>
      </c>
    </row>
    <row r="324" s="2" customFormat="1" ht="55" customHeight="1" spans="1:3">
      <c r="A324" s="5" t="s">
        <v>676</v>
      </c>
      <c r="B324" s="6"/>
      <c r="C324" s="9" t="str">
        <f>IFERROR(VLOOKUP(VENTAS4[[#This Row],[Code]],STOCK[],5,FALSE),"-")</f>
        <v>Blusa corta de manga farol</v>
      </c>
    </row>
    <row r="325" s="2" customFormat="1" ht="55" customHeight="1" spans="1:3">
      <c r="A325" s="5" t="s">
        <v>678</v>
      </c>
      <c r="B325" s="6"/>
      <c r="C325" s="9" t="str">
        <f>IFERROR(VLOOKUP(VENTAS4[[#This Row],[Code]],STOCK[],5,FALSE),"-")</f>
        <v>Blusa corta de manga farol</v>
      </c>
    </row>
    <row r="326" s="2" customFormat="1" ht="55" customHeight="1" spans="1:3">
      <c r="A326" s="5" t="s">
        <v>680</v>
      </c>
      <c r="B326" s="6"/>
      <c r="C326" s="9" t="str">
        <f>IFERROR(VLOOKUP(VENTAS4[[#This Row],[Code]],STOCK[],5,FALSE),"-")</f>
        <v>Vestido de espalda abierta de manga farol_L</v>
      </c>
    </row>
    <row r="327" s="2" customFormat="1" ht="55" customHeight="1" spans="1:3">
      <c r="A327" s="5" t="s">
        <v>682</v>
      </c>
      <c r="B327" s="6"/>
      <c r="C327" s="9" t="str">
        <f>IFERROR(VLOOKUP(VENTAS4[[#This Row],[Code]],STOCK[],5,FALSE),"-")</f>
        <v>Vestido de espalda abierta de manga farol_M</v>
      </c>
    </row>
    <row r="328" s="2" customFormat="1" ht="55" customHeight="1" spans="1:3">
      <c r="A328" s="5" t="s">
        <v>684</v>
      </c>
      <c r="B328" s="6"/>
      <c r="C328" s="9" t="str">
        <f>IFERROR(VLOOKUP(VENTAS4[[#This Row],[Code]],STOCK[],5,FALSE),"-")</f>
        <v>Top de cuello cruzado con nudo lateral</v>
      </c>
    </row>
    <row r="329" s="2" customFormat="1" ht="55" customHeight="1" spans="1:3">
      <c r="A329" s="5" t="s">
        <v>686</v>
      </c>
      <c r="B329" s="6"/>
      <c r="C329" s="9" t="str">
        <f>IFERROR(VLOOKUP(VENTAS4[[#This Row],[Code]],STOCK[],5,FALSE),"-")</f>
        <v>Vestido ajustado con diseño de cadena</v>
      </c>
    </row>
    <row r="330" s="2" customFormat="1" ht="55" customHeight="1" spans="1:3">
      <c r="A330" s="5" t="s">
        <v>688</v>
      </c>
      <c r="B330" s="6"/>
      <c r="C330" s="9" t="str">
        <f>IFERROR(VLOOKUP(VENTAS4[[#This Row],[Code]],STOCK[],5,FALSE),"-")</f>
        <v>Falda ajustada animal print</v>
      </c>
    </row>
    <row r="331" s="2" customFormat="1" ht="55" customHeight="1" spans="1:3">
      <c r="A331" s="5" t="s">
        <v>690</v>
      </c>
      <c r="B331" s="6"/>
      <c r="C331" s="9" t="str">
        <f>IFERROR(VLOOKUP(VENTAS4[[#This Row],[Code]],STOCK[],5,FALSE),"-")</f>
        <v>Vestido con estampado de cereza</v>
      </c>
    </row>
    <row r="332" s="2" customFormat="1" ht="55" customHeight="1" spans="1:3">
      <c r="A332" s="5" t="s">
        <v>692</v>
      </c>
      <c r="B332" s="6"/>
      <c r="C332" s="9" t="str">
        <f>IFERROR(VLOOKUP(VENTAS4[[#This Row],[Code]],STOCK[],5,FALSE),"-")</f>
        <v>Vestido slip de rayas de cebra</v>
      </c>
    </row>
    <row r="333" s="2" customFormat="1" ht="55" customHeight="1" spans="1:3">
      <c r="A333" s="5" t="s">
        <v>694</v>
      </c>
      <c r="B333" s="6"/>
      <c r="C333" s="9" t="str">
        <f>IFERROR(VLOOKUP(VENTAS4[[#This Row],[Code]],STOCK[],5,FALSE),"-")</f>
        <v>Vestido slip cebra</v>
      </c>
    </row>
    <row r="334" s="2" customFormat="1" ht="55" customHeight="1" spans="1:3">
      <c r="A334" s="5" t="s">
        <v>696</v>
      </c>
      <c r="B334" s="6"/>
      <c r="C334" s="9" t="str">
        <f>IFERROR(VLOOKUP(VENTAS4[[#This Row],[Code]],STOCK[],5,FALSE),"-")</f>
        <v> Vestido ajustado con estampado de dragón</v>
      </c>
    </row>
    <row r="335" s="2" customFormat="1" ht="55" customHeight="1" spans="1:3">
      <c r="A335" s="5" t="s">
        <v>698</v>
      </c>
      <c r="B335" s="6"/>
      <c r="C335" s="9" t="str">
        <f>IFERROR(VLOOKUP(VENTAS4[[#This Row],[Code]],STOCK[],5,FALSE),"-")</f>
        <v> Vestido slip dragón</v>
      </c>
    </row>
    <row r="336" s="2" customFormat="1" ht="55" customHeight="1" spans="1:3">
      <c r="A336" s="5" t="s">
        <v>700</v>
      </c>
      <c r="B336" s="6"/>
      <c r="C336" s="9" t="str">
        <f>IFERROR(VLOOKUP(VENTAS4[[#This Row],[Code]],STOCK[],5,FALSE),"-")</f>
        <v>Vestido corto de punto</v>
      </c>
    </row>
    <row r="337" s="2" customFormat="1" ht="55" customHeight="1" spans="1:3">
      <c r="A337" s="5" t="s">
        <v>703</v>
      </c>
      <c r="B337" s="6"/>
      <c r="C337" s="9" t="str">
        <f>IFERROR(VLOOKUP(VENTAS4[[#This Row],[Code]],STOCK[],5,FALSE),"-")</f>
        <v>Body tong H&amp;M</v>
      </c>
    </row>
    <row r="338" s="2" customFormat="1" ht="55" customHeight="1" spans="1:3">
      <c r="A338" s="5" t="s">
        <v>706</v>
      </c>
      <c r="B338" s="6"/>
      <c r="C338" s="9" t="str">
        <f>IFERROR(VLOOKUP(VENTAS4[[#This Row],[Code]],STOCK[],5,FALSE),"-")</f>
        <v>Top bandeau</v>
      </c>
    </row>
    <row r="339" s="2" customFormat="1" ht="55" customHeight="1" spans="1:3">
      <c r="A339" s="5" t="s">
        <v>708</v>
      </c>
      <c r="B339" s="6"/>
      <c r="C339" s="9" t="str">
        <f>IFERROR(VLOOKUP(VENTAS4[[#This Row],[Code]],STOCK[],5,FALSE),"-")</f>
        <v>Pantalón elegante de tela brillosa H&amp;M</v>
      </c>
    </row>
    <row r="340" s="2" customFormat="1" ht="55" customHeight="1" spans="1:3">
      <c r="A340" s="5" t="s">
        <v>711</v>
      </c>
      <c r="B340" s="6"/>
      <c r="C340" s="9" t="str">
        <f>IFERROR(VLOOKUP(VENTAS4[[#This Row],[Code]],STOCK[],5,FALSE),"-")</f>
        <v>Vestido con cordón de ajuste H&amp;M</v>
      </c>
    </row>
    <row r="341" s="2" customFormat="1" ht="55" customHeight="1" spans="1:3">
      <c r="A341" s="5" t="s">
        <v>715</v>
      </c>
      <c r="B341" s="6"/>
      <c r="C341" s="9" t="str">
        <f>IFERROR(VLOOKUP(VENTAS4[[#This Row],[Code]],STOCK[],5,FALSE),"-")</f>
        <v>Vestido con cordón de ajuste H&amp;M</v>
      </c>
    </row>
    <row r="342" s="2" customFormat="1" ht="55" customHeight="1" spans="1:3">
      <c r="A342" s="5" t="s">
        <v>716</v>
      </c>
      <c r="B342" s="6"/>
      <c r="C342" s="9" t="str">
        <f>IFERROR(VLOOKUP(VENTAS4[[#This Row],[Code]],STOCK[],5,FALSE),"-")</f>
        <v>Vestido bodycon</v>
      </c>
    </row>
    <row r="343" s="2" customFormat="1" ht="55" customHeight="1" spans="1:3">
      <c r="A343" s="5" t="s">
        <v>719</v>
      </c>
      <c r="B343" s="6"/>
      <c r="C343" s="9" t="str">
        <f>IFERROR(VLOOKUP(VENTAS4[[#This Row],[Code]],STOCK[],5,FALSE),"-")</f>
        <v>Top acanalado sin mangas</v>
      </c>
    </row>
    <row r="344" s="2" customFormat="1" ht="55" customHeight="1" spans="1:3">
      <c r="A344" s="5" t="s">
        <v>721</v>
      </c>
      <c r="B344" s="6"/>
      <c r="C344" s="9" t="str">
        <f>IFERROR(VLOOKUP(VENTAS4[[#This Row],[Code]],STOCK[],5,FALSE),"-")</f>
        <v>Top acanalado sin mangas</v>
      </c>
    </row>
    <row r="345" s="2" customFormat="1" ht="55" customHeight="1" spans="1:3">
      <c r="A345" s="5" t="s">
        <v>722</v>
      </c>
      <c r="B345" s="6"/>
      <c r="C345" s="9" t="str">
        <f>IFERROR(VLOOKUP(VENTAS4[[#This Row],[Code]],STOCK[],5,FALSE),"-")</f>
        <v>Top acanalado sin mangas</v>
      </c>
    </row>
    <row r="346" s="2" customFormat="1" ht="55" customHeight="1" spans="1:3">
      <c r="A346" s="5" t="s">
        <v>723</v>
      </c>
      <c r="B346" s="6"/>
      <c r="C346" s="9" t="str">
        <f>IFERROR(VLOOKUP(VENTAS4[[#This Row],[Code]],STOCK[],5,FALSE),"-")</f>
        <v>gafas azules con cadena H&amp;M</v>
      </c>
    </row>
    <row r="347" s="2" customFormat="1" ht="55" customHeight="1" spans="1:3">
      <c r="A347" s="5" t="s">
        <v>726</v>
      </c>
      <c r="B347" s="6"/>
      <c r="C347" s="9" t="str">
        <f>IFERROR(VLOOKUP(VENTAS4[[#This Row],[Code]],STOCK[],5,FALSE),"-")</f>
        <v>Top acanalado sin mangas</v>
      </c>
    </row>
    <row r="348" s="2" customFormat="1" ht="55" customHeight="1" spans="1:3">
      <c r="A348" s="5" t="s">
        <v>727</v>
      </c>
      <c r="B348" s="6"/>
      <c r="C348" s="9" t="str">
        <f>IFERROR(VLOOKUP(VENTAS4[[#This Row],[Code]],STOCK[],5,FALSE),"-")</f>
        <v>Vestido acanalado de un hombro</v>
      </c>
    </row>
    <row r="349" s="2" customFormat="1" ht="55" customHeight="1" spans="1:3">
      <c r="A349" s="5" t="s">
        <v>729</v>
      </c>
      <c r="B349" s="6"/>
      <c r="C349" s="9" t="str">
        <f>IFERROR(VLOOKUP(VENTAS4[[#This Row],[Code]],STOCK[],5,FALSE),"-")</f>
        <v>Vestido de un hombro</v>
      </c>
    </row>
    <row r="350" s="2" customFormat="1" ht="55" customHeight="1" spans="1:3">
      <c r="A350" s="5" t="s">
        <v>732</v>
      </c>
      <c r="B350" s="6"/>
      <c r="C350" s="9" t="str">
        <f>IFERROR(VLOOKUP(VENTAS4[[#This Row],[Code]],STOCK[],5,FALSE),"-")</f>
        <v>Vestido corto azul real</v>
      </c>
    </row>
    <row r="351" s="2" customFormat="1" ht="55" customHeight="1" spans="1:3">
      <c r="A351" s="5" t="s">
        <v>735</v>
      </c>
      <c r="B351" s="6"/>
      <c r="C351" s="9" t="str">
        <f>IFERROR(VLOOKUP(VENTAS4[[#This Row],[Code]],STOCK[],5,FALSE),"-")</f>
        <v>Vestido corto azul real</v>
      </c>
    </row>
    <row r="352" s="2" customFormat="1" ht="55" customHeight="1" spans="1:3">
      <c r="A352" s="5" t="s">
        <v>736</v>
      </c>
      <c r="B352" s="6"/>
      <c r="C352" s="9" t="str">
        <f>IFERROR(VLOOKUP(VENTAS4[[#This Row],[Code]],STOCK[],5,FALSE),"-")</f>
        <v>Sostén Push-up</v>
      </c>
    </row>
    <row r="353" s="2" customFormat="1" ht="55" customHeight="1" spans="1:3">
      <c r="A353" s="5" t="s">
        <v>739</v>
      </c>
      <c r="B353" s="6"/>
      <c r="C353" s="9" t="str">
        <f>IFERROR(VLOOKUP(VENTAS4[[#This Row],[Code]],STOCK[],5,FALSE),"-")</f>
        <v>Sostén Push-up</v>
      </c>
    </row>
    <row r="354" s="2" customFormat="1" ht="55" customHeight="1" spans="1:3">
      <c r="A354" s="5" t="s">
        <v>740</v>
      </c>
      <c r="B354" s="6"/>
      <c r="C354" s="9" t="str">
        <f>IFERROR(VLOOKUP(VENTAS4[[#This Row],[Code]],STOCK[],5,FALSE),"-")</f>
        <v>Pants ajustados</v>
      </c>
    </row>
    <row r="355" s="2" customFormat="1" ht="55" customHeight="1" spans="1:3">
      <c r="A355" s="5" t="s">
        <v>743</v>
      </c>
      <c r="B355" s="6"/>
      <c r="C355" s="9" t="str">
        <f>IFERROR(VLOOKUP(VENTAS4[[#This Row],[Code]],STOCK[],5,FALSE),"-")</f>
        <v>Short denim</v>
      </c>
    </row>
    <row r="356" s="2" customFormat="1" ht="55" customHeight="1" spans="1:3">
      <c r="A356" s="5" t="s">
        <v>746</v>
      </c>
      <c r="B356" s="6"/>
      <c r="C356" s="9" t="str">
        <f>IFERROR(VLOOKUP(VENTAS4[[#This Row],[Code]],STOCK[],5,FALSE),"-")</f>
        <v>Jean slim fit</v>
      </c>
    </row>
    <row r="357" s="2" customFormat="1" ht="55" customHeight="1" spans="1:3">
      <c r="A357" s="5" t="s">
        <v>750</v>
      </c>
      <c r="B357" s="6"/>
      <c r="C357" s="9" t="str">
        <f>IFERROR(VLOOKUP(VENTAS4[[#This Row],[Code]],STOCK[],5,FALSE),"-")</f>
        <v>Sandalias trenzadas</v>
      </c>
    </row>
    <row r="358" s="2" customFormat="1" ht="55" customHeight="1" spans="1:3">
      <c r="A358" s="5" t="s">
        <v>753</v>
      </c>
      <c r="B358" s="6"/>
      <c r="C358" s="9" t="str">
        <f>IFERROR(VLOOKUP(VENTAS4[[#This Row],[Code]],STOCK[],5,FALSE),"-")</f>
        <v>Sandalias Rojas</v>
      </c>
    </row>
    <row r="359" s="2" customFormat="1" ht="55" customHeight="1" spans="1:3">
      <c r="A359" s="5" t="s">
        <v>755</v>
      </c>
      <c r="B359" s="6"/>
      <c r="C359" s="9" t="str">
        <f>IFERROR(VLOOKUP(VENTAS4[[#This Row],[Code]],STOCK[],5,FALSE),"-")</f>
        <v>Sandalias Trenzadas</v>
      </c>
    </row>
    <row r="360" s="2" customFormat="1" ht="55" customHeight="1" spans="1:3">
      <c r="A360" s="5" t="s">
        <v>758</v>
      </c>
      <c r="B360" s="6"/>
      <c r="C360" s="9" t="str">
        <f>IFERROR(VLOOKUP(VENTAS4[[#This Row],[Code]],STOCK[],5,FALSE),"-")</f>
        <v>Sandalias Trenzadas</v>
      </c>
    </row>
    <row r="361" s="2" customFormat="1" ht="55" customHeight="1" spans="1:3">
      <c r="A361" s="5" t="s">
        <v>759</v>
      </c>
      <c r="B361" s="6"/>
      <c r="C361" s="9" t="str">
        <f>IFERROR(VLOOKUP(VENTAS4[[#This Row],[Code]],STOCK[],5,FALSE),"-")</f>
        <v>Sandalias anudadas</v>
      </c>
    </row>
    <row r="362" s="2" customFormat="1" ht="55" customHeight="1" spans="1:3">
      <c r="A362" s="5" t="s">
        <v>763</v>
      </c>
      <c r="B362" s="6"/>
      <c r="C362" s="9" t="str">
        <f>IFERROR(VLOOKUP(VENTAS4[[#This Row],[Code]],STOCK[],5,FALSE),"-")</f>
        <v>Sandalias anudadas</v>
      </c>
    </row>
    <row r="363" s="2" customFormat="1" ht="55" customHeight="1" spans="1:3">
      <c r="A363" s="5" t="s">
        <v>765</v>
      </c>
      <c r="B363" s="6"/>
      <c r="C363" s="9" t="str">
        <f>IFERROR(VLOOKUP(VENTAS4[[#This Row],[Code]],STOCK[],5,FALSE),"-")</f>
        <v>Sandalias anudadas</v>
      </c>
    </row>
    <row r="364" s="2" customFormat="1" ht="55" customHeight="1" spans="1:3">
      <c r="A364" s="5" t="s">
        <v>767</v>
      </c>
      <c r="B364" s="6"/>
      <c r="C364" s="9" t="str">
        <f>IFERROR(VLOOKUP(VENTAS4[[#This Row],[Code]],STOCK[],5,FALSE),"-")</f>
        <v>Alpargatas a cuadros</v>
      </c>
    </row>
    <row r="365" s="2" customFormat="1" ht="55" customHeight="1" spans="1:3">
      <c r="A365" s="5" t="s">
        <v>769</v>
      </c>
      <c r="B365" s="6"/>
      <c r="C365" s="9" t="str">
        <f>IFERROR(VLOOKUP(VENTAS4[[#This Row],[Code]],STOCK[],5,FALSE),"-")</f>
        <v>Sandalias atadas </v>
      </c>
    </row>
    <row r="366" s="2" customFormat="1" ht="55" customHeight="1" spans="1:3">
      <c r="A366" s="5" t="s">
        <v>771</v>
      </c>
      <c r="B366" s="6"/>
      <c r="C366" s="9" t="str">
        <f>IFERROR(VLOOKUP(VENTAS4[[#This Row],[Code]],STOCK[],5,FALSE),"-")</f>
        <v>Sandalias prácticas</v>
      </c>
    </row>
    <row r="367" s="2" customFormat="1" ht="55" customHeight="1" spans="1:3">
      <c r="A367" s="5" t="s">
        <v>773</v>
      </c>
      <c r="B367" s="6"/>
      <c r="C367" s="9" t="str">
        <f>IFERROR(VLOOKUP(VENTAS4[[#This Row],[Code]],STOCK[],5,FALSE),"-")</f>
        <v>Sandalias prácticas</v>
      </c>
    </row>
    <row r="368" s="2" customFormat="1" ht="55" customHeight="1" spans="1:3">
      <c r="A368" s="5" t="s">
        <v>774</v>
      </c>
      <c r="B368" s="6"/>
      <c r="C368" s="9" t="str">
        <f>IFERROR(VLOOKUP(VENTAS4[[#This Row],[Code]],STOCK[],5,FALSE),"-")</f>
        <v>Top berry en tela de algodón</v>
      </c>
    </row>
    <row r="369" s="2" customFormat="1" ht="55" customHeight="1" spans="1:3">
      <c r="A369" s="5" t="s">
        <v>777</v>
      </c>
      <c r="B369" s="6"/>
      <c r="C369" s="9" t="str">
        <f>IFERROR(VLOOKUP(VENTAS4[[#This Row],[Code]],STOCK[],5,FALSE),"-")</f>
        <v>Top berry en tela de algodón</v>
      </c>
    </row>
    <row r="370" s="2" customFormat="1" ht="55" customHeight="1" spans="1:3">
      <c r="A370" s="5" t="s">
        <v>779</v>
      </c>
      <c r="B370" s="6"/>
      <c r="C370" s="9" t="str">
        <f>IFERROR(VLOOKUP(VENTAS4[[#This Row],[Code]],STOCK[],5,FALSE),"-")</f>
        <v>Top Amarillo en tela de algodón</v>
      </c>
    </row>
    <row r="371" s="2" customFormat="1" ht="55" customHeight="1" spans="1:3">
      <c r="A371" s="5" t="s">
        <v>781</v>
      </c>
      <c r="B371" s="6"/>
      <c r="C371" s="9" t="str">
        <f>IFERROR(VLOOKUP(VENTAS4[[#This Row],[Code]],STOCK[],5,FALSE),"-")</f>
        <v>Top Amarillo en tela de algodón</v>
      </c>
    </row>
    <row r="372" s="2" customFormat="1" ht="55" customHeight="1" spans="1:3">
      <c r="A372" s="5" t="s">
        <v>782</v>
      </c>
      <c r="B372" s="6"/>
      <c r="C372" s="9" t="str">
        <f>IFERROR(VLOOKUP(VENTAS4[[#This Row],[Code]],STOCK[],5,FALSE),"-")</f>
        <v>Top Negro en tela de algodón</v>
      </c>
    </row>
    <row r="373" s="2" customFormat="1" ht="55" customHeight="1" spans="1:3">
      <c r="A373" s="5" t="s">
        <v>784</v>
      </c>
      <c r="B373" s="6"/>
      <c r="C373" s="9" t="str">
        <f>IFERROR(VLOOKUP(VENTAS4[[#This Row],[Code]],STOCK[],5,FALSE),"-")</f>
        <v>Top Manga Corta Negro</v>
      </c>
    </row>
    <row r="374" s="2" customFormat="1" ht="55" customHeight="1" spans="1:3">
      <c r="A374" s="5" t="s">
        <v>786</v>
      </c>
      <c r="B374" s="6"/>
      <c r="C374" s="9" t="str">
        <f>IFERROR(VLOOKUP(VENTAS4[[#This Row],[Code]],STOCK[],5,FALSE),"-")</f>
        <v>Gorra de Malla</v>
      </c>
    </row>
    <row r="375" s="2" customFormat="1" ht="55" customHeight="1" spans="1:3">
      <c r="A375" s="5" t="s">
        <v>788</v>
      </c>
      <c r="B375" s="6"/>
      <c r="C375" s="9" t="str">
        <f>IFERROR(VLOOKUP(VENTAS4[[#This Row],[Code]],STOCK[],5,FALSE),"-")</f>
        <v>Visera rosa</v>
      </c>
    </row>
    <row r="376" s="2" customFormat="1" ht="55" customHeight="1" spans="1:3">
      <c r="A376" s="5" t="s">
        <v>790</v>
      </c>
      <c r="B376" s="6"/>
      <c r="C376" s="9" t="str">
        <f>IFERROR(VLOOKUP(VENTAS4[[#This Row],[Code]],STOCK[],5,FALSE),"-")</f>
        <v>Bermuda denim</v>
      </c>
    </row>
    <row r="377" s="2" customFormat="1" ht="55" customHeight="1" spans="1:3">
      <c r="A377" s="5" t="s">
        <v>792</v>
      </c>
      <c r="B377" s="6"/>
      <c r="C377" s="9" t="str">
        <f>IFERROR(VLOOKUP(VENTAS4[[#This Row],[Code]],STOCK[],5,FALSE),"-")</f>
        <v>Bermuda denim</v>
      </c>
    </row>
    <row r="378" s="2" customFormat="1" ht="55" customHeight="1" spans="1:3">
      <c r="A378" s="5" t="s">
        <v>793</v>
      </c>
      <c r="B378" s="6"/>
      <c r="C378" s="9" t="str">
        <f>IFERROR(VLOOKUP(VENTAS4[[#This Row],[Code]],STOCK[],5,FALSE),"-")</f>
        <v>Bañador atado a los lados</v>
      </c>
    </row>
    <row r="379" s="2" customFormat="1" ht="55" customHeight="1" spans="1:3">
      <c r="A379" s="5" t="s">
        <v>795</v>
      </c>
      <c r="B379" s="6"/>
      <c r="C379" s="2" t="str">
        <f>IFERROR(VLOOKUP(VENTAS4[[#This Row],[Code]],STOCK[],5,FALSE),"-")</f>
        <v>Bañador floreado</v>
      </c>
    </row>
    <row r="380" s="2" customFormat="1" ht="55" customHeight="1" spans="1:3">
      <c r="A380" s="5" t="s">
        <v>797</v>
      </c>
      <c r="B380" s="6"/>
      <c r="C380" s="2" t="str">
        <f>IFERROR(VLOOKUP(VENTAS4[[#This Row],[Code]],STOCK[],5,FALSE),"-")</f>
        <v>Bañador  animal print</v>
      </c>
    </row>
    <row r="381" s="2" customFormat="1" ht="55" customHeight="1" spans="1:3">
      <c r="A381" s="5" t="s">
        <v>799</v>
      </c>
      <c r="B381" s="6"/>
      <c r="C381" s="2" t="str">
        <f>IFERROR(VLOOKUP(VENTAS4[[#This Row],[Code]],STOCK[],5,FALSE),"-")</f>
        <v>Short de cordón lateral</v>
      </c>
    </row>
    <row r="382" s="2" customFormat="1" ht="55" customHeight="1" spans="1:3">
      <c r="A382" s="5" t="s">
        <v>802</v>
      </c>
      <c r="B382" s="6"/>
      <c r="C382" s="2" t="str">
        <f>IFERROR(VLOOKUP(VENTAS4[[#This Row],[Code]],STOCK[],5,FALSE),"-")</f>
        <v>Vestido slip satinado</v>
      </c>
    </row>
    <row r="383" s="2" customFormat="1" ht="55" customHeight="1" spans="1:3">
      <c r="A383" s="5" t="s">
        <v>804</v>
      </c>
      <c r="B383" s="6"/>
      <c r="C383" s="2" t="str">
        <f>IFERROR(VLOOKUP(VENTAS4[[#This Row],[Code]],STOCK[],5,FALSE),"-")</f>
        <v> Bañador espalda descubierta</v>
      </c>
    </row>
    <row r="384" s="2" customFormat="1" ht="55" customHeight="1" spans="1:3">
      <c r="A384" s="5" t="s">
        <v>806</v>
      </c>
      <c r="B384" s="6"/>
      <c r="C384" s="2" t="str">
        <f>IFERROR(VLOOKUP(VENTAS4[[#This Row],[Code]],STOCK[],5,FALSE),"-")</f>
        <v>Bañador a rayas con lazo</v>
      </c>
    </row>
    <row r="385" s="2" customFormat="1" ht="55" customHeight="1" spans="1:3">
      <c r="A385" s="5" t="s">
        <v>808</v>
      </c>
      <c r="B385" s="6"/>
      <c r="C385" s="9" t="str">
        <f>IFERROR(VLOOKUP(VENTAS4[[#This Row],[Code]],STOCK[],5,FALSE),"-")</f>
        <v>Bañador estampado en contraste</v>
      </c>
    </row>
    <row r="386" s="2" customFormat="1" ht="55" customHeight="1" spans="1:3">
      <c r="A386" s="5" t="s">
        <v>810</v>
      </c>
      <c r="B386" s="6"/>
      <c r="C386" s="9" t="str">
        <f>IFERROR(VLOOKUP(VENTAS4[[#This Row],[Code]],STOCK[],5,FALSE),"-")</f>
        <v>Vestido slip de espalda corrida</v>
      </c>
    </row>
    <row r="387" s="2" customFormat="1" ht="55" customHeight="1" spans="1:3">
      <c r="A387" s="5" t="s">
        <v>812</v>
      </c>
      <c r="B387" s="6"/>
      <c r="C387" s="9" t="str">
        <f>IFERROR(VLOOKUP(VENTAS4[[#This Row],[Code]],STOCK[],5,FALSE),"-")</f>
        <v>Top de cuello asimétrico</v>
      </c>
    </row>
    <row r="388" s="2" customFormat="1" ht="55" customHeight="1" spans="1:3">
      <c r="A388" s="5" t="s">
        <v>815</v>
      </c>
      <c r="B388" s="6"/>
      <c r="C388" s="9" t="str">
        <f>IFERROR(VLOOKUP(VENTAS4[[#This Row],[Code]],STOCK[],5,FALSE),"-")</f>
        <v>Blusa verde menta vuelos</v>
      </c>
    </row>
    <row r="389" s="2" customFormat="1" ht="55" customHeight="1" spans="1:3">
      <c r="A389" s="5" t="s">
        <v>818</v>
      </c>
      <c r="B389" s="6"/>
      <c r="C389" s="9" t="str">
        <f>IFERROR(VLOOKUP(VENTAS4[[#This Row],[Code]],STOCK[],5,FALSE),"-")</f>
        <v>Blusa atada bohemia</v>
      </c>
    </row>
    <row r="390" s="2" customFormat="1" ht="55" customHeight="1" spans="1:3">
      <c r="A390" s="5" t="s">
        <v>821</v>
      </c>
      <c r="B390" s="6"/>
      <c r="C390" s="9" t="str">
        <f>IFERROR(VLOOKUP(VENTAS4[[#This Row],[Code]],STOCK[],5,FALSE),"-")</f>
        <v>Blusa estampada amplia</v>
      </c>
    </row>
    <row r="391" s="2" customFormat="1" ht="55" customHeight="1" spans="1:3">
      <c r="A391" s="5" t="s">
        <v>823</v>
      </c>
      <c r="B391" s="6"/>
      <c r="C391" s="9" t="str">
        <f>IFERROR(VLOOKUP(VENTAS4[[#This Row],[Code]],STOCK[],5,FALSE),"-")</f>
        <v>Bikini Rosa Viejo Satinado </v>
      </c>
    </row>
    <row r="392" s="2" customFormat="1" ht="55" customHeight="1" spans="1:3">
      <c r="A392" s="5" t="s">
        <v>825</v>
      </c>
      <c r="B392" s="6"/>
      <c r="C392" s="9" t="str">
        <f>IFERROR(VLOOKUP(VENTAS4[[#This Row],[Code]],STOCK[],5,FALSE),"-")</f>
        <v>Bikini cintura alta</v>
      </c>
    </row>
    <row r="393" s="2" customFormat="1" ht="55" customHeight="1" spans="1:3">
      <c r="A393" s="5" t="s">
        <v>828</v>
      </c>
      <c r="B393" s="6"/>
      <c r="C393" s="9" t="str">
        <f>IFERROR(VLOOKUP(VENTAS4[[#This Row],[Code]],STOCK[],5,FALSE),"-")</f>
        <v>Set de bikini malva</v>
      </c>
    </row>
    <row r="394" s="2" customFormat="1" ht="55" customHeight="1" spans="1:3">
      <c r="A394" s="5" t="s">
        <v>830</v>
      </c>
      <c r="B394" s="6"/>
      <c r="C394" s="9" t="str">
        <f>IFERROR(VLOOKUP(VENTAS4[[#This Row],[Code]],STOCK[],5,FALSE),"-")</f>
        <v>Vestido estampado malva</v>
      </c>
    </row>
    <row r="395" s="2" customFormat="1" ht="55" customHeight="1" spans="1:3">
      <c r="A395" s="5" t="s">
        <v>832</v>
      </c>
      <c r="B395" s="6"/>
      <c r="C395" s="9" t="str">
        <f>IFERROR(VLOOKUP(VENTAS4[[#This Row],[Code]],STOCK[],5,FALSE),"-")</f>
        <v>Rubor rosa</v>
      </c>
    </row>
    <row r="396" s="2" customFormat="1" ht="55" customHeight="1" spans="1:3">
      <c r="A396" s="5" t="s">
        <v>835</v>
      </c>
      <c r="B396" s="6"/>
      <c r="C396" s="9" t="str">
        <f>IFERROR(VLOOKUP(VENTAS4[[#This Row],[Code]],STOCK[],5,FALSE),"-")</f>
        <v>Vestido pasión</v>
      </c>
    </row>
    <row r="397" s="2" customFormat="1" ht="55" customHeight="1" spans="1:3">
      <c r="A397" s="5" t="s">
        <v>837</v>
      </c>
      <c r="B397" s="6"/>
      <c r="C397" s="9" t="str">
        <f>IFERROR(VLOOKUP(VENTAS4[[#This Row],[Code]],STOCK[],5,FALSE),"-")</f>
        <v>Blusa naranja electra</v>
      </c>
    </row>
    <row r="398" s="2" customFormat="1" ht="55" customHeight="1" spans="1:3">
      <c r="A398" s="5" t="s">
        <v>839</v>
      </c>
      <c r="B398" s="6"/>
      <c r="C398" s="9" t="str">
        <f>IFERROR(VLOOKUP(VENTAS4[[#This Row],[Code]],STOCK[],5,FALSE),"-")</f>
        <v>Pareo corazón</v>
      </c>
    </row>
    <row r="399" s="2" customFormat="1" ht="55" customHeight="1" spans="1:3">
      <c r="A399" s="5" t="s">
        <v>841</v>
      </c>
      <c r="B399" s="6"/>
      <c r="C399" s="9" t="str">
        <f>IFERROR(VLOOKUP(VENTAS4[[#This Row],[Code]],STOCK[],5,FALSE),"-")</f>
        <v>Top de malla sexy</v>
      </c>
    </row>
    <row r="400" s="2" customFormat="1" ht="55" customHeight="1" spans="1:3">
      <c r="A400" s="5" t="s">
        <v>843</v>
      </c>
      <c r="B400" s="6"/>
      <c r="C400" s="9" t="str">
        <f>IFERROR(VLOOKUP(VENTAS4[[#This Row],[Code]],STOCK[],5,FALSE),"-")</f>
        <v>Top escote corazón</v>
      </c>
    </row>
    <row r="401" s="2" customFormat="1" ht="55" customHeight="1" spans="1:3">
      <c r="A401" s="5" t="s">
        <v>845</v>
      </c>
      <c r="B401" s="6"/>
      <c r="C401" s="9" t="str">
        <f>IFERROR(VLOOKUP(VENTAS4[[#This Row],[Code]],STOCK[],5,FALSE),"-")</f>
        <v>Top escote corazón</v>
      </c>
    </row>
    <row r="402" s="2" customFormat="1" ht="55" customHeight="1" spans="1:3">
      <c r="A402" s="5" t="s">
        <v>846</v>
      </c>
      <c r="B402" s="6"/>
      <c r="C402" s="9" t="str">
        <f>IFERROR(VLOOKUP(VENTAS4[[#This Row],[Code]],STOCK[],5,FALSE),"-")</f>
        <v>Falda rosa brillante</v>
      </c>
    </row>
    <row r="403" s="2" customFormat="1" ht="55" customHeight="1" spans="1:3">
      <c r="A403" s="5" t="s">
        <v>848</v>
      </c>
      <c r="B403" s="6"/>
      <c r="C403" s="9" t="str">
        <f>IFERROR(VLOOKUP(VENTAS4[[#This Row],[Code]],STOCK[],5,FALSE),"-")</f>
        <v>Kimono Maxi elegante</v>
      </c>
    </row>
    <row r="404" s="2" customFormat="1" ht="55" customHeight="1" spans="1:3">
      <c r="A404" s="5" t="s">
        <v>850</v>
      </c>
      <c r="B404" s="6"/>
      <c r="C404" s="9" t="str">
        <f>IFERROR(VLOOKUP(VENTAS4[[#This Row],[Code]],STOCK[],5,FALSE),"-")</f>
        <v>Vestido esmeralda</v>
      </c>
    </row>
    <row r="405" s="2" customFormat="1" ht="55" customHeight="1" spans="1:3">
      <c r="A405" s="5" t="s">
        <v>852</v>
      </c>
      <c r="B405" s="6"/>
      <c r="C405" s="9" t="str">
        <f>IFERROR(VLOOKUP(VENTAS4[[#This Row],[Code]],STOCK[],5,FALSE),"-")</f>
        <v>Cinturón ancho casual</v>
      </c>
    </row>
    <row r="406" s="2" customFormat="1" ht="55" customHeight="1" spans="1:3">
      <c r="A406" s="5" t="s">
        <v>854</v>
      </c>
      <c r="B406" s="6"/>
      <c r="C406" s="9" t="str">
        <f>IFERROR(VLOOKUP(VENTAS4[[#This Row],[Code]],STOCK[],5,FALSE),"-")</f>
        <v>Gafas anchas de moda</v>
      </c>
    </row>
    <row r="407" s="2" customFormat="1" ht="55" customHeight="1" spans="1:3">
      <c r="A407" s="5" t="s">
        <v>857</v>
      </c>
      <c r="B407" s="6"/>
      <c r="C407" s="9" t="str">
        <f>IFERROR(VLOOKUP(VENTAS4[[#This Row],[Code]],STOCK[],5,FALSE),"-")</f>
        <v>Vestido Ajustado brillo</v>
      </c>
    </row>
    <row r="408" s="2" customFormat="1" ht="55" customHeight="1" spans="1:3">
      <c r="A408" s="5" t="s">
        <v>859</v>
      </c>
      <c r="B408" s="6"/>
      <c r="C408" s="9" t="str">
        <f>IFERROR(VLOOKUP(VENTAS4[[#This Row],[Code]],STOCK[],5,FALSE),"-")</f>
        <v>Vestido venturina</v>
      </c>
    </row>
    <row r="409" s="2" customFormat="1" ht="55" customHeight="1" spans="1:3">
      <c r="A409" s="5" t="s">
        <v>861</v>
      </c>
      <c r="B409" s="6"/>
      <c r="C409" s="9" t="str">
        <f>IFERROR(VLOOKUP(VENTAS4[[#This Row],[Code]],STOCK[],5,FALSE),"-")</f>
        <v>Bikini Rosa canalé</v>
      </c>
    </row>
    <row r="410" s="2" customFormat="1" ht="55" customHeight="1" spans="1:3">
      <c r="A410" s="5" t="s">
        <v>863</v>
      </c>
      <c r="B410" s="6"/>
      <c r="C410" s="9" t="str">
        <f>IFERROR(VLOOKUP(VENTAS4[[#This Row],[Code]],STOCK[],5,FALSE),"-")</f>
        <v>Bikini rosa canalé</v>
      </c>
    </row>
    <row r="411" s="2" customFormat="1" ht="55" customHeight="1" spans="1:3">
      <c r="A411" s="5" t="s">
        <v>865</v>
      </c>
      <c r="B411" s="6"/>
      <c r="C411" s="9" t="str">
        <f>IFERROR(VLOOKUP(VENTAS4[[#This Row],[Code]],STOCK[],5,FALSE),"-")</f>
        <v>Vestido puerina</v>
      </c>
    </row>
    <row r="412" s="2" customFormat="1" ht="55" customHeight="1" spans="1:3">
      <c r="A412" s="5" t="s">
        <v>867</v>
      </c>
      <c r="B412" s="6"/>
      <c r="C412" s="9" t="str">
        <f>IFERROR(VLOOKUP(VENTAS4[[#This Row],[Code]],STOCK[],5,FALSE),"-")</f>
        <v>Bikini push up</v>
      </c>
    </row>
    <row r="413" s="2" customFormat="1" ht="55" customHeight="1" spans="1:3">
      <c r="A413" s="5" t="s">
        <v>869</v>
      </c>
      <c r="B413" s="6"/>
      <c r="C413" s="9" t="str">
        <f>IFERROR(VLOOKUP(VENTAS4[[#This Row],[Code]],STOCK[],5,FALSE),"-")</f>
        <v>Sandalias tacón grueso BAZAR</v>
      </c>
    </row>
    <row r="414" s="2" customFormat="1" ht="55" customHeight="1" spans="1:3">
      <c r="A414" s="5" t="s">
        <v>871</v>
      </c>
      <c r="B414" s="6"/>
      <c r="C414" s="9" t="str">
        <f>IFERROR(VLOOKUP(VENTAS4[[#This Row],[Code]],STOCK[],5,FALSE),"-")</f>
        <v>Calzado hombre dos tonos</v>
      </c>
    </row>
    <row r="415" s="2" customFormat="1" ht="55" customHeight="1" spans="1:3">
      <c r="A415" s="5" t="s">
        <v>873</v>
      </c>
      <c r="B415" s="6"/>
      <c r="C415" s="9" t="str">
        <f>IFERROR(VLOOKUP(VENTAS4[[#This Row],[Code]],STOCK[],5,FALSE),"-")</f>
        <v>Sandalias animal print de tacón</v>
      </c>
    </row>
    <row r="416" s="2" customFormat="1" ht="55" customHeight="1" spans="1:3">
      <c r="A416" s="5" t="s">
        <v>875</v>
      </c>
      <c r="B416" s="6"/>
      <c r="C416" s="9" t="str">
        <f>IFERROR(VLOOKUP(VENTAS4[[#This Row],[Code]],STOCK[],5,FALSE),"-")</f>
        <v>Brasier de encaje_Negro Unitalla</v>
      </c>
    </row>
    <row r="417" s="2" customFormat="1" ht="55" customHeight="1" spans="1:3">
      <c r="A417" s="5" t="s">
        <v>877</v>
      </c>
      <c r="B417" s="6"/>
      <c r="C417" s="9" t="str">
        <f>IFERROR(VLOOKUP(VENTAS4[[#This Row],[Code]],STOCK[],5,FALSE),"-")</f>
        <v>Brasier de encaje blanco</v>
      </c>
    </row>
    <row r="418" s="2" customFormat="1" ht="55" customHeight="1" spans="1:3">
      <c r="A418" s="5" t="s">
        <v>881</v>
      </c>
      <c r="B418" s="6"/>
      <c r="C418" s="9" t="str">
        <f>IFERROR(VLOOKUP(VENTAS4[[#This Row],[Code]],STOCK[],5,FALSE),"-")</f>
        <v>Bragas sin costuras</v>
      </c>
    </row>
    <row r="419" s="2" customFormat="1" ht="55" customHeight="1" spans="1:3">
      <c r="A419" s="5" t="s">
        <v>883</v>
      </c>
      <c r="B419" s="6"/>
      <c r="C419" s="9" t="str">
        <f>IFERROR(VLOOKUP(VENTAS4[[#This Row],[Code]],STOCK[],5,FALSE),"-")</f>
        <v>Base para maquillaje</v>
      </c>
    </row>
    <row r="420" s="2" customFormat="1" ht="55" customHeight="1" spans="1:3">
      <c r="A420" s="5" t="s">
        <v>886</v>
      </c>
      <c r="B420" s="6"/>
      <c r="C420" s="9" t="str">
        <f>IFERROR(VLOOKUP(VENTAS4[[#This Row],[Code]],STOCK[],5,FALSE),"-")</f>
        <v>Falda ajustada (hacer foto)</v>
      </c>
    </row>
    <row r="421" s="2" customFormat="1" ht="55" customHeight="1" spans="1:3">
      <c r="A421" s="5" t="s">
        <v>888</v>
      </c>
      <c r="B421" s="6"/>
      <c r="C421" s="9" t="str">
        <f>IFERROR(VLOOKUP(VENTAS4[[#This Row],[Code]],STOCK[],5,FALSE),"-")</f>
        <v>Bragas sin costuras</v>
      </c>
    </row>
    <row r="422" s="2" customFormat="1" ht="55" customHeight="1" spans="1:3">
      <c r="A422" s="5" t="s">
        <v>889</v>
      </c>
      <c r="B422" s="6"/>
      <c r="C422" s="9" t="str">
        <f>IFERROR(VLOOKUP(VENTAS4[[#This Row],[Code]],STOCK[],5,FALSE),"-")</f>
        <v>Top Cuello encaje y mangas abombadas</v>
      </c>
    </row>
    <row r="423" s="2" customFormat="1" ht="55" customHeight="1" spans="1:3">
      <c r="A423" s="5" t="s">
        <v>892</v>
      </c>
      <c r="B423" s="6"/>
      <c r="C423" s="9" t="str">
        <f>IFERROR(VLOOKUP(VENTAS4[[#This Row],[Code]],STOCK[],5,FALSE),"-")</f>
        <v>Top Cisne Blanco</v>
      </c>
    </row>
    <row r="424" s="2" customFormat="1" ht="55" customHeight="1" spans="1:3">
      <c r="A424" s="5" t="s">
        <v>895</v>
      </c>
      <c r="B424" s="6"/>
      <c r="C424" s="9" t="str">
        <f>IFERROR(VLOOKUP(VENTAS4[[#This Row],[Code]],STOCK[],5,FALSE),"-")</f>
        <v>Top Cisne Blanco</v>
      </c>
    </row>
    <row r="425" s="2" customFormat="1" ht="55" customHeight="1" spans="1:3">
      <c r="A425" s="5" t="s">
        <v>896</v>
      </c>
      <c r="B425" s="6"/>
      <c r="C425" s="9" t="str">
        <f>IFERROR(VLOOKUP(VENTAS4[[#This Row],[Code]],STOCK[],5,FALSE),"-")</f>
        <v>Bañador con adorno de malla</v>
      </c>
    </row>
    <row r="426" s="2" customFormat="1" ht="55" customHeight="1" spans="1:3">
      <c r="A426" s="5" t="s">
        <v>898</v>
      </c>
      <c r="B426" s="6"/>
      <c r="C426" s="9" t="str">
        <f>IFERROR(VLOOKUP(VENTAS4[[#This Row],[Code]],STOCK[],5,FALSE),"-")</f>
        <v>Bañador con adorno de malla</v>
      </c>
    </row>
    <row r="427" s="2" customFormat="1" ht="55" customHeight="1" spans="1:3">
      <c r="A427" s="5" t="s">
        <v>899</v>
      </c>
      <c r="B427" s="6"/>
      <c r="C427" s="9" t="str">
        <f>IFERROR(VLOOKUP(VENTAS4[[#This Row],[Code]],STOCK[],5,FALSE),"-")</f>
        <v>Bañador con adorno de malla</v>
      </c>
    </row>
    <row r="428" s="2" customFormat="1" ht="55" customHeight="1" spans="1:3">
      <c r="A428" s="5" t="s">
        <v>900</v>
      </c>
      <c r="B428" s="6"/>
      <c r="C428" s="9" t="str">
        <f>IFERROR(VLOOKUP(VENTAS4[[#This Row],[Code]],STOCK[],5,FALSE),"-")</f>
        <v>Maxi Vestido Fruncido</v>
      </c>
    </row>
    <row r="429" s="2" customFormat="1" ht="55" customHeight="1" spans="1:3">
      <c r="A429" s="5" t="s">
        <v>902</v>
      </c>
      <c r="B429" s="6"/>
      <c r="C429" s="9" t="str">
        <f>IFERROR(VLOOKUP(VENTAS4[[#This Row],[Code]],STOCK[],5,FALSE),"-")</f>
        <v>Maxi Vestido Fruncido</v>
      </c>
    </row>
    <row r="430" s="2" customFormat="1" ht="55" customHeight="1" spans="1:3">
      <c r="A430" s="5" t="s">
        <v>903</v>
      </c>
      <c r="B430" s="6"/>
      <c r="C430" s="9" t="str">
        <f>IFERROR(VLOOKUP(VENTAS4[[#This Row],[Code]],STOCK[],5,FALSE),"-")</f>
        <v>Maxi Vestido Fruncido</v>
      </c>
    </row>
    <row r="431" s="2" customFormat="1" ht="55" customHeight="1" spans="1:3">
      <c r="A431" s="5" t="s">
        <v>904</v>
      </c>
      <c r="B431" s="6"/>
      <c r="C431" s="9" t="str">
        <f>IFERROR(VLOOKUP(VENTAS4[[#This Row],[Code]],STOCK[],5,FALSE),"-")</f>
        <v>Bikini Floral</v>
      </c>
    </row>
    <row r="432" s="2" customFormat="1" ht="55" customHeight="1" spans="1:3">
      <c r="A432" s="5" t="s">
        <v>905</v>
      </c>
      <c r="B432" s="6"/>
      <c r="C432" s="9" t="str">
        <f>IFERROR(VLOOKUP(VENTAS4[[#This Row],[Code]],STOCK[],5,FALSE),"-")</f>
        <v>Bikini Floral</v>
      </c>
    </row>
    <row r="433" s="2" customFormat="1" ht="55" customHeight="1" spans="1:3">
      <c r="A433" s="5" t="s">
        <v>906</v>
      </c>
      <c r="B433" s="6"/>
      <c r="C433" s="9" t="str">
        <f>IFERROR(VLOOKUP(VENTAS4[[#This Row],[Code]],STOCK[],5,FALSE),"-")</f>
        <v> Top Cuello V Verde</v>
      </c>
    </row>
    <row r="434" s="2" customFormat="1" ht="55" customHeight="1" spans="1:3">
      <c r="A434" s="5" t="s">
        <v>908</v>
      </c>
      <c r="B434" s="6"/>
      <c r="C434" s="9" t="str">
        <f>IFERROR(VLOOKUP(VENTAS4[[#This Row],[Code]],STOCK[],5,FALSE),"-")</f>
        <v>Bañador Surf</v>
      </c>
    </row>
    <row r="435" s="2" customFormat="1" ht="55" customHeight="1" spans="1:3">
      <c r="A435" s="5" t="s">
        <v>911</v>
      </c>
      <c r="B435" s="6"/>
      <c r="C435" s="9" t="str">
        <f>IFERROR(VLOOKUP(VENTAS4[[#This Row],[Code]],STOCK[],5,FALSE),"-")</f>
        <v>Bañador de pierna alta</v>
      </c>
    </row>
    <row r="436" s="2" customFormat="1" ht="55" customHeight="1" spans="1:3">
      <c r="A436" s="5" t="s">
        <v>913</v>
      </c>
      <c r="B436" s="6"/>
      <c r="C436" s="9" t="str">
        <f>IFERROR(VLOOKUP(VENTAS4[[#This Row],[Code]],STOCK[],5,FALSE),"-")</f>
        <v>Camiseta con figura</v>
      </c>
    </row>
    <row r="437" s="2" customFormat="1" ht="55" customHeight="1" spans="1:3">
      <c r="A437" s="5" t="s">
        <v>915</v>
      </c>
      <c r="B437" s="6"/>
      <c r="C437" s="9" t="str">
        <f>IFERROR(VLOOKUP(VENTAS4[[#This Row],[Code]],STOCK[],5,FALSE),"-")</f>
        <v>Camiseta con Dibujo</v>
      </c>
    </row>
    <row r="438" s="2" customFormat="1" ht="55" customHeight="1" spans="1:3">
      <c r="A438" s="5" t="s">
        <v>917</v>
      </c>
      <c r="B438" s="6"/>
      <c r="C438" s="9" t="str">
        <f>IFERROR(VLOOKUP(VENTAS4[[#This Row],[Code]],STOCK[],5,FALSE),"-")</f>
        <v>Vestido de lunares </v>
      </c>
    </row>
    <row r="439" s="2" customFormat="1" ht="55" customHeight="1" spans="1:3">
      <c r="A439" s="5" t="s">
        <v>920</v>
      </c>
      <c r="B439" s="6"/>
      <c r="C439" s="9" t="str">
        <f>IFERROR(VLOOKUP(VENTAS4[[#This Row],[Code]],STOCK[],5,FALSE),"-")</f>
        <v>Vestido de lunares</v>
      </c>
    </row>
    <row r="440" s="2" customFormat="1" ht="55" customHeight="1" spans="1:3">
      <c r="A440" s="5" t="s">
        <v>923</v>
      </c>
      <c r="B440" s="6"/>
      <c r="C440" s="9" t="str">
        <f>IFERROR(VLOOKUP(VENTAS4[[#This Row],[Code]],STOCK[],5,FALSE),"-")</f>
        <v>Pantaloneta Roja</v>
      </c>
    </row>
    <row r="441" s="2" customFormat="1" ht="55" customHeight="1" spans="1:3">
      <c r="A441" s="5" t="s">
        <v>925</v>
      </c>
      <c r="B441" s="6"/>
      <c r="C441" s="9" t="str">
        <f>IFERROR(VLOOKUP(VENTAS4[[#This Row],[Code]],STOCK[],5,FALSE),"-")</f>
        <v>Pantaloneta Roja</v>
      </c>
    </row>
    <row r="442" s="2" customFormat="1" ht="55" customHeight="1" spans="1:3">
      <c r="A442" s="5" t="s">
        <v>927</v>
      </c>
      <c r="B442" s="6"/>
      <c r="C442" s="9" t="str">
        <f>IFERROR(VLOOKUP(VENTAS4[[#This Row],[Code]],STOCK[],5,FALSE),"-")</f>
        <v>Pantaloneta Roja</v>
      </c>
    </row>
    <row r="443" s="2" customFormat="1" ht="55" customHeight="1" spans="1:3">
      <c r="A443" s="5" t="s">
        <v>928</v>
      </c>
      <c r="B443" s="6"/>
      <c r="C443" s="9" t="str">
        <f>IFERROR(VLOOKUP(VENTAS4[[#This Row],[Code]],STOCK[],5,FALSE),"-")</f>
        <v>Falda de trabajo</v>
      </c>
    </row>
    <row r="444" s="2" customFormat="1" ht="55" customHeight="1" spans="1:3">
      <c r="A444" s="5" t="s">
        <v>930</v>
      </c>
      <c r="B444" s="6"/>
      <c r="C444" s="9" t="str">
        <f>IFERROR(VLOOKUP(VENTAS4[[#This Row],[Code]],STOCK[],5,FALSE),"-")</f>
        <v>Falda de trabajo</v>
      </c>
    </row>
    <row r="445" s="2" customFormat="1" ht="55" customHeight="1" spans="1:3">
      <c r="A445" s="5" t="s">
        <v>931</v>
      </c>
      <c r="B445" s="6"/>
      <c r="C445" s="9" t="str">
        <f>IFERROR(VLOOKUP(VENTAS4[[#This Row],[Code]],STOCK[],5,FALSE),"-")</f>
        <v>Falda de trabajo</v>
      </c>
    </row>
    <row r="446" s="2" customFormat="1" ht="55" customHeight="1" spans="1:3">
      <c r="A446" s="5" t="s">
        <v>932</v>
      </c>
      <c r="B446" s="6"/>
      <c r="C446" s="9" t="str">
        <f>IFERROR(VLOOKUP(VENTAS4[[#This Row],[Code]],STOCK[],5,FALSE),"-")</f>
        <v>Falda de trabajo</v>
      </c>
    </row>
    <row r="447" s="2" customFormat="1" ht="55" customHeight="1" spans="1:3">
      <c r="A447" s="5" t="s">
        <v>934</v>
      </c>
      <c r="B447" s="6"/>
      <c r="C447" s="9" t="str">
        <f>IFERROR(VLOOKUP(VENTAS4[[#This Row],[Code]],STOCK[],5,FALSE),"-")</f>
        <v>Bañador de pierna alta</v>
      </c>
    </row>
    <row r="448" s="2" customFormat="1" ht="55" customHeight="1" spans="1:3">
      <c r="A448" s="5" t="s">
        <v>935</v>
      </c>
      <c r="B448" s="6"/>
      <c r="C448" s="9" t="str">
        <f>IFERROR(VLOOKUP(VENTAS4[[#This Row],[Code]],STOCK[],5,FALSE),"-")</f>
        <v>Bañador con zíper de pierna alta</v>
      </c>
    </row>
    <row r="449" s="2" customFormat="1" ht="55" customHeight="1" spans="1:3">
      <c r="A449" s="5" t="s">
        <v>937</v>
      </c>
      <c r="B449" s="6"/>
      <c r="C449" s="9" t="str">
        <f>IFERROR(VLOOKUP(VENTAS4[[#This Row],[Code]],STOCK[],5,FALSE),"-")</f>
        <v>Vestido tropical</v>
      </c>
    </row>
    <row r="450" s="2" customFormat="1" ht="55" customHeight="1" spans="1:3">
      <c r="A450" s="5" t="s">
        <v>939</v>
      </c>
      <c r="B450" s="6"/>
      <c r="C450" s="9" t="str">
        <f>IFERROR(VLOOKUP(VENTAS4[[#This Row],[Code]],STOCK[],5,FALSE),"-")</f>
        <v>Vestido Tropical</v>
      </c>
    </row>
    <row r="451" s="2" customFormat="1" ht="55" customHeight="1" spans="1:3">
      <c r="A451" s="5" t="s">
        <v>941</v>
      </c>
      <c r="B451" s="6"/>
      <c r="C451" s="9" t="str">
        <f>IFERROR(VLOOKUP(VENTAS4[[#This Row],[Code]],STOCK[],5,FALSE),"-")</f>
        <v>Vestido Tropical</v>
      </c>
    </row>
    <row r="452" s="2" customFormat="1" ht="55" customHeight="1" spans="1:3">
      <c r="A452" s="5" t="s">
        <v>942</v>
      </c>
      <c r="B452" s="6"/>
      <c r="C452" s="9" t="str">
        <f>IFERROR(VLOOKUP(VENTAS4[[#This Row],[Code]],STOCK[],5,FALSE),"-")</f>
        <v>Vestido Tropical</v>
      </c>
    </row>
    <row r="453" s="2" customFormat="1" ht="55" customHeight="1" spans="1:3">
      <c r="A453" s="5" t="s">
        <v>943</v>
      </c>
      <c r="B453" s="6"/>
      <c r="C453" s="9" t="str">
        <f>IFERROR(VLOOKUP(VENTAS4[[#This Row],[Code]],STOCK[],5,FALSE),"-")</f>
        <v> Top Básico Business Crema</v>
      </c>
    </row>
    <row r="454" s="2" customFormat="1" ht="55" customHeight="1" spans="1:3">
      <c r="A454" s="5" t="s">
        <v>945</v>
      </c>
      <c r="B454" s="6"/>
      <c r="C454" s="9" t="str">
        <f>IFERROR(VLOOKUP(VENTAS4[[#This Row],[Code]],STOCK[],5,FALSE),"-")</f>
        <v> Top Básico Business </v>
      </c>
    </row>
    <row r="455" s="2" customFormat="1" ht="55" customHeight="1" spans="1:3">
      <c r="A455" s="5" t="s">
        <v>948</v>
      </c>
      <c r="B455" s="6"/>
      <c r="C455" s="9" t="str">
        <f>IFERROR(VLOOKUP(VENTAS4[[#This Row],[Code]],STOCK[],5,FALSE),"-")</f>
        <v> Pantaloneta Verde</v>
      </c>
    </row>
    <row r="456" s="2" customFormat="1" ht="55" customHeight="1" spans="1:3">
      <c r="A456" s="5" t="s">
        <v>950</v>
      </c>
      <c r="B456" s="6"/>
      <c r="C456" s="9" t="str">
        <f>IFERROR(VLOOKUP(VENTAS4[[#This Row],[Code]],STOCK[],5,FALSE),"-")</f>
        <v> Pantaloneta Verde</v>
      </c>
    </row>
    <row r="457" s="2" customFormat="1" ht="55" customHeight="1" spans="1:3">
      <c r="A457" s="5" t="s">
        <v>951</v>
      </c>
      <c r="B457" s="6"/>
      <c r="C457" s="9" t="str">
        <f>IFERROR(VLOOKUP(VENTAS4[[#This Row],[Code]],STOCK[],5,FALSE),"-")</f>
        <v> Pantaloneta Verde</v>
      </c>
    </row>
    <row r="458" s="2" customFormat="1" ht="55" customHeight="1" spans="1:3">
      <c r="A458" s="5" t="s">
        <v>952</v>
      </c>
      <c r="B458" s="6"/>
      <c r="C458" s="9" t="str">
        <f>IFERROR(VLOOKUP(VENTAS4[[#This Row],[Code]],STOCK[],5,FALSE),"-")</f>
        <v>Niñas 3 piezas Bañador bikini de rayas combinadas con abertura con kimono</v>
      </c>
    </row>
    <row r="459" s="2" customFormat="1" ht="55" customHeight="1" spans="1:3">
      <c r="A459" s="5" t="s">
        <v>955</v>
      </c>
      <c r="B459" s="6"/>
      <c r="C459" s="9" t="str">
        <f>IFERROR(VLOOKUP(VENTAS4[[#This Row],[Code]],STOCK[],5,FALSE),"-")</f>
        <v>Bañador una pieza con mariposa aplique fruncido</v>
      </c>
    </row>
    <row r="460" s="2" customFormat="1" ht="55" customHeight="1" spans="1:3">
      <c r="A460" s="5" t="s">
        <v>957</v>
      </c>
      <c r="B460" s="6"/>
      <c r="C460" s="9" t="str">
        <f>IFERROR(VLOOKUP(VENTAS4[[#This Row],[Code]],STOCK[],5,FALSE),"-")</f>
        <v>Pantalón Business Básico</v>
      </c>
    </row>
    <row r="461" s="2" customFormat="1" ht="55" customHeight="1" spans="1:3">
      <c r="A461" s="5" t="s">
        <v>959</v>
      </c>
      <c r="B461" s="6"/>
      <c r="C461" s="9" t="str">
        <f>IFERROR(VLOOKUP(VENTAS4[[#This Row],[Code]],STOCK[],5,FALSE),"-")</f>
        <v>Pantalón business básico</v>
      </c>
    </row>
    <row r="462" s="2" customFormat="1" ht="55" customHeight="1" spans="1:3">
      <c r="A462" s="5" t="s">
        <v>961</v>
      </c>
      <c r="B462" s="6"/>
      <c r="C462" s="9" t="str">
        <f>IFERROR(VLOOKUP(VENTAS4[[#This Row],[Code]],STOCK[],5,FALSE),"-")</f>
        <v>Pantalón Business Básico</v>
      </c>
    </row>
    <row r="463" s="2" customFormat="1" ht="55" customHeight="1" spans="1:3">
      <c r="A463" s="5" t="s">
        <v>962</v>
      </c>
      <c r="B463" s="6"/>
      <c r="C463" s="9" t="str">
        <f>IFERROR(VLOOKUP(VENTAS4[[#This Row],[Code]],STOCK[],5,FALSE),"-")</f>
        <v>Pantalón business básico</v>
      </c>
    </row>
    <row r="464" s="2" customFormat="1" ht="55" customHeight="1" spans="1:3">
      <c r="A464" s="5" t="s">
        <v>964</v>
      </c>
      <c r="B464" s="6"/>
      <c r="C464" s="9" t="str">
        <f>IFERROR(VLOOKUP(VENTAS4[[#This Row],[Code]],STOCK[],5,FALSE),"-")</f>
        <v> Top Básico Business </v>
      </c>
    </row>
    <row r="465" s="2" customFormat="1" ht="55" customHeight="1" spans="1:3">
      <c r="A465" s="5" t="s">
        <v>966</v>
      </c>
      <c r="B465" s="6"/>
      <c r="C465" s="9" t="str">
        <f>IFERROR(VLOOKUP(VENTAS4[[#This Row],[Code]],STOCK[],5,FALSE),"-")</f>
        <v> Top Básico Business</v>
      </c>
    </row>
    <row r="466" s="2" customFormat="1" ht="55" customHeight="1" spans="1:3">
      <c r="A466" s="5" t="s">
        <v>969</v>
      </c>
      <c r="B466" s="6"/>
      <c r="C466" s="9" t="str">
        <f>IFERROR(VLOOKUP(VENTAS4[[#This Row],[Code]],STOCK[],5,FALSE),"-")</f>
        <v> Top Básico Business</v>
      </c>
    </row>
    <row r="467" s="2" customFormat="1" ht="55" customHeight="1" spans="1:3">
      <c r="A467" s="5" t="s">
        <v>971</v>
      </c>
      <c r="B467" s="6"/>
      <c r="C467" s="9" t="str">
        <f>IFERROR(VLOOKUP(VENTAS4[[#This Row],[Code]],STOCK[],5,FALSE),"-")</f>
        <v>Bañador Cisne Espalda descubierta</v>
      </c>
    </row>
    <row r="468" s="2" customFormat="1" ht="55" customHeight="1" spans="1:3">
      <c r="A468" s="5" t="s">
        <v>973</v>
      </c>
      <c r="B468" s="6"/>
      <c r="C468" s="9" t="str">
        <f>IFERROR(VLOOKUP(VENTAS4[[#This Row],[Code]],STOCK[],5,FALSE),"-")</f>
        <v>Bañador despalda descubierta</v>
      </c>
    </row>
    <row r="469" s="2" customFormat="1" ht="55" customHeight="1" spans="1:3">
      <c r="A469" s="5" t="s">
        <v>976</v>
      </c>
      <c r="B469" s="6"/>
      <c r="C469" s="9" t="str">
        <f>IFERROR(VLOOKUP(VENTAS4[[#This Row],[Code]],STOCK[],5,FALSE),"-")</f>
        <v>Bikini niña 3 piezas</v>
      </c>
    </row>
    <row r="470" s="2" customFormat="1" ht="55" customHeight="1" spans="1:3">
      <c r="A470" s="5" t="s">
        <v>979</v>
      </c>
      <c r="B470" s="6"/>
      <c r="C470" s="9" t="str">
        <f>IFERROR(VLOOKUP(VENTAS4[[#This Row],[Code]],STOCK[],5,FALSE),"-")</f>
        <v> Top Mangas Fruncidas</v>
      </c>
    </row>
    <row r="471" s="2" customFormat="1" ht="55" customHeight="1" spans="1:3">
      <c r="A471" s="5" t="s">
        <v>981</v>
      </c>
      <c r="B471" s="6"/>
      <c r="C471" s="9" t="str">
        <f>IFERROR(VLOOKUP(VENTAS4[[#This Row],[Code]],STOCK[],5,FALSE),"-")</f>
        <v> Top Mangas Fruncidas</v>
      </c>
    </row>
    <row r="472" s="2" customFormat="1" ht="55" customHeight="1" spans="1:3">
      <c r="A472" s="5" t="s">
        <v>982</v>
      </c>
      <c r="B472" s="6"/>
      <c r="C472" s="9" t="str">
        <f>IFERROR(VLOOKUP(VENTAS4[[#This Row],[Code]],STOCK[],5,FALSE),"-")</f>
        <v> Top Mangas Fruncidas</v>
      </c>
    </row>
    <row r="473" s="2" customFormat="1" ht="55" customHeight="1" spans="1:3">
      <c r="A473" s="5" t="s">
        <v>983</v>
      </c>
      <c r="B473" s="6"/>
      <c r="C473" s="9" t="str">
        <f>IFERROR(VLOOKUP(VENTAS4[[#This Row],[Code]],STOCK[],5,FALSE),"-")</f>
        <v>Vestido con abertura</v>
      </c>
    </row>
    <row r="474" s="2" customFormat="1" ht="55" customHeight="1" spans="1:3">
      <c r="A474" s="5" t="s">
        <v>985</v>
      </c>
      <c r="B474" s="6"/>
      <c r="C474" s="9" t="str">
        <f>IFERROR(VLOOKUP(VENTAS4[[#This Row],[Code]],STOCK[],5,FALSE),"-")</f>
        <v>Vestido con abertura</v>
      </c>
    </row>
    <row r="475" s="2" customFormat="1" ht="55" customHeight="1" spans="1:3">
      <c r="A475" s="5" t="s">
        <v>986</v>
      </c>
      <c r="B475" s="6"/>
      <c r="C475" s="9" t="str">
        <f>IFERROR(VLOOKUP(VENTAS4[[#This Row],[Code]],STOCK[],5,FALSE),"-")</f>
        <v>Vestido con doble abertura</v>
      </c>
    </row>
    <row r="476" s="2" customFormat="1" ht="55" customHeight="1" spans="1:3">
      <c r="A476" s="5" t="s">
        <v>988</v>
      </c>
      <c r="B476" s="6"/>
      <c r="C476" s="9" t="str">
        <f>IFERROR(VLOOKUP(VENTAS4[[#This Row],[Code]],STOCK[],5,FALSE),"-")</f>
        <v> Top Básico Business Negro</v>
      </c>
    </row>
    <row r="477" s="2" customFormat="1" ht="55" customHeight="1" spans="1:3">
      <c r="A477" s="5" t="s">
        <v>990</v>
      </c>
      <c r="B477" s="6"/>
      <c r="C477" s="9" t="str">
        <f>IFERROR(VLOOKUP(VENTAS4[[#This Row],[Code]],STOCK[],5,FALSE),"-")</f>
        <v> Top Básico Business Negro</v>
      </c>
    </row>
    <row r="478" s="2" customFormat="1" ht="55" customHeight="1" spans="1:3">
      <c r="A478" s="5" t="s">
        <v>991</v>
      </c>
      <c r="B478" s="6"/>
      <c r="C478" s="9" t="str">
        <f>IFERROR(VLOOKUP(VENTAS4[[#This Row],[Code]],STOCK[],5,FALSE),"-")</f>
        <v> Top Básico Business </v>
      </c>
    </row>
    <row r="479" s="2" customFormat="1" ht="55" customHeight="1" spans="1:3">
      <c r="A479" s="5" t="s">
        <v>993</v>
      </c>
      <c r="B479" s="6"/>
      <c r="C479" s="9" t="str">
        <f>IFERROR(VLOOKUP(VENTAS4[[#This Row],[Code]],STOCK[],5,FALSE),"-")</f>
        <v>Vestido Girasol</v>
      </c>
    </row>
    <row r="480" s="2" customFormat="1" ht="55" customHeight="1" spans="1:3">
      <c r="A480" s="5" t="s">
        <v>996</v>
      </c>
      <c r="B480" s="6"/>
      <c r="C480" s="9" t="str">
        <f>IFERROR(VLOOKUP(VENTAS4[[#This Row],[Code]],STOCK[],5,FALSE),"-")</f>
        <v>Top Acanalado</v>
      </c>
    </row>
    <row r="481" s="2" customFormat="1" ht="55" customHeight="1" spans="1:3">
      <c r="A481" s="5" t="s">
        <v>998</v>
      </c>
      <c r="B481" s="6"/>
      <c r="C481" s="9" t="str">
        <f>IFERROR(VLOOKUP(VENTAS4[[#This Row],[Code]],STOCK[],5,FALSE),"-")</f>
        <v>Top Acanalado</v>
      </c>
    </row>
    <row r="482" s="2" customFormat="1" ht="55" customHeight="1" spans="1:3">
      <c r="A482" s="5" t="s">
        <v>999</v>
      </c>
      <c r="B482" s="6"/>
      <c r="C482" s="9" t="str">
        <f>IFERROR(VLOOKUP(VENTAS4[[#This Row],[Code]],STOCK[],5,FALSE),"-")</f>
        <v>Top cisne acanalado</v>
      </c>
    </row>
    <row r="483" s="2" customFormat="1" ht="55" customHeight="1" spans="1:3">
      <c r="A483" s="5" t="s">
        <v>1001</v>
      </c>
      <c r="B483" s="6"/>
      <c r="C483" s="9" t="str">
        <f>IFERROR(VLOOKUP(VENTAS4[[#This Row],[Code]],STOCK[],5,FALSE),"-")</f>
        <v>Vestido frenchy de puntos</v>
      </c>
    </row>
    <row r="484" s="2" customFormat="1" ht="55" customHeight="1" spans="1:3">
      <c r="A484" s="5" t="s">
        <v>1003</v>
      </c>
      <c r="B484" s="6"/>
      <c r="C484" s="9" t="str">
        <f>IFERROR(VLOOKUP(VENTAS4[[#This Row],[Code]],STOCK[],5,FALSE),"-")</f>
        <v>Vestido frenchy de puntos</v>
      </c>
    </row>
    <row r="485" s="2" customFormat="1" ht="55" customHeight="1" spans="1:3">
      <c r="A485" s="5" t="s">
        <v>1005</v>
      </c>
      <c r="B485" s="6"/>
      <c r="C485" s="9" t="str">
        <f>IFERROR(VLOOKUP(VENTAS4[[#This Row],[Code]],STOCK[],5,FALSE),"-")</f>
        <v>Bañador una pieza con estampado de planta cremallera</v>
      </c>
    </row>
    <row r="486" s="2" customFormat="1" ht="55" customHeight="1" spans="1:3">
      <c r="A486" s="5" t="s">
        <v>1007</v>
      </c>
      <c r="B486" s="6"/>
      <c r="C486" s="9" t="str">
        <f>IFERROR(VLOOKUP(VENTAS4[[#This Row],[Code]],STOCK[],5,FALSE),"-")</f>
        <v>Maxi Vestido con Bolsillo</v>
      </c>
    </row>
    <row r="487" s="2" customFormat="1" ht="55" customHeight="1" spans="1:3">
      <c r="A487" s="5" t="s">
        <v>1010</v>
      </c>
      <c r="B487" s="6"/>
      <c r="C487" s="9" t="str">
        <f>IFERROR(VLOOKUP(VENTAS4[[#This Row],[Code]],STOCK[],5,FALSE),"-")</f>
        <v>Maxi Vestido con Bolsillo</v>
      </c>
    </row>
    <row r="488" s="2" customFormat="1" ht="55" customHeight="1" spans="1:3">
      <c r="A488" s="5" t="s">
        <v>1011</v>
      </c>
      <c r="B488" s="6"/>
      <c r="C488" s="9" t="str">
        <f>IFERROR(VLOOKUP(VENTAS4[[#This Row],[Code]],STOCK[],5,FALSE),"-")</f>
        <v>Maxi Vestido con Bolsillo</v>
      </c>
    </row>
    <row r="489" s="2" customFormat="1" ht="55" customHeight="1" spans="1:3">
      <c r="A489" s="5" t="s">
        <v>1013</v>
      </c>
      <c r="B489" s="6"/>
      <c r="C489" s="9" t="str">
        <f>IFERROR(VLOOKUP(VENTAS4[[#This Row],[Code]],STOCK[],5,FALSE),"-")</f>
        <v>Set de sujetador con tira ajustable 2 paquetes</v>
      </c>
    </row>
    <row r="490" s="2" customFormat="1" ht="55" customHeight="1" spans="1:3">
      <c r="A490" s="5" t="s">
        <v>1015</v>
      </c>
      <c r="B490" s="6"/>
      <c r="C490" s="9" t="str">
        <f>IFERROR(VLOOKUP(VENTAS4[[#This Row],[Code]],STOCK[],5,FALSE),"-")</f>
        <v>Top Dreamer Negro</v>
      </c>
    </row>
    <row r="491" s="2" customFormat="1" ht="55" customHeight="1" spans="1:3">
      <c r="A491" s="5" t="s">
        <v>1017</v>
      </c>
      <c r="B491" s="6"/>
      <c r="C491" s="9" t="str">
        <f>IFERROR(VLOOKUP(VENTAS4[[#This Row],[Code]],STOCK[],5,FALSE),"-")</f>
        <v>Top Dreamer Negro</v>
      </c>
    </row>
    <row r="492" s="2" customFormat="1" ht="55" customHeight="1" spans="1:3">
      <c r="A492" s="5" t="s">
        <v>1018</v>
      </c>
      <c r="B492" s="6"/>
      <c r="C492" s="9" t="str">
        <f>IFERROR(VLOOKUP(VENTAS4[[#This Row],[Code]],STOCK[],5,FALSE),"-")</f>
        <v>Top Dreamer Negro</v>
      </c>
    </row>
    <row r="493" s="2" customFormat="1" ht="55" customHeight="1" spans="1:3">
      <c r="A493" s="5" t="s">
        <v>1019</v>
      </c>
      <c r="B493" s="6"/>
      <c r="C493" s="9" t="str">
        <f>IFERROR(VLOOKUP(VENTAS4[[#This Row],[Code]],STOCK[],5,FALSE),"-")</f>
        <v>Falda margarita de corte A</v>
      </c>
    </row>
    <row r="494" s="2" customFormat="1" ht="55" customHeight="1" spans="1:3">
      <c r="A494" s="5" t="s">
        <v>1021</v>
      </c>
      <c r="B494" s="6"/>
      <c r="C494" s="9" t="str">
        <f>IFERROR(VLOOKUP(VENTAS4[[#This Row],[Code]],STOCK[],5,FALSE),"-")</f>
        <v>Falda Margarita</v>
      </c>
    </row>
    <row r="495" s="2" customFormat="1" ht="55" customHeight="1" spans="1:3">
      <c r="A495" s="5" t="s">
        <v>1023</v>
      </c>
      <c r="B495" s="6"/>
      <c r="C495" s="9" t="str">
        <f>IFERROR(VLOOKUP(VENTAS4[[#This Row],[Code]],STOCK[],5,FALSE),"-")</f>
        <v>Falda Margarita</v>
      </c>
    </row>
    <row r="496" s="2" customFormat="1" ht="55" customHeight="1" spans="1:3">
      <c r="A496" s="5" t="s">
        <v>1024</v>
      </c>
      <c r="B496" s="6"/>
      <c r="C496" s="9" t="str">
        <f>IFERROR(VLOOKUP(VENTAS4[[#This Row],[Code]],STOCK[],5,FALSE),"-")</f>
        <v>Top Dreamer Blanco</v>
      </c>
    </row>
    <row r="497" s="2" customFormat="1" ht="55" customHeight="1" spans="1:3">
      <c r="A497" s="5" t="s">
        <v>1026</v>
      </c>
      <c r="B497" s="6"/>
      <c r="C497" s="9" t="str">
        <f>IFERROR(VLOOKUP(VENTAS4[[#This Row],[Code]],STOCK[],5,FALSE),"-")</f>
        <v>Top Dreamer Blanco</v>
      </c>
    </row>
    <row r="498" s="2" customFormat="1" ht="55" customHeight="1" spans="1:3">
      <c r="A498" s="5" t="s">
        <v>1027</v>
      </c>
      <c r="B498" s="6"/>
      <c r="C498" s="9" t="str">
        <f>IFERROR(VLOOKUP(VENTAS4[[#This Row],[Code]],STOCK[],5,FALSE),"-")</f>
        <v>Top Dreamer Blanco</v>
      </c>
    </row>
    <row r="499" s="2" customFormat="1" ht="55" customHeight="1" spans="1:3">
      <c r="A499" s="5" t="s">
        <v>1028</v>
      </c>
      <c r="B499" s="6"/>
      <c r="C499" s="9" t="str">
        <f>IFERROR(VLOOKUP(VENTAS4[[#This Row],[Code]],STOCK[],5,FALSE),"-")</f>
        <v>Top cuello V Blanco</v>
      </c>
    </row>
    <row r="500" s="2" customFormat="1" ht="55" customHeight="1" spans="1:3">
      <c r="A500" s="5" t="s">
        <v>1030</v>
      </c>
      <c r="B500" s="6"/>
      <c r="C500" s="9" t="str">
        <f>IFERROR(VLOOKUP(VENTAS4[[#This Row],[Code]],STOCK[],5,FALSE),"-")</f>
        <v>Sujetador Básico</v>
      </c>
    </row>
    <row r="501" s="2" customFormat="1" ht="55" customHeight="1" spans="1:3">
      <c r="A501" s="5" t="s">
        <v>1032</v>
      </c>
      <c r="B501" s="6"/>
      <c r="C501" s="9" t="str">
        <f>IFERROR(VLOOKUP(VENTAS4[[#This Row],[Code]],STOCK[],5,FALSE),"-")</f>
        <v>Jenas Ajustados Oscuro</v>
      </c>
    </row>
    <row r="502" s="2" customFormat="1" ht="55" customHeight="1" spans="1:3">
      <c r="A502" s="5" t="s">
        <v>1034</v>
      </c>
      <c r="B502" s="6"/>
      <c r="C502" s="9" t="str">
        <f>IFERROR(VLOOKUP(VENTAS4[[#This Row],[Code]],STOCK[],5,FALSE),"-")</f>
        <v>Jenas Ajustados Oscuro</v>
      </c>
    </row>
    <row r="503" s="2" customFormat="1" ht="55" customHeight="1" spans="1:3">
      <c r="A503" s="5" t="s">
        <v>1035</v>
      </c>
      <c r="B503" s="6"/>
      <c r="C503" s="9" t="str">
        <f>IFERROR(VLOOKUP(VENTAS4[[#This Row],[Code]],STOCK[],5,FALSE),"-")</f>
        <v>Falda Fruncida </v>
      </c>
    </row>
    <row r="504" s="2" customFormat="1" ht="55" customHeight="1" spans="1:3">
      <c r="A504" s="5" t="s">
        <v>1037</v>
      </c>
      <c r="B504" s="6"/>
      <c r="C504" s="9" t="str">
        <f>IFERROR(VLOOKUP(VENTAS4[[#This Row],[Code]],STOCK[],5,FALSE),"-")</f>
        <v>Falda plisada</v>
      </c>
    </row>
    <row r="505" s="2" customFormat="1" ht="55" customHeight="1" spans="1:3">
      <c r="A505" s="5" t="s">
        <v>1039</v>
      </c>
      <c r="B505" s="6"/>
      <c r="C505" s="9" t="str">
        <f>IFERROR(VLOOKUP(VENTAS4[[#This Row],[Code]],STOCK[],5,FALSE),"-")</f>
        <v>Jeans Elastizados Pierna Ancha</v>
      </c>
    </row>
    <row r="506" s="2" customFormat="1" ht="55" customHeight="1" spans="1:3">
      <c r="A506" s="5" t="s">
        <v>1041</v>
      </c>
      <c r="B506" s="6"/>
      <c r="C506" s="9" t="str">
        <f>IFERROR(VLOOKUP(VENTAS4[[#This Row],[Code]],STOCK[],5,FALSE),"-")</f>
        <v>Jeans Elastizados Pierna Ancha</v>
      </c>
    </row>
    <row r="507" s="2" customFormat="1" ht="55" customHeight="1" spans="1:3">
      <c r="A507" s="5" t="s">
        <v>1042</v>
      </c>
      <c r="B507" s="6"/>
      <c r="C507" s="9" t="str">
        <f>IFERROR(VLOOKUP(VENTAS4[[#This Row],[Code]],STOCK[],5,FALSE),"-")</f>
        <v>Jeans Elastizados Pierna Ancha</v>
      </c>
    </row>
    <row r="508" s="2" customFormat="1" ht="55" customHeight="1" spans="1:3">
      <c r="A508" s="5" t="s">
        <v>1043</v>
      </c>
      <c r="B508" s="6"/>
      <c r="C508" s="2" t="str">
        <f>IFERROR(VLOOKUP(VENTAS4[[#This Row],[Code]],STOCK[],5,FALSE),"-")</f>
        <v>Jeans Ajustados Claro</v>
      </c>
    </row>
    <row r="509" s="2" customFormat="1" ht="55" customHeight="1" spans="1:3">
      <c r="A509" s="5" t="s">
        <v>1046</v>
      </c>
      <c r="B509" s="6"/>
      <c r="C509" s="9" t="str">
        <f>IFERROR(VLOOKUP(VENTAS4[[#This Row],[Code]],STOCK[],5,FALSE),"-")</f>
        <v>Jeans Ajustados Claro</v>
      </c>
    </row>
    <row r="510" s="2" customFormat="1" ht="55" customHeight="1" spans="1:3">
      <c r="A510" s="5" t="s">
        <v>1047</v>
      </c>
      <c r="B510" s="6"/>
      <c r="C510" s="9" t="str">
        <f>IFERROR(VLOOKUP(VENTAS4[[#This Row],[Code]],STOCK[],5,FALSE),"-")</f>
        <v>Pantaloneta Camel</v>
      </c>
    </row>
    <row r="511" s="2" customFormat="1" ht="55" customHeight="1" spans="1:3">
      <c r="A511" s="5" t="s">
        <v>1049</v>
      </c>
      <c r="B511" s="6"/>
      <c r="C511" s="9" t="str">
        <f>IFERROR(VLOOKUP(VENTAS4[[#This Row],[Code]],STOCK[],5,FALSE),"-")</f>
        <v>Pantaloneta Camel</v>
      </c>
    </row>
    <row r="512" s="2" customFormat="1" ht="55" customHeight="1" spans="1:3">
      <c r="A512" s="5" t="s">
        <v>1050</v>
      </c>
      <c r="B512" s="6"/>
      <c r="C512" s="9" t="str">
        <f>IFERROR(VLOOKUP(VENTAS4[[#This Row],[Code]],STOCK[],5,FALSE),"-")</f>
        <v>Pantaloneta Camel</v>
      </c>
    </row>
    <row r="513" s="2" customFormat="1" ht="55" customHeight="1" spans="1:3">
      <c r="A513" s="5" t="s">
        <v>1051</v>
      </c>
      <c r="B513" s="6"/>
      <c r="C513" s="9" t="str">
        <f>IFERROR(VLOOKUP(VENTAS4[[#This Row],[Code]],STOCK[],5,FALSE),"-")</f>
        <v>Vestido en punto Rosa</v>
      </c>
    </row>
    <row r="514" s="2" customFormat="1" ht="55" customHeight="1" spans="1:3">
      <c r="A514" s="5" t="s">
        <v>1053</v>
      </c>
      <c r="B514" s="6"/>
      <c r="C514" s="9" t="str">
        <f>IFERROR(VLOOKUP(VENTAS4[[#This Row],[Code]],STOCK[],5,FALSE),"-")</f>
        <v>Vestido en punto Rosa</v>
      </c>
    </row>
    <row r="515" s="2" customFormat="1" ht="55" customHeight="1" spans="1:3">
      <c r="A515" s="5" t="s">
        <v>1054</v>
      </c>
      <c r="B515" s="6"/>
      <c r="C515" s="9" t="str">
        <f>IFERROR(VLOOKUP(VENTAS4[[#This Row],[Code]],STOCK[],5,FALSE),"-")</f>
        <v>Vestido en punto Rosa</v>
      </c>
    </row>
    <row r="516" s="2" customFormat="1" ht="55" customHeight="1" spans="1:3">
      <c r="A516" s="5" t="s">
        <v>1056</v>
      </c>
      <c r="B516" s="6"/>
      <c r="C516" s="9" t="str">
        <f>IFERROR(VLOOKUP(VENTAS4[[#This Row],[Code]],STOCK[],5,FALSE),"-")</f>
        <v>Falda plisada con cadena</v>
      </c>
    </row>
    <row r="517" s="2" customFormat="1" ht="55" customHeight="1" spans="1:3">
      <c r="A517" s="5" t="s">
        <v>1058</v>
      </c>
      <c r="B517" s="6"/>
      <c r="C517" s="9" t="str">
        <f>IFERROR(VLOOKUP(VENTAS4[[#This Row],[Code]],STOCK[],5,FALSE),"-")</f>
        <v>Top de cuadros</v>
      </c>
    </row>
    <row r="518" s="2" customFormat="1" ht="55" customHeight="1" spans="1:3">
      <c r="A518" s="5"/>
      <c r="B518" s="6"/>
      <c r="C518" s="9" t="str">
        <f>IFERROR(VLOOKUP(VENTAS4[[#This Row],[Code]],STOCK[],5,FALSE),"-")</f>
        <v>-</v>
      </c>
    </row>
    <row r="519" s="2" customFormat="1" ht="55" customHeight="1" spans="1:3">
      <c r="A519" s="5" t="s">
        <v>1060</v>
      </c>
      <c r="B519" s="6"/>
      <c r="C519" s="9" t="str">
        <f>IFERROR(VLOOKUP(VENTAS4[[#This Row],[Code]],STOCK[],5,FALSE),"-")</f>
        <v>Top corto blanco</v>
      </c>
    </row>
    <row r="520" s="2" customFormat="1" ht="55" customHeight="1" spans="1:3">
      <c r="A520" s="5" t="s">
        <v>1062</v>
      </c>
      <c r="B520" s="6"/>
      <c r="C520" s="9" t="str">
        <f>IFERROR(VLOOKUP(VENTAS4[[#This Row],[Code]],STOCK[],5,FALSE),"-")</f>
        <v>Top cami carrera</v>
      </c>
    </row>
    <row r="521" s="2" customFormat="1" ht="55" customHeight="1" spans="1:3">
      <c r="A521" s="5" t="s">
        <v>1064</v>
      </c>
      <c r="B521" s="6"/>
      <c r="C521" s="9" t="str">
        <f>IFERROR(VLOOKUP(VENTAS4[[#This Row],[Code]],STOCK[],5,FALSE),"-")</f>
        <v>Pantalones ajustados con cadena</v>
      </c>
    </row>
    <row r="522" s="2" customFormat="1" ht="55" customHeight="1" spans="1:3">
      <c r="A522" s="5" t="s">
        <v>1066</v>
      </c>
      <c r="B522" s="6"/>
      <c r="C522" s="9" t="str">
        <f>IFERROR(VLOOKUP(VENTAS4[[#This Row],[Code]],STOCK[],5,FALSE),"-")</f>
        <v>Pantalones ajustados con cadena</v>
      </c>
    </row>
    <row r="523" s="2" customFormat="1" ht="55" customHeight="1" spans="1:3">
      <c r="A523" s="5" t="s">
        <v>1067</v>
      </c>
      <c r="B523" s="6"/>
      <c r="C523" s="9" t="str">
        <f>IFERROR(VLOOKUP(VENTAS4[[#This Row],[Code]],STOCK[],5,FALSE),"-")</f>
        <v>Blusa camisa colores</v>
      </c>
    </row>
    <row r="524" s="2" customFormat="1" ht="55" customHeight="1" spans="1:3">
      <c r="A524" s="5" t="s">
        <v>1069</v>
      </c>
      <c r="B524" s="6"/>
      <c r="C524" s="9" t="str">
        <f>IFERROR(VLOOKUP(VENTAS4[[#This Row],[Code]],STOCK[],5,FALSE),"-")</f>
        <v>Blusa camisa colores</v>
      </c>
    </row>
    <row r="525" s="2" customFormat="1" ht="55" customHeight="1" spans="1:3">
      <c r="A525" s="5" t="s">
        <v>1070</v>
      </c>
      <c r="B525" s="6"/>
      <c r="C525" s="9" t="str">
        <f>IFERROR(VLOOKUP(VENTAS4[[#This Row],[Code]],STOCK[],5,FALSE),"-")</f>
        <v>Trusa Leopardo</v>
      </c>
    </row>
    <row r="526" s="2" customFormat="1" ht="55" customHeight="1" spans="1:3">
      <c r="A526" s="5" t="s">
        <v>1072</v>
      </c>
      <c r="B526" s="6"/>
      <c r="C526" s="9" t="str">
        <f>IFERROR(VLOOKUP(VENTAS4[[#This Row],[Code]],STOCK[],5,FALSE),"-")</f>
        <v>Malla paredo set 2 piezas</v>
      </c>
    </row>
    <row r="527" s="2" customFormat="1" ht="55" customHeight="1" spans="1:3">
      <c r="A527" s="5" t="s">
        <v>1075</v>
      </c>
      <c r="B527" s="6"/>
      <c r="C527" s="9" t="str">
        <f>IFERROR(VLOOKUP(VENTAS4[[#This Row],[Code]],STOCK[],5,FALSE),"-")</f>
        <v>Traje de baño niña</v>
      </c>
    </row>
    <row r="528" s="2" customFormat="1" ht="55" customHeight="1" spans="1:3">
      <c r="A528" s="5" t="s">
        <v>1078</v>
      </c>
      <c r="B528" s="6"/>
      <c r="C528" s="9" t="str">
        <f>IFERROR(VLOOKUP(VENTAS4[[#This Row],[Code]],STOCK[],5,FALSE),"-")</f>
        <v>Vestido floreado a un hombro</v>
      </c>
    </row>
    <row r="529" s="2" customFormat="1" ht="55" customHeight="1" spans="1:3">
      <c r="A529" s="5" t="s">
        <v>1080</v>
      </c>
      <c r="B529" s="6"/>
      <c r="C529" s="9" t="str">
        <f>IFERROR(VLOOKUP(VENTAS4[[#This Row],[Code]],STOCK[],5,FALSE),"-")</f>
        <v>Vestido floreado a un hombro</v>
      </c>
    </row>
    <row r="530" s="2" customFormat="1" ht="55" customHeight="1" spans="1:3">
      <c r="A530" s="5" t="s">
        <v>1081</v>
      </c>
      <c r="B530" s="6"/>
      <c r="C530" s="9" t="str">
        <f>IFERROR(VLOOKUP(VENTAS4[[#This Row],[Code]],STOCK[],5,FALSE),"-")</f>
        <v>Vestido elegante ajustado corte sirena</v>
      </c>
    </row>
    <row r="531" s="2" customFormat="1" ht="55" customHeight="1" spans="1:3">
      <c r="A531" s="5" t="s">
        <v>1083</v>
      </c>
      <c r="B531" s="6"/>
      <c r="C531" s="9" t="str">
        <f>IFERROR(VLOOKUP(VENTAS4[[#This Row],[Code]],STOCK[],5,FALSE),"-")</f>
        <v>Camisero blanco con pinzas</v>
      </c>
    </row>
    <row r="532" s="2" customFormat="1" ht="55" customHeight="1" spans="1:3">
      <c r="A532" s="5" t="s">
        <v>1086</v>
      </c>
      <c r="B532" s="6"/>
      <c r="C532" s="9" t="str">
        <f>IFERROR(VLOOKUP(VENTAS4[[#This Row],[Code]],STOCK[],5,FALSE),"-")</f>
        <v>Cobertor de traje de baño</v>
      </c>
    </row>
    <row r="533" s="2" customFormat="1" ht="55" customHeight="1" spans="1:3">
      <c r="A533" s="5" t="s">
        <v>1088</v>
      </c>
      <c r="B533" s="6"/>
      <c r="C533" s="9" t="str">
        <f>IFERROR(VLOOKUP(VENTAS4[[#This Row],[Code]],STOCK[],5,FALSE),"-")</f>
        <v>Malla fina Pareo</v>
      </c>
    </row>
    <row r="534" s="2" customFormat="1" ht="55" customHeight="1" spans="1:3">
      <c r="A534" s="5" t="s">
        <v>1090</v>
      </c>
      <c r="B534" s="6"/>
      <c r="C534" s="9" t="str">
        <f>IFERROR(VLOOKUP(VENTAS4[[#This Row],[Code]],STOCK[],5,FALSE),"-")</f>
        <v>Bikini Short con cordón de ajuste</v>
      </c>
    </row>
    <row r="535" s="2" customFormat="1" ht="55" customHeight="1" spans="1:3">
      <c r="A535" s="5" t="s">
        <v>1092</v>
      </c>
      <c r="B535" s="6"/>
      <c r="C535" s="9" t="str">
        <f>IFERROR(VLOOKUP(VENTAS4[[#This Row],[Code]],STOCK[],5,FALSE),"-")</f>
        <v>Bikini Short con cordón de ajuste</v>
      </c>
    </row>
    <row r="536" s="2" customFormat="1" ht="55" customHeight="1" spans="1:3">
      <c r="A536" s="5" t="s">
        <v>1093</v>
      </c>
      <c r="B536" s="6"/>
      <c r="C536" s="9" t="str">
        <f>IFERROR(VLOOKUP(VENTAS4[[#This Row],[Code]],STOCK[],5,FALSE),"-")</f>
        <v>Jean con roto sencillo</v>
      </c>
    </row>
    <row r="537" s="2" customFormat="1" ht="55" customHeight="1" spans="1:3">
      <c r="A537" s="5" t="s">
        <v>1095</v>
      </c>
      <c r="B537" s="6"/>
      <c r="C537" s="9" t="str">
        <f>IFERROR(VLOOKUP(VENTAS4[[#This Row],[Code]],STOCK[],5,FALSE),"-")</f>
        <v>Bañador en contraste azul</v>
      </c>
    </row>
    <row r="538" s="2" customFormat="1" ht="55" customHeight="1" spans="1:3">
      <c r="A538" s="5" t="s">
        <v>1097</v>
      </c>
      <c r="B538" s="6"/>
      <c r="C538" s="9" t="str">
        <f>IFERROR(VLOOKUP(VENTAS4[[#This Row],[Code]],STOCK[],5,FALSE),"-")</f>
        <v>Bañador en contraste azul</v>
      </c>
    </row>
    <row r="539" s="2" customFormat="1" ht="55" customHeight="1" spans="1:3">
      <c r="A539" s="5" t="s">
        <v>1098</v>
      </c>
      <c r="B539" s="6"/>
      <c r="C539" s="9" t="str">
        <f>IFERROR(VLOOKUP(VENTAS4[[#This Row],[Code]],STOCK[],5,FALSE),"-")</f>
        <v>Sandalias crema</v>
      </c>
    </row>
    <row r="540" s="2" customFormat="1" ht="55" customHeight="1" spans="1:3">
      <c r="A540" s="5"/>
      <c r="B540" s="10"/>
      <c r="C540" s="9" t="str">
        <f>IFERROR(VLOOKUP(VENTAS4[[#This Row],[Code]],STOCK[],5,FALSE),"-")</f>
        <v>-</v>
      </c>
    </row>
    <row r="541" s="2" customFormat="1" ht="55" customHeight="1" spans="1:3">
      <c r="A541" s="5" t="s">
        <v>1100</v>
      </c>
      <c r="B541" s="6"/>
      <c r="C541" s="9" t="str">
        <f>IFERROR(VLOOKUP(VENTAS4[[#This Row],[Code]],STOCK[],5,FALSE),"-")</f>
        <v>Sandalias crema</v>
      </c>
    </row>
    <row r="542" s="2" customFormat="1" ht="55" customHeight="1" spans="1:3">
      <c r="A542" s="5" t="s">
        <v>1101</v>
      </c>
      <c r="B542" s="6"/>
      <c r="C542" s="9" t="str">
        <f>IFERROR(VLOOKUP(VENTAS4[[#This Row],[Code]],STOCK[],5,FALSE),"-")</f>
        <v>Sandalias crema</v>
      </c>
    </row>
    <row r="543" s="2" customFormat="1" ht="55" customHeight="1" spans="1:3">
      <c r="A543" s="5" t="s">
        <v>1102</v>
      </c>
      <c r="B543" s="6"/>
      <c r="C543" s="9" t="str">
        <f>IFERROR(VLOOKUP(VENTAS4[[#This Row],[Code]],STOCK[],5,FALSE),"-")</f>
        <v>Mono Oblicuo con bolsillo</v>
      </c>
    </row>
    <row r="544" s="2" customFormat="1" ht="55" customHeight="1" spans="1:3">
      <c r="A544" s="5" t="s">
        <v>1104</v>
      </c>
      <c r="B544" s="6"/>
      <c r="C544" s="9" t="str">
        <f>IFERROR(VLOOKUP(VENTAS4[[#This Row],[Code]],STOCK[],5,FALSE),"-")</f>
        <v>Mono Oblicuo con bolsillo</v>
      </c>
    </row>
    <row r="545" s="2" customFormat="1" ht="55" customHeight="1" spans="1:3">
      <c r="A545" s="5" t="s">
        <v>1105</v>
      </c>
      <c r="B545" s="6"/>
      <c r="C545" s="9" t="str">
        <f>IFERROR(VLOOKUP(VENTAS4[[#This Row],[Code]],STOCK[],5,FALSE),"-")</f>
        <v>Jumpsuit Palazzo Oliva</v>
      </c>
    </row>
    <row r="546" s="2" customFormat="1" ht="55" customHeight="1" spans="1:3">
      <c r="A546" s="5" t="s">
        <v>1108</v>
      </c>
      <c r="B546" s="6"/>
      <c r="C546" s="9" t="str">
        <f>IFERROR(VLOOKUP(VENTAS4[[#This Row],[Code]],STOCK[],5,FALSE),"-")</f>
        <v>Jumpsuit culotte</v>
      </c>
    </row>
    <row r="547" s="2" customFormat="1" ht="55" customHeight="1" spans="1:3">
      <c r="A547" s="5" t="s">
        <v>1110</v>
      </c>
      <c r="B547" s="6"/>
      <c r="C547" s="9" t="str">
        <f>IFERROR(VLOOKUP(VENTAS4[[#This Row],[Code]],STOCK[],5,FALSE),"-")</f>
        <v>Jumpsuit culotte</v>
      </c>
    </row>
    <row r="548" s="2" customFormat="1" ht="55" customHeight="1" spans="1:3">
      <c r="A548" s="5" t="s">
        <v>1111</v>
      </c>
      <c r="B548" s="6"/>
      <c r="C548" s="9" t="str">
        <f>IFERROR(VLOOKUP(VENTAS4[[#This Row],[Code]],STOCK[],5,FALSE),"-")</f>
        <v>Bolso de mimbre</v>
      </c>
    </row>
    <row r="549" s="2" customFormat="1" ht="55" customHeight="1" spans="1:3">
      <c r="A549" s="5" t="s">
        <v>1113</v>
      </c>
      <c r="B549" s="6"/>
      <c r="C549" s="9" t="str">
        <f>IFERROR(VLOOKUP(VENTAS4[[#This Row],[Code]],STOCK[],5,FALSE),"-")</f>
        <v>Set de lencería </v>
      </c>
    </row>
    <row r="550" s="2" customFormat="1" ht="55" customHeight="1" spans="1:3">
      <c r="A550" s="5" t="s">
        <v>1116</v>
      </c>
      <c r="B550" s="6"/>
      <c r="C550" s="9" t="str">
        <f>IFERROR(VLOOKUP(VENTAS4[[#This Row],[Code]],STOCK[],5,FALSE),"-")</f>
        <v>Set de lencería sexy y  cómodo</v>
      </c>
    </row>
    <row r="551" s="2" customFormat="1" ht="55" customHeight="1" spans="1:3">
      <c r="A551" s="5" t="s">
        <v>1118</v>
      </c>
      <c r="B551" s="6"/>
      <c r="C551" s="9" t="str">
        <f>IFERROR(VLOOKUP(VENTAS4[[#This Row],[Code]],STOCK[],5,FALSE),"-")</f>
        <v>Set de lencería sexy y  cómodo</v>
      </c>
    </row>
    <row r="552" s="2" customFormat="1" ht="55" customHeight="1" spans="1:3">
      <c r="A552" s="5" t="s">
        <v>1119</v>
      </c>
      <c r="B552" s="6"/>
      <c r="C552" s="9" t="str">
        <f>IFERROR(VLOOKUP(VENTAS4[[#This Row],[Code]],STOCK[],5,FALSE),"-")</f>
        <v>Set de lencería de encaje</v>
      </c>
    </row>
    <row r="553" s="2" customFormat="1" ht="55" customHeight="1" spans="1:3">
      <c r="A553" s="5" t="s">
        <v>1121</v>
      </c>
      <c r="B553" s="6"/>
      <c r="C553" s="9" t="str">
        <f>IFERROR(VLOOKUP(VENTAS4[[#This Row],[Code]],STOCK[],5,FALSE),"-")</f>
        <v>Set de lencería de encaje</v>
      </c>
    </row>
    <row r="554" s="2" customFormat="1" ht="55" customHeight="1" spans="1:3">
      <c r="A554" s="5" t="s">
        <v>1122</v>
      </c>
      <c r="B554" s="6"/>
      <c r="C554" s="9" t="str">
        <f>IFERROR(VLOOKUP(VENTAS4[[#This Row],[Code]],STOCK[],5,FALSE),"-")</f>
        <v>Sandalias de tacón con tiras </v>
      </c>
    </row>
    <row r="555" s="2" customFormat="1" ht="55" customHeight="1" spans="1:3">
      <c r="A555" s="5" t="s">
        <v>1124</v>
      </c>
      <c r="B555" s="6"/>
      <c r="C555" s="9" t="str">
        <f>IFERROR(VLOOKUP(VENTAS4[[#This Row],[Code]],STOCK[],5,FALSE),"-")</f>
        <v>Blusa elegante de cuello negro</v>
      </c>
    </row>
    <row r="556" s="2" customFormat="1" ht="55" customHeight="1" spans="1:3">
      <c r="A556" s="5" t="s">
        <v>1126</v>
      </c>
      <c r="B556" s="6"/>
      <c r="C556" s="9" t="str">
        <f>IFERROR(VLOOKUP(VENTAS4[[#This Row],[Code]],STOCK[],5,FALSE),"-")</f>
        <v>Blusa elegante de cuello blanco</v>
      </c>
    </row>
    <row r="557" s="2" customFormat="1" ht="55" customHeight="1" spans="1:3">
      <c r="A557" s="5" t="s">
        <v>1128</v>
      </c>
      <c r="B557" s="6"/>
      <c r="C557" s="9" t="str">
        <f>IFERROR(VLOOKUP(VENTAS4[[#This Row],[Code]],STOCK[],5,FALSE),"-")</f>
        <v>Maxi vestido floreado con abertura</v>
      </c>
    </row>
    <row r="558" s="2" customFormat="1" ht="55" customHeight="1" spans="1:3">
      <c r="A558" s="5" t="s">
        <v>1130</v>
      </c>
      <c r="B558" s="6"/>
      <c r="C558" s="9" t="str">
        <f>IFERROR(VLOOKUP(VENTAS4[[#This Row],[Code]],STOCK[],5,FALSE),"-")</f>
        <v>Maxi Vestido espalda corrida</v>
      </c>
    </row>
    <row r="559" s="2" customFormat="1" ht="55" customHeight="1" spans="1:3">
      <c r="A559" s="5" t="s">
        <v>1132</v>
      </c>
      <c r="B559" s="6"/>
      <c r="C559" s="9" t="str">
        <f>IFERROR(VLOOKUP(VENTAS4[[#This Row],[Code]],STOCK[],5,FALSE),"-")</f>
        <v>Bolso grande de playa</v>
      </c>
    </row>
    <row r="560" s="2" customFormat="1" ht="55" customHeight="1" spans="1:3">
      <c r="A560" s="5" t="s">
        <v>1134</v>
      </c>
      <c r="B560" s="6"/>
      <c r="C560" s="9" t="str">
        <f>IFERROR(VLOOKUP(VENTAS4[[#This Row],[Code]],STOCK[],5,FALSE),"-")</f>
        <v>Vestido ajustado Mora</v>
      </c>
    </row>
    <row r="561" s="2" customFormat="1" ht="55" customHeight="1" spans="1:3">
      <c r="A561" s="5" t="s">
        <v>1136</v>
      </c>
      <c r="B561" s="6"/>
      <c r="C561" s="9" t="str">
        <f>IFERROR(VLOOKUP(VENTAS4[[#This Row],[Code]],STOCK[],5,FALSE),"-")</f>
        <v>Vestido rojo con aberturas H&amp;M</v>
      </c>
    </row>
    <row r="562" s="2" customFormat="1" ht="55" customHeight="1" spans="1:3">
      <c r="A562" s="5" t="s">
        <v>1138</v>
      </c>
      <c r="B562" s="6"/>
      <c r="C562" s="9" t="str">
        <f>IFERROR(VLOOKUP(VENTAS4[[#This Row],[Code]],STOCK[],5,FALSE),"-")</f>
        <v>Babydoll</v>
      </c>
    </row>
    <row r="563" s="2" customFormat="1" ht="55" customHeight="1" spans="1:3">
      <c r="A563" s="5" t="s">
        <v>1140</v>
      </c>
      <c r="B563" s="6"/>
      <c r="C563" s="9" t="str">
        <f>IFERROR(VLOOKUP(VENTAS4[[#This Row],[Code]],STOCK[],5,FALSE),"-")</f>
        <v>Top traslúcido de encaje</v>
      </c>
    </row>
    <row r="564" s="2" customFormat="1" ht="55" customHeight="1" spans="1:3">
      <c r="A564" s="5" t="s">
        <v>1142</v>
      </c>
      <c r="B564" s="6"/>
      <c r="C564" s="9" t="str">
        <f>IFERROR(VLOOKUP(VENTAS4[[#This Row],[Code]],STOCK[],5,FALSE),"-")</f>
        <v>Short de playa </v>
      </c>
    </row>
    <row r="565" s="2" customFormat="1" ht="55" customHeight="1" spans="1:3">
      <c r="A565" s="5" t="s">
        <v>1144</v>
      </c>
      <c r="B565" s="6"/>
      <c r="C565" s="9" t="str">
        <f>IFERROR(VLOOKUP(VENTAS4[[#This Row],[Code]],STOCK[],5,FALSE),"-")</f>
        <v>Playera de animados</v>
      </c>
    </row>
    <row r="566" s="2" customFormat="1" ht="55" customHeight="1" spans="1:3">
      <c r="A566" s="5" t="s">
        <v>1146</v>
      </c>
      <c r="B566" s="6"/>
      <c r="C566" s="9" t="str">
        <f>IFERROR(VLOOKUP(VENTAS4[[#This Row],[Code]],STOCK[],5,FALSE),"-")</f>
        <v>Camisa MTV</v>
      </c>
    </row>
    <row r="567" s="2" customFormat="1" ht="55" customHeight="1" spans="1:3">
      <c r="A567" s="5" t="s">
        <v>1148</v>
      </c>
      <c r="B567" s="6"/>
      <c r="C567" s="9" t="str">
        <f>IFERROR(VLOOKUP(VENTAS4[[#This Row],[Code]],STOCK[],5,FALSE),"-")</f>
        <v>Sandalias de tacón grueso</v>
      </c>
    </row>
    <row r="568" s="2" customFormat="1" ht="55" customHeight="1" spans="1:3">
      <c r="A568" s="5" t="s">
        <v>1150</v>
      </c>
      <c r="B568" s="6"/>
      <c r="C568" s="9" t="str">
        <f>IFERROR(VLOOKUP(VENTAS4[[#This Row],[Code]],STOCK[],5,FALSE),"-")</f>
        <v>Sandalias de tiras de tacón cuadrado</v>
      </c>
    </row>
    <row r="569" s="2" customFormat="1" ht="55" customHeight="1" spans="1:3">
      <c r="A569" s="5" t="s">
        <v>1152</v>
      </c>
      <c r="B569" s="6"/>
      <c r="C569" s="9" t="str">
        <f>IFERROR(VLOOKUP(VENTAS4[[#This Row],[Code]],STOCK[],5,FALSE),"-")</f>
        <v>Top negro tipo cami</v>
      </c>
    </row>
    <row r="570" s="2" customFormat="1" ht="55" customHeight="1" spans="1:3">
      <c r="A570" s="5" t="s">
        <v>1155</v>
      </c>
      <c r="B570" s="6"/>
      <c r="C570" s="9" t="str">
        <f>IFERROR(VLOOKUP(VENTAS4[[#This Row],[Code]],STOCK[],5,FALSE),"-")</f>
        <v>Pullover negro cuello redondo</v>
      </c>
    </row>
    <row r="571" s="2" customFormat="1" ht="55" customHeight="1" spans="1:3">
      <c r="A571" s="5" t="s">
        <v>1158</v>
      </c>
      <c r="B571" s="6"/>
      <c r="C571" s="9" t="str">
        <f>IFERROR(VLOOKUP(VENTAS4[[#This Row],[Code]],STOCK[],5,FALSE),"-")</f>
        <v>Pullover negro cuello redondo</v>
      </c>
    </row>
    <row r="572" s="2" customFormat="1" ht="55" customHeight="1" spans="1:3">
      <c r="A572" s="5" t="s">
        <v>1159</v>
      </c>
      <c r="B572" s="6"/>
      <c r="C572" s="9" t="str">
        <f>IFERROR(VLOOKUP(VENTAS4[[#This Row],[Code]],STOCK[],5,FALSE),"-")</f>
        <v>Pezoneras de silicona</v>
      </c>
    </row>
    <row r="573" s="2" customFormat="1" ht="55" customHeight="1" spans="1:3">
      <c r="A573" s="5" t="s">
        <v>1161</v>
      </c>
      <c r="B573" s="6"/>
      <c r="C573" s="9" t="str">
        <f>IFERROR(VLOOKUP(VENTAS4[[#This Row],[Code]],STOCK[],5,FALSE),"-")</f>
        <v>Short de mezclilla oscura con doblez</v>
      </c>
    </row>
    <row r="574" s="2" customFormat="1" ht="55" customHeight="1" spans="1:3">
      <c r="A574" s="5" t="s">
        <v>1163</v>
      </c>
      <c r="B574" s="6"/>
      <c r="C574" s="9" t="str">
        <f>IFERROR(VLOOKUP(VENTAS4[[#This Row],[Code]],STOCK[],5,FALSE),"-")</f>
        <v>Short de mezclilla con doblez (no elastiza)</v>
      </c>
    </row>
    <row r="575" s="2" customFormat="1" ht="55" customHeight="1" spans="1:3">
      <c r="A575" s="5" t="s">
        <v>1165</v>
      </c>
      <c r="B575" s="6"/>
      <c r="C575" s="9" t="str">
        <f>IFERROR(VLOOKUP(VENTAS4[[#This Row],[Code]],STOCK[],5,FALSE),"-")</f>
        <v>Short de mezclilla clara (no elastiza)</v>
      </c>
    </row>
    <row r="576" s="2" customFormat="1" ht="55" customHeight="1" spans="1:3">
      <c r="A576" s="5" t="s">
        <v>1168</v>
      </c>
      <c r="B576" s="6"/>
      <c r="C576" s="9" t="str">
        <f>IFERROR(VLOOKUP(VENTAS4[[#This Row],[Code]],STOCK[],5,FALSE),"-")</f>
        <v>Pullover Dazy cuello redondo Blanco</v>
      </c>
    </row>
    <row r="577" s="2" customFormat="1" ht="55" customHeight="1" spans="1:3">
      <c r="A577" s="5" t="s">
        <v>1170</v>
      </c>
      <c r="B577" s="6"/>
      <c r="C577" s="9" t="str">
        <f>IFERROR(VLOOKUP(VENTAS4[[#This Row],[Code]],STOCK[],5,FALSE),"-")</f>
        <v>Pullover Dazy cuello redondo Blanco</v>
      </c>
    </row>
    <row r="578" s="2" customFormat="1" ht="55" customHeight="1" spans="1:3">
      <c r="A578" s="5" t="s">
        <v>1171</v>
      </c>
      <c r="B578" s="6"/>
      <c r="C578" s="9" t="str">
        <f>IFERROR(VLOOKUP(VENTAS4[[#This Row],[Code]],STOCK[],5,FALSE),"-")</f>
        <v>Vestido camisero con estampado y cinturón </v>
      </c>
    </row>
    <row r="579" s="2" customFormat="1" ht="55" customHeight="1" spans="1:3">
      <c r="A579" s="5" t="s">
        <v>1173</v>
      </c>
      <c r="B579" s="6"/>
      <c r="C579" s="9" t="str">
        <f>IFERROR(VLOOKUP(VENTAS4[[#This Row],[Code]],STOCK[],5,FALSE),"-")</f>
        <v>Vestido camisero con estampado y cinturón </v>
      </c>
    </row>
    <row r="580" s="2" customFormat="1" ht="55" customHeight="1" spans="1:3">
      <c r="A580" s="5" t="s">
        <v>1174</v>
      </c>
      <c r="B580" s="6"/>
      <c r="C580" s="9" t="str">
        <f>IFERROR(VLOOKUP(VENTAS4[[#This Row],[Code]],STOCK[],5,FALSE),"-")</f>
        <v>Vestido camisero con estampado y cinturón </v>
      </c>
    </row>
    <row r="581" s="2" customFormat="1" ht="55" customHeight="1" spans="1:3">
      <c r="A581" s="5" t="s">
        <v>1175</v>
      </c>
      <c r="B581" s="6"/>
      <c r="C581" s="9" t="str">
        <f>IFERROR(VLOOKUP(VENTAS4[[#This Row],[Code]],STOCK[],5,FALSE),"-")</f>
        <v>Vestido niña encargo KarlaGarage</v>
      </c>
    </row>
    <row r="582" s="2" customFormat="1" ht="55" customHeight="1" spans="1:3">
      <c r="A582" s="5" t="s">
        <v>1177</v>
      </c>
      <c r="B582" s="6"/>
      <c r="C582" s="9" t="str">
        <f>IFERROR(VLOOKUP(VENTAS4[[#This Row],[Code]],STOCK[],5,FALSE),"-")</f>
        <v>Vestido niña encargo KarlaGarage</v>
      </c>
    </row>
    <row r="583" s="2" customFormat="1" ht="55" customHeight="1" spans="1:3">
      <c r="A583" s="5" t="s">
        <v>1178</v>
      </c>
      <c r="B583" s="6"/>
      <c r="C583" s="9" t="str">
        <f>IFERROR(VLOOKUP(VENTAS4[[#This Row],[Code]],STOCK[],5,FALSE),"-")</f>
        <v>Vestido encaje amarillo KarlaGarage</v>
      </c>
    </row>
    <row r="584" s="2" customFormat="1" ht="55" customHeight="1" spans="1:3">
      <c r="A584" s="5" t="s">
        <v>1180</v>
      </c>
      <c r="B584" s="6"/>
      <c r="C584" s="9" t="str">
        <f>IFERROR(VLOOKUP(VENTAS4[[#This Row],[Code]],STOCK[],5,FALSE),"-")</f>
        <v>Short de mezclilla clara con doblez</v>
      </c>
    </row>
    <row r="585" s="2" customFormat="1" ht="55" customHeight="1" spans="1:3">
      <c r="A585" s="5" t="s">
        <v>1182</v>
      </c>
      <c r="B585" s="6"/>
      <c r="C585" s="9" t="str">
        <f>IFERROR(VLOOKUP(VENTAS4[[#This Row],[Code]],STOCK[],5,FALSE),"-")</f>
        <v>Short de mezclilla clara con doblez</v>
      </c>
    </row>
    <row r="586" s="2" customFormat="1" ht="55" customHeight="1" spans="1:3">
      <c r="A586" s="5" t="s">
        <v>1183</v>
      </c>
      <c r="B586" s="6"/>
      <c r="C586" s="9" t="str">
        <f>IFERROR(VLOOKUP(VENTAS4[[#This Row],[Code]],STOCK[],5,FALSE),"-")</f>
        <v>Vestido niña KarlaGarage</v>
      </c>
    </row>
    <row r="587" s="2" customFormat="1" ht="55" customHeight="1" spans="1:3">
      <c r="A587" s="5" t="s">
        <v>1185</v>
      </c>
      <c r="B587" s="6"/>
      <c r="C587" s="9" t="str">
        <f>IFERROR(VLOOKUP(VENTAS4[[#This Row],[Code]],STOCK[],5,FALSE),"-")</f>
        <v>Top healter en capas color beige</v>
      </c>
    </row>
    <row r="588" s="2" customFormat="1" ht="55" customHeight="1" spans="1:3">
      <c r="A588" s="5" t="s">
        <v>1187</v>
      </c>
      <c r="B588" s="6"/>
      <c r="C588" s="9" t="str">
        <f>IFERROR(VLOOKUP(VENTAS4[[#This Row],[Code]],STOCK[],5,FALSE),"-")</f>
        <v>Camisa negra con estampado floral </v>
      </c>
    </row>
    <row r="589" s="2" customFormat="1" ht="55" customHeight="1" spans="1:3">
      <c r="A589" s="5" t="s">
        <v>1190</v>
      </c>
      <c r="B589" s="6"/>
      <c r="C589" s="9" t="str">
        <f>IFERROR(VLOOKUP(VENTAS4[[#This Row],[Code]],STOCK[],5,FALSE),"-")</f>
        <v>Vestido ajustado con adorno de plumas</v>
      </c>
    </row>
    <row r="590" s="2" customFormat="1" ht="55" customHeight="1" spans="1:3">
      <c r="A590" s="5" t="s">
        <v>1192</v>
      </c>
      <c r="B590" s="6"/>
      <c r="C590" s="9" t="str">
        <f>IFERROR(VLOOKUP(VENTAS4[[#This Row],[Code]],STOCK[],5,FALSE),"-")</f>
        <v>Vestido niña encargo KarlaGarage</v>
      </c>
    </row>
    <row r="591" s="2" customFormat="1" ht="55" customHeight="1" spans="1:3">
      <c r="A591" s="5" t="s">
        <v>1193</v>
      </c>
      <c r="B591" s="6"/>
      <c r="C591" s="9" t="str">
        <f>IFERROR(VLOOKUP(VENTAS4[[#This Row],[Code]],STOCK[],5,FALSE),"-")</f>
        <v>Vestido niña encargo KarlaGarage</v>
      </c>
    </row>
    <row r="592" s="2" customFormat="1" ht="55" customHeight="1" spans="1:3">
      <c r="A592" s="5" t="s">
        <v>1194</v>
      </c>
      <c r="B592" s="6"/>
      <c r="C592" s="9" t="str">
        <f>IFERROR(VLOOKUP(VENTAS4[[#This Row],[Code]],STOCK[],5,FALSE),"-")</f>
        <v>Conjunto de top y falda cruzada</v>
      </c>
    </row>
    <row r="593" s="2" customFormat="1" ht="55" customHeight="1" spans="1:3">
      <c r="A593" s="5" t="s">
        <v>1196</v>
      </c>
      <c r="B593" s="6"/>
      <c r="C593" s="9" t="str">
        <f>IFERROR(VLOOKUP(VENTAS4[[#This Row],[Code]],STOCK[],5,FALSE),"-")</f>
        <v>Conjunto blanco top healter y falda cruzada</v>
      </c>
    </row>
    <row r="594" s="2" customFormat="1" ht="55" customHeight="1" spans="1:3">
      <c r="A594" s="5" t="s">
        <v>1198</v>
      </c>
      <c r="B594" s="6"/>
      <c r="C594" s="9" t="str">
        <f>IFERROR(VLOOKUP(VENTAS4[[#This Row],[Code]],STOCK[],5,FALSE),"-")</f>
        <v>Sujetador adhesivo de silicona</v>
      </c>
    </row>
    <row r="595" s="2" customFormat="1" ht="55" customHeight="1" spans="1:3">
      <c r="A595" s="5" t="s">
        <v>1200</v>
      </c>
      <c r="B595" s="6"/>
      <c r="C595" s="9" t="str">
        <f>IFERROR(VLOOKUP(VENTAS4[[#This Row],[Code]],STOCK[],5,FALSE),"-")</f>
        <v>Camisa Blanca</v>
      </c>
    </row>
    <row r="596" s="2" customFormat="1" ht="55" customHeight="1" spans="1:3">
      <c r="A596" s="5" t="s">
        <v>1202</v>
      </c>
      <c r="B596" s="6"/>
      <c r="C596" s="9" t="str">
        <f>IFERROR(VLOOKUP(VENTAS4[[#This Row],[Code]],STOCK[],5,FALSE),"-")</f>
        <v>Camisa Blanca</v>
      </c>
    </row>
    <row r="597" s="2" customFormat="1" ht="55" customHeight="1" spans="1:3">
      <c r="A597" s="5" t="s">
        <v>1203</v>
      </c>
      <c r="B597" s="6"/>
      <c r="C597" s="9" t="str">
        <f>IFERROR(VLOOKUP(VENTAS4[[#This Row],[Code]],STOCK[],5,FALSE),"-")</f>
        <v>Camisa Blanca</v>
      </c>
    </row>
    <row r="598" s="2" customFormat="1" ht="55" customHeight="1" spans="1:3">
      <c r="A598" s="5" t="s">
        <v>1204</v>
      </c>
      <c r="B598" s="6"/>
      <c r="C598" s="9" t="str">
        <f>IFERROR(VLOOKUP(VENTAS4[[#This Row],[Code]],STOCK[],5,FALSE),"-")</f>
        <v>Pantaloneta de zíper</v>
      </c>
    </row>
    <row r="599" s="2" customFormat="1" ht="55" customHeight="1" spans="1:3">
      <c r="A599" s="5" t="s">
        <v>1206</v>
      </c>
      <c r="B599" s="6"/>
      <c r="C599" s="9" t="str">
        <f>IFERROR(VLOOKUP(VENTAS4[[#This Row],[Code]],STOCK[],5,FALSE),"-")</f>
        <v>Pantaloneta roja</v>
      </c>
    </row>
    <row r="600" s="2" customFormat="1" ht="55" customHeight="1" spans="1:3">
      <c r="A600" s="5" t="s">
        <v>1208</v>
      </c>
      <c r="B600" s="6"/>
      <c r="C600" s="9" t="str">
        <f>IFERROR(VLOOKUP(VENTAS4[[#This Row],[Code]],STOCK[],5,FALSE),"-")</f>
        <v>Pantaloneta roja</v>
      </c>
    </row>
    <row r="601" s="2" customFormat="1" ht="55" customHeight="1" spans="1:3">
      <c r="A601" s="5" t="s">
        <v>1209</v>
      </c>
      <c r="B601" s="6"/>
      <c r="C601" s="9" t="str">
        <f>IFERROR(VLOOKUP(VENTAS4[[#This Row],[Code]],STOCK[],5,FALSE),"-")</f>
        <v>Falda negra con flores y abertura</v>
      </c>
    </row>
    <row r="602" s="2" customFormat="1" ht="55" customHeight="1" spans="1:3">
      <c r="A602" s="5" t="s">
        <v>1212</v>
      </c>
      <c r="B602" s="6"/>
      <c r="C602" s="9" t="str">
        <f>IFERROR(VLOOKUP(VENTAS4[[#This Row],[Code]],STOCK[],5,FALSE),"-")</f>
        <v>Falda negra con flores y abertura</v>
      </c>
    </row>
    <row r="603" s="2" customFormat="1" ht="55" customHeight="1" spans="1:3">
      <c r="A603" s="5" t="s">
        <v>1213</v>
      </c>
      <c r="B603" s="6"/>
      <c r="C603" s="9" t="str">
        <f>IFERROR(VLOOKUP(VENTAS4[[#This Row],[Code]],STOCK[],5,FALSE),"-")</f>
        <v>Vestido niña encargo KarlaGarage</v>
      </c>
    </row>
    <row r="604" s="2" customFormat="1" ht="55" customHeight="1" spans="1:3">
      <c r="A604" s="5" t="s">
        <v>1215</v>
      </c>
      <c r="B604" s="6"/>
      <c r="C604" s="9" t="str">
        <f>IFERROR(VLOOKUP(VENTAS4[[#This Row],[Code]],STOCK[],5,FALSE),"-")</f>
        <v>Vestido niña encargo KarlaGarage</v>
      </c>
    </row>
    <row r="605" s="2" customFormat="1" ht="55" customHeight="1" spans="1:3">
      <c r="A605" s="5" t="s">
        <v>1216</v>
      </c>
      <c r="B605" s="6"/>
      <c r="C605" s="9" t="str">
        <f>IFERROR(VLOOKUP(VENTAS4[[#This Row],[Code]],STOCK[],5,FALSE),"-")</f>
        <v>Pullover negro cuello redondo</v>
      </c>
    </row>
    <row r="606" s="2" customFormat="1" ht="55" customHeight="1" spans="1:3">
      <c r="A606" s="5" t="s">
        <v>1217</v>
      </c>
      <c r="B606" s="6"/>
      <c r="C606" s="9" t="str">
        <f>IFERROR(VLOOKUP(VENTAS4[[#This Row],[Code]],STOCK[],5,FALSE),"-")</f>
        <v>Cortina plateada encargo Day</v>
      </c>
    </row>
    <row r="607" s="2" customFormat="1" ht="55" customHeight="1" spans="1:3">
      <c r="A607" s="5" t="s">
        <v>1219</v>
      </c>
      <c r="B607" s="6"/>
      <c r="C607" s="9" t="str">
        <f>IFERROR(VLOOKUP(VENTAS4[[#This Row],[Code]],STOCK[],5,FALSE),"-")</f>
        <v>Cartel para cake Day</v>
      </c>
    </row>
    <row r="608" s="2" customFormat="1" ht="55" customHeight="1" spans="1:3">
      <c r="A608" s="5" t="s">
        <v>1221</v>
      </c>
      <c r="B608" s="6"/>
      <c r="C608" s="9" t="str">
        <f>IFERROR(VLOOKUP(VENTAS4[[#This Row],[Code]],STOCK[],5,FALSE),"-")</f>
        <v>Letrero de cumpleaños Day</v>
      </c>
    </row>
    <row r="609" s="2" customFormat="1" ht="55" customHeight="1" spans="1:3">
      <c r="A609" s="5" t="s">
        <v>1223</v>
      </c>
      <c r="B609" s="6"/>
      <c r="C609" s="9" t="str">
        <f>IFERROR(VLOOKUP(VENTAS4[[#This Row],[Code]],STOCK[],5,FALSE),"-")</f>
        <v>Calzado tacón negro</v>
      </c>
    </row>
    <row r="610" s="2" customFormat="1" ht="55" customHeight="1" spans="1:3">
      <c r="A610" s="5" t="s">
        <v>1227</v>
      </c>
      <c r="B610" s="6"/>
      <c r="C610" s="9" t="str">
        <f>IFERROR(VLOOKUP(VENTAS4[[#This Row],[Code]],STOCK[],5,FALSE),"-")</f>
        <v>Diadema con tira decorativa Day</v>
      </c>
    </row>
    <row r="611" s="2" customFormat="1" ht="55" customHeight="1" spans="1:3">
      <c r="A611" s="5" t="s">
        <v>1229</v>
      </c>
      <c r="B611" s="6"/>
      <c r="C611" s="9" t="str">
        <f>IFERROR(VLOOKUP(VENTAS4[[#This Row],[Code]],STOCK[],5,FALSE),"-")</f>
        <v>Globo número Day</v>
      </c>
    </row>
    <row r="612" s="2" customFormat="1" ht="55" customHeight="1" spans="1:3">
      <c r="A612" s="5" t="s">
        <v>1231</v>
      </c>
      <c r="B612" s="6"/>
      <c r="C612" s="9" t="str">
        <f>IFERROR(VLOOKUP(VENTAS4[[#This Row],[Code]],STOCK[],5,FALSE),"-")</f>
        <v>Short elegante de pierna ancha con doblez </v>
      </c>
    </row>
    <row r="613" s="2" customFormat="1" ht="55" customHeight="1" spans="1:3">
      <c r="A613" s="5" t="s">
        <v>1233</v>
      </c>
      <c r="B613" s="6"/>
      <c r="C613" s="9" t="str">
        <f>IFERROR(VLOOKUP(VENTAS4[[#This Row],[Code]],STOCK[],5,FALSE),"-")</f>
        <v>Short beich de pierna ancha </v>
      </c>
    </row>
    <row r="614" s="2" customFormat="1" ht="55" customHeight="1" spans="1:3">
      <c r="A614" s="5" t="s">
        <v>1235</v>
      </c>
      <c r="B614" s="6"/>
      <c r="C614" s="9" t="str">
        <f>IFERROR(VLOOKUP(VENTAS4[[#This Row],[Code]],STOCK[],5,FALSE),"-")</f>
        <v>Cinturón de hebilla dorada</v>
      </c>
    </row>
    <row r="615" s="2" customFormat="1" ht="55" customHeight="1" spans="1:3">
      <c r="A615" s="5" t="s">
        <v>1239</v>
      </c>
      <c r="B615" s="6"/>
      <c r="C615" s="9" t="str">
        <f>IFERROR(VLOOKUP(VENTAS4[[#This Row],[Code]],STOCK[],5,FALSE),"-")</f>
        <v>Cinturón negro con hebilla dorada</v>
      </c>
    </row>
    <row r="616" s="2" customFormat="1" ht="55" customHeight="1" spans="1:3">
      <c r="A616" s="5" t="s">
        <v>1241</v>
      </c>
      <c r="B616" s="6"/>
      <c r="C616" s="9" t="str">
        <f>IFERROR(VLOOKUP(VENTAS4[[#This Row],[Code]],STOCK[],5,FALSE),"-")</f>
        <v>Cinturón de hebilla dorada</v>
      </c>
    </row>
    <row r="617" s="2" customFormat="1" ht="55" customHeight="1" spans="1:3">
      <c r="A617" s="5" t="s">
        <v>1242</v>
      </c>
      <c r="B617" s="6"/>
      <c r="C617" s="9" t="str">
        <f>IFERROR(VLOOKUP(VENTAS4[[#This Row],[Code]],STOCK[],5,FALSE),"-")</f>
        <v>Pantalón Corte Recto</v>
      </c>
    </row>
    <row r="618" s="2" customFormat="1" ht="55" customHeight="1" spans="1:3">
      <c r="A618" s="5" t="s">
        <v>1245</v>
      </c>
      <c r="B618" s="6"/>
      <c r="C618" s="9" t="str">
        <f>IFERROR(VLOOKUP(VENTAS4[[#This Row],[Code]],STOCK[],5,FALSE),"-")</f>
        <v>Blusa amarilla Greter encargo</v>
      </c>
    </row>
    <row r="619" s="2" customFormat="1" ht="55" customHeight="1" spans="1:3">
      <c r="A619" s="5" t="s">
        <v>1247</v>
      </c>
      <c r="B619" s="6"/>
      <c r="C619" s="9" t="str">
        <f>IFERROR(VLOOKUP(VENTAS4[[#This Row],[Code]],STOCK[],5,FALSE),"-")</f>
        <v>Blusa Verde Greter  encargo</v>
      </c>
    </row>
    <row r="620" s="2" customFormat="1" ht="55" customHeight="1" spans="1:3">
      <c r="A620" s="5" t="s">
        <v>1249</v>
      </c>
      <c r="B620" s="6"/>
      <c r="C620" s="9" t="str">
        <f>IFERROR(VLOOKUP(VENTAS4[[#This Row],[Code]],STOCK[],5,FALSE),"-")</f>
        <v>Blusa roja Greter encargo</v>
      </c>
    </row>
    <row r="621" s="2" customFormat="1" ht="55" customHeight="1" spans="1:3">
      <c r="A621" s="5" t="s">
        <v>1251</v>
      </c>
      <c r="B621" s="6"/>
      <c r="C621" s="9" t="str">
        <f>IFERROR(VLOOKUP(VENTAS4[[#This Row],[Code]],STOCK[],5,FALSE),"-")</f>
        <v>Pantaloneta verde</v>
      </c>
    </row>
    <row r="622" s="2" customFormat="1" ht="55" customHeight="1" spans="1:3">
      <c r="A622" s="5" t="s">
        <v>1253</v>
      </c>
      <c r="B622" s="6"/>
      <c r="C622" s="9" t="str">
        <f>IFERROR(VLOOKUP(VENTAS4[[#This Row],[Code]],STOCK[],5,FALSE),"-")</f>
        <v>Pantaloneta verde</v>
      </c>
    </row>
    <row r="623" s="2" customFormat="1" ht="55" customHeight="1" spans="1:3">
      <c r="A623" s="5" t="s">
        <v>1254</v>
      </c>
      <c r="B623" s="6"/>
      <c r="C623" s="9" t="str">
        <f>IFERROR(VLOOKUP(VENTAS4[[#This Row],[Code]],STOCK[],5,FALSE),"-")</f>
        <v>Pantaloneta verde</v>
      </c>
    </row>
    <row r="624" s="2" customFormat="1" ht="55" customHeight="1" spans="1:3">
      <c r="A624" s="5" t="s">
        <v>1255</v>
      </c>
      <c r="B624" s="6"/>
      <c r="C624" s="9" t="str">
        <f>IFERROR(VLOOKUP(VENTAS4[[#This Row],[Code]],STOCK[],5,FALSE),"-")</f>
        <v>Maxi vestido playero rojo</v>
      </c>
    </row>
    <row r="625" s="2" customFormat="1" ht="55" customHeight="1" spans="1:3">
      <c r="A625" s="5" t="s">
        <v>1257</v>
      </c>
      <c r="B625" s="6"/>
      <c r="C625" s="9" t="str">
        <f>IFERROR(VLOOKUP(VENTAS4[[#This Row],[Code]],STOCK[],5,FALSE),"-")</f>
        <v>Maxi vestido de espalda cruzada</v>
      </c>
    </row>
    <row r="626" s="2" customFormat="1" ht="55" customHeight="1" spans="1:3">
      <c r="A626" s="5" t="s">
        <v>1260</v>
      </c>
      <c r="B626" s="6"/>
      <c r="C626" s="9" t="str">
        <f>IFERROR(VLOOKUP(VENTAS4[[#This Row],[Code]],STOCK[],5,FALSE),"-")</f>
        <v>Maxi vestido playero naranja quemada</v>
      </c>
    </row>
    <row r="627" s="2" customFormat="1" ht="55" customHeight="1" spans="1:3">
      <c r="A627" s="5" t="s">
        <v>1262</v>
      </c>
      <c r="B627" s="6"/>
      <c r="C627" s="9" t="str">
        <f>IFERROR(VLOOKUP(VENTAS4[[#This Row],[Code]],STOCK[],5,FALSE),"-")</f>
        <v>Maxi vestido playero naranja quemada</v>
      </c>
    </row>
    <row r="628" s="2" customFormat="1" ht="55" customHeight="1" spans="1:3">
      <c r="A628" s="5" t="s">
        <v>1263</v>
      </c>
      <c r="B628" s="6"/>
      <c r="C628" s="9" t="str">
        <f>IFERROR(VLOOKUP(VENTAS4[[#This Row],[Code]],STOCK[],5,FALSE),"-")</f>
        <v>Pantaloneta negra con abertura</v>
      </c>
    </row>
    <row r="629" s="2" customFormat="1" ht="55" customHeight="1" spans="1:3">
      <c r="A629" s="5" t="s">
        <v>1265</v>
      </c>
      <c r="B629" s="6"/>
      <c r="C629" s="9" t="str">
        <f>IFERROR(VLOOKUP(VENTAS4[[#This Row],[Code]],STOCK[],5,FALSE),"-")</f>
        <v>Top asimétrico blanco</v>
      </c>
    </row>
    <row r="630" s="2" customFormat="1" ht="55" customHeight="1" spans="1:3">
      <c r="A630" s="5" t="s">
        <v>1267</v>
      </c>
      <c r="B630" s="6"/>
      <c r="C630" s="9" t="str">
        <f>IFERROR(VLOOKUP(VENTAS4[[#This Row],[Code]],STOCK[],5,FALSE),"-")</f>
        <v>Top corto asimétrico </v>
      </c>
    </row>
    <row r="631" s="2" customFormat="1" ht="55" customHeight="1" spans="1:3">
      <c r="A631" s="5" t="s">
        <v>1269</v>
      </c>
      <c r="B631" s="6"/>
      <c r="C631" s="9" t="str">
        <f>IFERROR(VLOOKUP(VENTAS4[[#This Row],[Code]],STOCK[],5,FALSE),"-")</f>
        <v>Top blanco cuello V con encaje</v>
      </c>
    </row>
    <row r="632" s="2" customFormat="1" ht="55" customHeight="1" spans="1:3">
      <c r="A632" s="5" t="s">
        <v>1271</v>
      </c>
      <c r="B632" s="6"/>
      <c r="C632" s="9" t="str">
        <f>IFERROR(VLOOKUP(VENTAS4[[#This Row],[Code]],STOCK[],5,FALSE),"-")</f>
        <v>Top blanco cuello V con encaje</v>
      </c>
    </row>
    <row r="633" s="2" customFormat="1" ht="55" customHeight="1" spans="1:3">
      <c r="A633" s="5" t="s">
        <v>1272</v>
      </c>
      <c r="B633" s="6"/>
      <c r="C633" s="9" t="str">
        <f>IFERROR(VLOOKUP(VENTAS4[[#This Row],[Code]],STOCK[],5,FALSE),"-")</f>
        <v>Top de cuello V con encaje</v>
      </c>
    </row>
    <row r="634" s="2" customFormat="1" ht="55" customHeight="1" spans="1:3">
      <c r="A634" s="5" t="s">
        <v>1275</v>
      </c>
      <c r="B634" s="6"/>
      <c r="C634" s="9" t="str">
        <f>IFERROR(VLOOKUP(VENTAS4[[#This Row],[Code]],STOCK[],5,FALSE),"-")</f>
        <v>Top negro de cuello V con encaje</v>
      </c>
    </row>
    <row r="635" s="2" customFormat="1" ht="55" customHeight="1" spans="1:3">
      <c r="A635" s="5" t="s">
        <v>1277</v>
      </c>
      <c r="B635" s="6"/>
      <c r="C635" s="9" t="str">
        <f>IFERROR(VLOOKUP(VENTAS4[[#This Row],[Code]],STOCK[],5,FALSE),"-")</f>
        <v>Top negro  cuello V con encaje</v>
      </c>
    </row>
    <row r="636" s="2" customFormat="1" ht="55" customHeight="1" spans="1:3">
      <c r="A636" s="5" t="s">
        <v>1279</v>
      </c>
      <c r="B636" s="6"/>
      <c r="C636" s="9" t="str">
        <f>IFERROR(VLOOKUP(VENTAS4[[#This Row],[Code]],STOCK[],5,FALSE),"-")</f>
        <v>Short beiche de pierna ancha </v>
      </c>
    </row>
    <row r="637" s="2" customFormat="1" ht="55" customHeight="1" spans="1:3">
      <c r="A637" s="5" t="s">
        <v>1281</v>
      </c>
      <c r="B637" s="6"/>
      <c r="C637" s="9" t="str">
        <f>IFERROR(VLOOKUP(VENTAS4[[#This Row],[Code]],STOCK[],5,FALSE),"-")</f>
        <v>Pantalón beige de pierna ancha</v>
      </c>
    </row>
    <row r="638" s="2" customFormat="1" ht="55" customHeight="1" spans="1:3">
      <c r="A638" s="5" t="s">
        <v>1283</v>
      </c>
      <c r="B638" s="6"/>
      <c r="C638" s="9" t="str">
        <f>IFERROR(VLOOKUP(VENTAS4[[#This Row],[Code]],STOCK[],5,FALSE),"-")</f>
        <v>Pantalón de corte recto</v>
      </c>
    </row>
    <row r="639" s="2" customFormat="1" ht="55" customHeight="1" spans="1:3">
      <c r="A639" s="5" t="s">
        <v>1285</v>
      </c>
      <c r="B639" s="6"/>
      <c r="C639" s="9" t="str">
        <f>IFERROR(VLOOKUP(VENTAS4[[#This Row],[Code]],STOCK[],5,FALSE),"-")</f>
        <v>Pantalón de corte recto</v>
      </c>
    </row>
    <row r="640" s="2" customFormat="1" ht="55" customHeight="1" spans="1:3">
      <c r="A640" s="5" t="s">
        <v>1286</v>
      </c>
      <c r="B640" s="6"/>
      <c r="C640" s="9" t="str">
        <f>IFERROR(VLOOKUP(VENTAS4[[#This Row],[Code]],STOCK[],5,FALSE),"-")</f>
        <v>Pantalón rosado fuccia</v>
      </c>
    </row>
    <row r="641" s="2" customFormat="1" ht="55" customHeight="1" spans="1:3">
      <c r="A641" s="5" t="s">
        <v>1288</v>
      </c>
      <c r="B641" s="6"/>
      <c r="C641" s="9" t="str">
        <f>IFERROR(VLOOKUP(VENTAS4[[#This Row],[Code]],STOCK[],5,FALSE),"-")</f>
        <v>Top corto asimétrico </v>
      </c>
    </row>
    <row r="642" s="2" customFormat="1" ht="55" customHeight="1" spans="1:3">
      <c r="A642" s="5" t="s">
        <v>1289</v>
      </c>
      <c r="B642" s="6"/>
      <c r="C642" s="9" t="str">
        <f>IFERROR(VLOOKUP(VENTAS4[[#This Row],[Code]],STOCK[],5,FALSE),"-")</f>
        <v>Top negro corto asimétrico</v>
      </c>
    </row>
    <row r="643" s="2" customFormat="1" ht="55" customHeight="1" spans="1:3">
      <c r="A643" s="5" t="s">
        <v>1291</v>
      </c>
      <c r="B643" s="6"/>
      <c r="C643" s="9" t="str">
        <f>IFERROR(VLOOKUP(VENTAS4[[#This Row],[Code]],STOCK[],5,FALSE),"-")</f>
        <v>Jean skinny oscuro </v>
      </c>
    </row>
    <row r="644" s="2" customFormat="1" ht="55" customHeight="1" spans="1:3">
      <c r="A644" s="5"/>
      <c r="B644" s="6"/>
      <c r="C644" s="9" t="str">
        <f>IFERROR(VLOOKUP(VENTAS4[[#This Row],[Code]],STOCK[],5,FALSE),"-")</f>
        <v>-</v>
      </c>
    </row>
    <row r="645" s="2" customFormat="1" ht="55" customHeight="1" spans="1:3">
      <c r="A645" s="5" t="s">
        <v>1295</v>
      </c>
      <c r="B645" s="6"/>
      <c r="C645" s="9" t="str">
        <f>IFERROR(VLOOKUP(VENTAS4[[#This Row],[Code]],STOCK[],5,FALSE),"-")</f>
        <v>Pantaloneta con cinturón</v>
      </c>
    </row>
    <row r="646" s="2" customFormat="1" ht="55" customHeight="1" spans="1:3">
      <c r="A646" s="5" t="s">
        <v>1297</v>
      </c>
      <c r="B646" s="6"/>
      <c r="C646" s="9" t="str">
        <f>IFERROR(VLOOKUP(VENTAS4[[#This Row],[Code]],STOCK[],5,FALSE),"-")</f>
        <v>Sandalias rosadas Forever21</v>
      </c>
    </row>
    <row r="647" s="2" customFormat="1" ht="55" customHeight="1" spans="1:3">
      <c r="A647" s="5" t="s">
        <v>1299</v>
      </c>
      <c r="B647" s="6"/>
      <c r="C647" s="9" t="str">
        <f>IFERROR(VLOOKUP(VENTAS4[[#This Row],[Code]],STOCK[],5,FALSE),"-")</f>
        <v>Sandalias negras de hebilla </v>
      </c>
    </row>
    <row r="648" s="2" customFormat="1" ht="55" customHeight="1" spans="1:3">
      <c r="A648" s="5" t="s">
        <v>1301</v>
      </c>
      <c r="B648" s="6"/>
      <c r="C648" s="9" t="str">
        <f>IFERROR(VLOOKUP(VENTAS4[[#This Row],[Code]],STOCK[],5,FALSE),"-")</f>
        <v>Jean ajustado Claro</v>
      </c>
    </row>
    <row r="649" s="2" customFormat="1" ht="55" customHeight="1" spans="1:3">
      <c r="A649" s="5" t="s">
        <v>1304</v>
      </c>
      <c r="B649" s="6"/>
      <c r="C649" s="9" t="str">
        <f>IFERROR(VLOOKUP(VENTAS4[[#This Row],[Code]],STOCK[],5,FALSE),"-")</f>
        <v>Jean ajustado claro</v>
      </c>
    </row>
    <row r="650" s="2" customFormat="1" ht="55" customHeight="1" spans="1:3">
      <c r="A650" s="5" t="s">
        <v>1306</v>
      </c>
      <c r="B650" s="6"/>
      <c r="C650" s="9" t="str">
        <f>IFERROR(VLOOKUP(VENTAS4[[#This Row],[Code]],STOCK[],5,FALSE),"-")</f>
        <v>Sandalias rosadas Forever21</v>
      </c>
    </row>
    <row r="651" s="2" customFormat="1" ht="55" customHeight="1" spans="1:3">
      <c r="A651" s="5" t="s">
        <v>1307</v>
      </c>
      <c r="B651" s="6"/>
      <c r="C651" s="9" t="str">
        <f>IFERROR(VLOOKUP(VENTAS4[[#This Row],[Code]],STOCK[],5,FALSE),"-")</f>
        <v>Sandalias blancas</v>
      </c>
    </row>
    <row r="652" s="2" customFormat="1" ht="55" customHeight="1" spans="1:3">
      <c r="A652" s="5" t="s">
        <v>1309</v>
      </c>
      <c r="B652" s="6"/>
      <c r="C652" s="9" t="str">
        <f>IFERROR(VLOOKUP(VENTAS4[[#This Row],[Code]],STOCK[],5,FALSE),"-")</f>
        <v>Short de mezclilla suave con cinturón</v>
      </c>
    </row>
    <row r="653" s="2" customFormat="1" ht="55" customHeight="1" spans="1:3">
      <c r="A653" s="5"/>
      <c r="B653" s="6"/>
      <c r="C653" s="9" t="str">
        <f>IFERROR(VLOOKUP(VENTAS4[[#This Row],[Code]],STOCK[],5,FALSE),"-")</f>
        <v>-</v>
      </c>
    </row>
    <row r="654" s="2" customFormat="1" ht="55" customHeight="1" spans="1:3">
      <c r="A654" s="5" t="s">
        <v>1311</v>
      </c>
      <c r="B654" s="6"/>
      <c r="C654" s="9" t="str">
        <f>IFERROR(VLOOKUP(VENTAS4[[#This Row],[Code]],STOCK[],5,FALSE),"-")</f>
        <v>Blusa de manga larga cruzada</v>
      </c>
    </row>
    <row r="655" s="2" customFormat="1" ht="55" customHeight="1" spans="1:3">
      <c r="A655" s="5" t="s">
        <v>1313</v>
      </c>
      <c r="B655" s="6"/>
      <c r="C655" s="9" t="str">
        <f>IFERROR(VLOOKUP(VENTAS4[[#This Row],[Code]],STOCK[],5,FALSE),"-")</f>
        <v>Blazer Crema</v>
      </c>
    </row>
    <row r="656" s="2" customFormat="1" ht="55" customHeight="1" spans="1:3">
      <c r="A656" s="5" t="s">
        <v>1315</v>
      </c>
      <c r="B656" s="6"/>
      <c r="C656" s="9" t="str">
        <f>IFERROR(VLOOKUP(VENTAS4[[#This Row],[Code]],STOCK[],5,FALSE),"-")</f>
        <v>Blazer con textura (hacer foto)</v>
      </c>
    </row>
    <row r="657" s="2" customFormat="1" ht="55" customHeight="1" spans="1:3">
      <c r="A657" s="5" t="s">
        <v>1318</v>
      </c>
      <c r="B657" s="6"/>
      <c r="C657" s="9" t="str">
        <f>IFERROR(VLOOKUP(VENTAS4[[#This Row],[Code]],STOCK[],5,FALSE),"-")</f>
        <v>Blazer Carmelita oscuro (hacer foto)</v>
      </c>
    </row>
    <row r="658" s="2" customFormat="1" ht="55" customHeight="1" spans="1:3">
      <c r="A658" s="5" t="s">
        <v>1320</v>
      </c>
      <c r="B658" s="6"/>
      <c r="C658" s="9" t="str">
        <f>IFERROR(VLOOKUP(VENTAS4[[#This Row],[Code]],STOCK[],5,FALSE),"-")</f>
        <v>Camisa rayas verde Extra Grande</v>
      </c>
    </row>
    <row r="659" s="2" customFormat="1" ht="55" customHeight="1" spans="1:3">
      <c r="A659" s="5" t="s">
        <v>1322</v>
      </c>
      <c r="B659" s="6"/>
      <c r="C659" s="9" t="str">
        <f>IFERROR(VLOOKUP(VENTAS4[[#This Row],[Code]],STOCK[],5,FALSE),"-")</f>
        <v>Camisa Azul Extra Grande</v>
      </c>
    </row>
    <row r="660" s="2" customFormat="1" ht="55" customHeight="1" spans="1:3">
      <c r="A660" s="5" t="s">
        <v>1324</v>
      </c>
      <c r="B660" s="6"/>
      <c r="C660" s="9" t="str">
        <f>IFERROR(VLOOKUP(VENTAS4[[#This Row],[Code]],STOCK[],5,FALSE),"-")</f>
        <v>Camisa Blanca </v>
      </c>
    </row>
    <row r="661" s="2" customFormat="1" ht="55" customHeight="1" spans="1:3">
      <c r="A661" s="5" t="s">
        <v>1326</v>
      </c>
      <c r="B661" s="6"/>
      <c r="C661" s="9" t="str">
        <f>IFERROR(VLOOKUP(VENTAS4[[#This Row],[Code]],STOCK[],5,FALSE),"-")</f>
        <v>Blusa de manga acampanada </v>
      </c>
    </row>
    <row r="662" s="2" customFormat="1" ht="55" customHeight="1" spans="1:3">
      <c r="A662" s="5" t="s">
        <v>1329</v>
      </c>
      <c r="B662" s="6"/>
      <c r="C662" s="9" t="str">
        <f>IFERROR(VLOOKUP(VENTAS4[[#This Row],[Code]],STOCK[],5,FALSE),"-")</f>
        <v>Blusa de manga acampanada blanca</v>
      </c>
    </row>
    <row r="663" s="2" customFormat="1" ht="55" customHeight="1" spans="1:3">
      <c r="A663" s="5" t="s">
        <v>1331</v>
      </c>
      <c r="B663" s="6"/>
      <c r="C663" s="9" t="str">
        <f>IFERROR(VLOOKUP(VENTAS4[[#This Row],[Code]],STOCK[],5,FALSE),"-")</f>
        <v>Blusa de manga acampanada negra</v>
      </c>
    </row>
    <row r="664" s="2" customFormat="1" ht="55" customHeight="1" spans="1:3">
      <c r="A664" s="5" t="s">
        <v>1333</v>
      </c>
      <c r="B664" s="6"/>
      <c r="C664" s="9" t="str">
        <f>IFERROR(VLOOKUP(VENTAS4[[#This Row],[Code]],STOCK[],5,FALSE),"-")</f>
        <v>Blusa de manga acampanada</v>
      </c>
    </row>
    <row r="665" s="2" customFormat="1" ht="55" customHeight="1" spans="1:3">
      <c r="A665" s="5" t="s">
        <v>1335</v>
      </c>
      <c r="B665" s="6"/>
      <c r="C665" s="9" t="str">
        <f>IFERROR(VLOOKUP(VENTAS4[[#This Row],[Code]],STOCK[],5,FALSE),"-")</f>
        <v>Blusa Camisa de puño largo</v>
      </c>
    </row>
    <row r="666" s="2" customFormat="1" ht="55" customHeight="1" spans="1:3">
      <c r="A666" s="5" t="s">
        <v>1337</v>
      </c>
      <c r="B666" s="6"/>
      <c r="C666" s="9" t="str">
        <f>IFERROR(VLOOKUP(VENTAS4[[#This Row],[Code]],STOCK[],5,FALSE),"-")</f>
        <v>Blusa camisa de puño largo</v>
      </c>
    </row>
    <row r="667" s="2" customFormat="1" ht="55" customHeight="1" spans="1:3">
      <c r="A667" s="5" t="s">
        <v>1339</v>
      </c>
      <c r="B667" s="6"/>
      <c r="C667" s="9" t="str">
        <f>IFERROR(VLOOKUP(VENTAS4[[#This Row],[Code]],STOCK[],5,FALSE),"-")</f>
        <v>Camisa entallada dazy</v>
      </c>
    </row>
    <row r="668" s="2" customFormat="1" ht="55" customHeight="1" spans="1:3">
      <c r="A668" s="5" t="s">
        <v>1341</v>
      </c>
      <c r="B668" s="6"/>
      <c r="C668" s="9" t="str">
        <f>IFERROR(VLOOKUP(VENTAS4[[#This Row],[Code]],STOCK[],5,FALSE),"-")</f>
        <v>Camisa entallada dazy</v>
      </c>
    </row>
    <row r="669" s="2" customFormat="1" ht="55" customHeight="1" spans="1:3">
      <c r="A669" s="5" t="s">
        <v>1342</v>
      </c>
      <c r="B669" s="6" t="s">
        <v>1343</v>
      </c>
      <c r="C669" s="9" t="str">
        <f>IFERROR(VLOOKUP(VENTAS4[[#This Row],[Code]],STOCK[],5,FALSE),"-")</f>
        <v>Body traslúcido floreado (hacer foto)</v>
      </c>
    </row>
    <row r="670" s="2" customFormat="1" ht="55" customHeight="1" spans="1:3">
      <c r="A670" s="5" t="s">
        <v>1346</v>
      </c>
      <c r="B670" s="6"/>
      <c r="C670" s="9" t="str">
        <f>IFERROR(VLOOKUP(VENTAS4[[#This Row],[Code]],STOCK[],5,FALSE),"-")</f>
        <v>Cardigan Amarillo</v>
      </c>
    </row>
    <row r="671" s="2" customFormat="1" ht="55" customHeight="1" spans="1:3">
      <c r="A671" s="5" t="s">
        <v>1348</v>
      </c>
      <c r="B671" s="6"/>
      <c r="C671" s="9" t="str">
        <f>IFERROR(VLOOKUP(VENTAS4[[#This Row],[Code]],STOCK[],5,FALSE),"-")</f>
        <v>Cardigan Amarillo</v>
      </c>
    </row>
    <row r="672" s="2" customFormat="1" ht="55" customHeight="1" spans="1:3">
      <c r="A672" s="5" t="s">
        <v>1349</v>
      </c>
      <c r="B672" s="6"/>
      <c r="C672" s="9" t="str">
        <f>IFERROR(VLOOKUP(VENTAS4[[#This Row],[Code]],STOCK[],5,FALSE),"-")</f>
        <v>Pullover oversize estampado </v>
      </c>
    </row>
    <row r="673" s="2" customFormat="1" ht="55" customHeight="1" spans="1:3">
      <c r="A673" s="5" t="s">
        <v>1351</v>
      </c>
      <c r="B673" s="6"/>
      <c r="C673" s="9" t="str">
        <f>IFERROR(VLOOKUP(VENTAS4[[#This Row],[Code]],STOCK[],5,FALSE),"-")</f>
        <v>Sweater rosa con mangas abiertas</v>
      </c>
    </row>
    <row r="674" s="2" customFormat="1" ht="55" customHeight="1" spans="1:3">
      <c r="A674" s="5" t="s">
        <v>1353</v>
      </c>
      <c r="B674" s="6"/>
      <c r="C674" s="9" t="str">
        <f>IFERROR(VLOOKUP(VENTAS4[[#This Row],[Code]],STOCK[],5,FALSE),"-")</f>
        <v>Chaleco Tejido</v>
      </c>
    </row>
    <row r="675" s="2" customFormat="1" ht="55" customHeight="1" spans="1:3">
      <c r="A675" s="5" t="s">
        <v>1355</v>
      </c>
      <c r="B675" s="6"/>
      <c r="C675" s="9" t="str">
        <f>IFERROR(VLOOKUP(VENTAS4[[#This Row],[Code]],STOCK[],5,FALSE),"-")</f>
        <v>Chaleco de traje gris talla pequeña H&amp;M</v>
      </c>
    </row>
    <row r="676" s="2" customFormat="1" ht="55" customHeight="1" spans="1:3">
      <c r="A676" s="5" t="s">
        <v>1357</v>
      </c>
      <c r="B676" s="6"/>
      <c r="C676" s="9" t="str">
        <f>IFERROR(VLOOKUP(VENTAS4[[#This Row],[Code]],STOCK[],5,FALSE),"-")</f>
        <v>Sweater de Lana naranja quemada</v>
      </c>
    </row>
    <row r="677" s="2" customFormat="1" ht="55" customHeight="1" spans="1:3">
      <c r="A677" s="5" t="s">
        <v>1359</v>
      </c>
      <c r="B677" s="6"/>
      <c r="C677" s="9" t="str">
        <f>IFERROR(VLOOKUP(VENTAS4[[#This Row],[Code]],STOCK[],5,FALSE),"-")</f>
        <v>Sweater de lana H&amp;M</v>
      </c>
    </row>
    <row r="678" s="2" customFormat="1" ht="55" customHeight="1" spans="1:3">
      <c r="A678" s="5" t="s">
        <v>1362</v>
      </c>
      <c r="B678" s="6"/>
      <c r="C678" s="9" t="str">
        <f>IFERROR(VLOOKUP(VENTAS4[[#This Row],[Code]],STOCK[],5,FALSE),"-")</f>
        <v>Sweater de lana H&amp;M</v>
      </c>
    </row>
    <row r="679" s="2" customFormat="1" ht="55" customHeight="1" spans="1:3">
      <c r="A679" s="5" t="s">
        <v>1363</v>
      </c>
      <c r="B679" s="6"/>
      <c r="C679" s="9" t="str">
        <f>IFERROR(VLOOKUP(VENTAS4[[#This Row],[Code]],STOCK[],5,FALSE),"-")</f>
        <v>Vestido de flecos</v>
      </c>
    </row>
    <row r="680" s="2" customFormat="1" ht="55" customHeight="1" spans="1:3">
      <c r="A680" s="5" t="s">
        <v>1365</v>
      </c>
      <c r="B680" s="6"/>
      <c r="C680" s="9" t="str">
        <f>IFERROR(VLOOKUP(VENTAS4[[#This Row],[Code]],STOCK[],5,FALSE),"-")</f>
        <v>Vestido de flecos</v>
      </c>
    </row>
    <row r="681" s="2" customFormat="1" ht="55" customHeight="1" spans="1:3">
      <c r="A681" s="5" t="s">
        <v>1366</v>
      </c>
      <c r="B681" s="6"/>
      <c r="C681" s="9" t="str">
        <f>IFERROR(VLOOKUP(VENTAS4[[#This Row],[Code]],STOCK[],5,FALSE),"-")</f>
        <v>Falda plisada de cuadros</v>
      </c>
    </row>
    <row r="682" s="2" customFormat="1" ht="55" customHeight="1" spans="1:3">
      <c r="A682" s="5" t="s">
        <v>1368</v>
      </c>
      <c r="B682" s="6"/>
      <c r="C682" s="9" t="str">
        <f>IFERROR(VLOOKUP(VENTAS4[[#This Row],[Code]],STOCK[],5,FALSE),"-")</f>
        <v>Falda plisada de cuadros</v>
      </c>
    </row>
    <row r="683" s="2" customFormat="1" ht="55" customHeight="1" spans="1:3">
      <c r="A683" s="5" t="s">
        <v>1369</v>
      </c>
      <c r="B683" s="6"/>
      <c r="C683" s="9" t="str">
        <f>IFERROR(VLOOKUP(VENTAS4[[#This Row],[Code]],STOCK[],5,FALSE),"-")</f>
        <v>Pajarita en forma de flor</v>
      </c>
    </row>
    <row r="684" s="2" customFormat="1" ht="55" customHeight="1" spans="1:3">
      <c r="A684" s="5" t="s">
        <v>1371</v>
      </c>
      <c r="B684" s="6"/>
      <c r="C684" s="9" t="str">
        <f>IFERROR(VLOOKUP(VENTAS4[[#This Row],[Code]],STOCK[],5,FALSE),"-")</f>
        <v>Corbatín de mujer</v>
      </c>
    </row>
    <row r="685" s="2" customFormat="1" ht="55" customHeight="1" spans="1:3">
      <c r="A685" s="5" t="s">
        <v>1373</v>
      </c>
      <c r="B685" s="6"/>
      <c r="C685" s="9" t="str">
        <f>IFERROR(VLOOKUP(VENTAS4[[#This Row],[Code]],STOCK[],5,FALSE),"-")</f>
        <v>Camisa blanca entallada H&amp;M</v>
      </c>
    </row>
    <row r="686" s="2" customFormat="1" ht="55" customHeight="1" spans="1:3">
      <c r="A686" s="5" t="s">
        <v>1375</v>
      </c>
      <c r="B686" s="6"/>
      <c r="C686" s="9" t="str">
        <f>IFERROR(VLOOKUP(VENTAS4[[#This Row],[Code]],STOCK[],5,FALSE),"-")</f>
        <v>Ajustador beige </v>
      </c>
    </row>
    <row r="687" s="2" customFormat="1" ht="55" customHeight="1" spans="1:3">
      <c r="A687" s="5" t="s">
        <v>1378</v>
      </c>
      <c r="B687" s="6"/>
      <c r="C687" s="9" t="str">
        <f>IFERROR(VLOOKUP(VENTAS4[[#This Row],[Code]],STOCK[],5,FALSE),"-")</f>
        <v>Conjunto Skort &amp; top Floreado</v>
      </c>
    </row>
    <row r="688" s="2" customFormat="1" ht="55" customHeight="1" spans="1:3">
      <c r="A688" s="5" t="s">
        <v>1380</v>
      </c>
      <c r="B688" s="6"/>
      <c r="C688" s="9" t="str">
        <f>IFERROR(VLOOKUP(VENTAS4[[#This Row],[Code]],STOCK[],5,FALSE),"-")</f>
        <v>Medias pantys</v>
      </c>
    </row>
    <row r="689" s="2" customFormat="1" ht="55" customHeight="1" spans="1:3">
      <c r="A689" s="5" t="s">
        <v>1383</v>
      </c>
      <c r="B689" s="6"/>
      <c r="C689" s="9" t="str">
        <f>IFERROR(VLOOKUP(VENTAS4[[#This Row],[Code]],STOCK[],5,FALSE),"-")</f>
        <v>Medias de mallas</v>
      </c>
    </row>
    <row r="690" s="2" customFormat="1" ht="55" customHeight="1" spans="1:3">
      <c r="A690" s="5" t="s">
        <v>1385</v>
      </c>
      <c r="B690" s="6"/>
      <c r="C690" s="9" t="str">
        <f>IFERROR(VLOOKUP(VENTAS4[[#This Row],[Code]],STOCK[],5,FALSE),"-")</f>
        <v>Leggings negros acanalados</v>
      </c>
    </row>
    <row r="691" s="2" customFormat="1" ht="55" customHeight="1" spans="1:3">
      <c r="A691" s="5" t="s">
        <v>1388</v>
      </c>
      <c r="B691" s="6"/>
      <c r="C691" s="9" t="str">
        <f>IFERROR(VLOOKUP(VENTAS4[[#This Row],[Code]],STOCK[],5,FALSE),"-")</f>
        <v>Playera negra de cuello cisne</v>
      </c>
    </row>
    <row r="692" s="2" customFormat="1" ht="55" customHeight="1" spans="1:3">
      <c r="A692" s="5" t="s">
        <v>1390</v>
      </c>
      <c r="B692" s="6"/>
      <c r="C692" s="9" t="str">
        <f>IFERROR(VLOOKUP(VENTAS4[[#This Row],[Code]],STOCK[],5,FALSE),"-")</f>
        <v> Vestido Rojo con eberturas</v>
      </c>
    </row>
    <row r="693" s="2" customFormat="1" ht="55" customHeight="1" spans="1:3">
      <c r="A693" s="5" t="s">
        <v>1392</v>
      </c>
      <c r="B693" s="6"/>
      <c r="C693" s="9" t="str">
        <f>IFERROR(VLOOKUP(VENTAS4[[#This Row],[Code]],STOCK[],5,FALSE),"-")</f>
        <v>Playera negra de cuello cisne</v>
      </c>
    </row>
    <row r="694" s="2" customFormat="1" ht="55" customHeight="1" spans="1:3">
      <c r="A694" s="5" t="s">
        <v>1393</v>
      </c>
      <c r="B694" s="6"/>
      <c r="C694" s="9" t="str">
        <f>IFERROR(VLOOKUP(VENTAS4[[#This Row],[Code]],STOCK[],5,FALSE),"-")</f>
        <v>Playera de cuello cisne</v>
      </c>
    </row>
    <row r="695" s="2" customFormat="1" ht="55" customHeight="1" spans="1:3">
      <c r="A695" s="5" t="s">
        <v>1395</v>
      </c>
      <c r="B695" s="6"/>
      <c r="C695" s="9" t="str">
        <f>IFERROR(VLOOKUP(VENTAS4[[#This Row],[Code]],STOCK[],5,FALSE),"-")</f>
        <v>Camiseta acanalada de bajo asimétrico blanco</v>
      </c>
    </row>
    <row r="696" s="2" customFormat="1" ht="55" customHeight="1" spans="1:3">
      <c r="A696" s="5" t="s">
        <v>1397</v>
      </c>
      <c r="B696" s="6"/>
      <c r="C696" s="9" t="str">
        <f>IFERROR(VLOOKUP(VENTAS4[[#This Row],[Code]],STOCK[],5,FALSE),"-")</f>
        <v>Camiseta acanalada de bajo asimétrico blanco</v>
      </c>
    </row>
    <row r="697" s="2" customFormat="1" ht="55" customHeight="1" spans="1:3">
      <c r="A697" s="5" t="s">
        <v>1398</v>
      </c>
      <c r="B697" s="6"/>
      <c r="C697" s="9" t="str">
        <f>IFERROR(VLOOKUP(VENTAS4[[#This Row],[Code]],STOCK[],5,FALSE),"-")</f>
        <v>Camiseta acanalada de bajo asimétrico naranja</v>
      </c>
    </row>
    <row r="698" s="2" customFormat="1" ht="55" customHeight="1" spans="1:3">
      <c r="A698" s="5" t="s">
        <v>1400</v>
      </c>
      <c r="B698" s="6"/>
      <c r="C698" s="9" t="str">
        <f>IFERROR(VLOOKUP(VENTAS4[[#This Row],[Code]],STOCK[],5,FALSE),"-")</f>
        <v>Camiseta acanalada oblicua naranja</v>
      </c>
    </row>
    <row r="699" s="2" customFormat="1" ht="55" customHeight="1" spans="1:3">
      <c r="A699" s="5" t="s">
        <v>1402</v>
      </c>
      <c r="B699" s="6"/>
      <c r="C699" s="9" t="str">
        <f>IFERROR(VLOOKUP(VENTAS4[[#This Row],[Code]],STOCK[],5,FALSE),"-")</f>
        <v>Top bustier corsetero</v>
      </c>
    </row>
    <row r="700" s="2" customFormat="1" ht="55" customHeight="1" spans="1:3">
      <c r="A700" s="5" t="s">
        <v>1405</v>
      </c>
      <c r="B700" s="6"/>
      <c r="C700" s="9" t="str">
        <f>IFERROR(VLOOKUP(VENTAS4[[#This Row],[Code]],STOCK[],5,FALSE),"-")</f>
        <v>Top bustier corsetero</v>
      </c>
    </row>
    <row r="701" s="2" customFormat="1" ht="55" customHeight="1" spans="1:3">
      <c r="A701" s="5" t="s">
        <v>1407</v>
      </c>
      <c r="B701" s="6"/>
      <c r="C701" s="9" t="str">
        <f>IFERROR(VLOOKUP(VENTAS4[[#This Row],[Code]],STOCK[],5,FALSE),"-")</f>
        <v>Pantaloneta con abertura y bolsillos</v>
      </c>
    </row>
    <row r="702" s="2" customFormat="1" ht="55" customHeight="1" spans="1:3">
      <c r="A702" s="5" t="s">
        <v>1409</v>
      </c>
      <c r="B702" s="6"/>
      <c r="C702" s="9" t="str">
        <f>IFERROR(VLOOKUP(VENTAS4[[#This Row],[Code]],STOCK[],5,FALSE),"-")</f>
        <v>Pantaloneta con abertura</v>
      </c>
    </row>
    <row r="703" s="2" customFormat="1" ht="55" customHeight="1" spans="1:3">
      <c r="A703" s="5" t="s">
        <v>1411</v>
      </c>
      <c r="B703" s="6"/>
      <c r="C703" s="9" t="str">
        <f>IFERROR(VLOOKUP(VENTAS4[[#This Row],[Code]],STOCK[],5,FALSE),"-")</f>
        <v>Jean MOM con rotos</v>
      </c>
    </row>
    <row r="704" s="2" customFormat="1" ht="55" customHeight="1" spans="1:3">
      <c r="A704" s="5" t="s">
        <v>1414</v>
      </c>
      <c r="B704" s="6"/>
      <c r="C704" s="9" t="str">
        <f>IFERROR(VLOOKUP(VENTAS4[[#This Row],[Code]],STOCK[],5,FALSE),"-")</f>
        <v>Jean MOM con rotos</v>
      </c>
    </row>
    <row r="705" s="2" customFormat="1" ht="55" customHeight="1" spans="1:3">
      <c r="A705" s="5" t="s">
        <v>1416</v>
      </c>
      <c r="B705" s="6"/>
      <c r="C705" s="9" t="str">
        <f>IFERROR(VLOOKUP(VENTAS4[[#This Row],[Code]],STOCK[],5,FALSE),"-")</f>
        <v>Vestido acanalado cruzado color crema</v>
      </c>
    </row>
    <row r="706" s="2" customFormat="1" ht="55" customHeight="1" spans="1:3">
      <c r="A706" s="5" t="s">
        <v>1418</v>
      </c>
      <c r="B706" s="6"/>
      <c r="C706" s="9" t="str">
        <f>IFERROR(VLOOKUP(VENTAS4[[#This Row],[Code]],STOCK[],5,FALSE),"-")</f>
        <v>Vestido acanalado cruzado color crema</v>
      </c>
    </row>
    <row r="707" s="2" customFormat="1" ht="55" customHeight="1" spans="1:3">
      <c r="A707" s="5" t="s">
        <v>1419</v>
      </c>
      <c r="B707" s="6"/>
      <c r="C707" s="9" t="str">
        <f>IFERROR(VLOOKUP(VENTAS4[[#This Row],[Code]],STOCK[],5,FALSE),"-")</f>
        <v>Short de tela suave con cinturón</v>
      </c>
    </row>
    <row r="708" s="2" customFormat="1" ht="55" customHeight="1" spans="1:3">
      <c r="A708" s="5" t="s">
        <v>1421</v>
      </c>
      <c r="B708" s="6"/>
      <c r="C708" s="9" t="str">
        <f>IFERROR(VLOOKUP(VENTAS4[[#This Row],[Code]],STOCK[],5,FALSE),"-")</f>
        <v>Pantalón de traje</v>
      </c>
    </row>
    <row r="709" s="2" customFormat="1" ht="55" customHeight="1" spans="1:3">
      <c r="A709" s="5" t="s">
        <v>1424</v>
      </c>
      <c r="B709" s="6"/>
      <c r="C709" s="9" t="str">
        <f>IFERROR(VLOOKUP(VENTAS4[[#This Row],[Code]],STOCK[],5,FALSE),"-")</f>
        <v>Vestido espalda escotada</v>
      </c>
    </row>
    <row r="710" s="2" customFormat="1" ht="55" customHeight="1" spans="1:3">
      <c r="A710" s="5" t="s">
        <v>1426</v>
      </c>
      <c r="B710" s="6"/>
      <c r="C710" s="9" t="str">
        <f>IFERROR(VLOOKUP(VENTAS4[[#This Row],[Code]],STOCK[],5,FALSE),"-")</f>
        <v>Vestido espalda escotada</v>
      </c>
    </row>
    <row r="711" s="2" customFormat="1" ht="55" customHeight="1" spans="1:3">
      <c r="A711" s="5" t="s">
        <v>1427</v>
      </c>
      <c r="B711" s="6"/>
      <c r="C711" s="9" t="str">
        <f>IFERROR(VLOOKUP(VENTAS4[[#This Row],[Code]],STOCK[],5,FALSE),"-")</f>
        <v>Sandalias blancas cruzadas</v>
      </c>
    </row>
    <row r="712" s="2" customFormat="1" ht="55" customHeight="1" spans="1:3">
      <c r="A712" s="5" t="s">
        <v>1430</v>
      </c>
      <c r="B712" s="6"/>
      <c r="C712" s="9" t="str">
        <f>IFERROR(VLOOKUP(VENTAS4[[#This Row],[Code]],STOCK[],5,FALSE),"-")</f>
        <v>Sandalias blancas cruzadas</v>
      </c>
    </row>
    <row r="713" s="2" customFormat="1" ht="55" customHeight="1" spans="1:3">
      <c r="A713" s="5" t="s">
        <v>1431</v>
      </c>
      <c r="B713" s="6"/>
      <c r="C713" s="9" t="str">
        <f>IFERROR(VLOOKUP(VENTAS4[[#This Row],[Code]],STOCK[],5,FALSE),"-")</f>
        <v>Sandalias blancas cruzadas</v>
      </c>
    </row>
    <row r="714" s="2" customFormat="1" ht="55" customHeight="1" spans="1:3">
      <c r="A714" s="5" t="s">
        <v>1432</v>
      </c>
      <c r="B714" s="6"/>
      <c r="C714" s="9" t="str">
        <f>IFERROR(VLOOKUP(VENTAS4[[#This Row],[Code]],STOCK[],5,FALSE),"-")</f>
        <v>Pantalón de viscosa y zíper</v>
      </c>
    </row>
    <row r="715" s="2" customFormat="1" ht="55" customHeight="1" spans="1:3">
      <c r="A715" s="5" t="s">
        <v>1434</v>
      </c>
      <c r="B715" s="6"/>
      <c r="C715" s="9" t="str">
        <f>IFERROR(VLOOKUP(VENTAS4[[#This Row],[Code]],STOCK[],5,FALSE),"-")</f>
        <v>Sandalias de velcro</v>
      </c>
    </row>
    <row r="716" s="2" customFormat="1" ht="55" customHeight="1" spans="1:3">
      <c r="A716" s="5" t="s">
        <v>1436</v>
      </c>
      <c r="B716" s="6"/>
      <c r="C716" s="9" t="str">
        <f>IFERROR(VLOOKUP(VENTAS4[[#This Row],[Code]],STOCK[],5,FALSE),"-")</f>
        <v>Sandalias de velcro</v>
      </c>
    </row>
    <row r="717" s="2" customFormat="1" ht="55" customHeight="1" spans="1:3">
      <c r="A717" s="5" t="s">
        <v>1437</v>
      </c>
      <c r="B717" s="6"/>
      <c r="C717" s="9" t="str">
        <f>IFERROR(VLOOKUP(VENTAS4[[#This Row],[Code]],STOCK[],5,FALSE),"-")</f>
        <v>Sandalias de velcro</v>
      </c>
    </row>
    <row r="718" s="2" customFormat="1" ht="55" customHeight="1" spans="1:3">
      <c r="A718" s="5" t="s">
        <v>1438</v>
      </c>
      <c r="B718" s="6"/>
      <c r="C718" s="9" t="str">
        <f>IFERROR(VLOOKUP(VENTAS4[[#This Row],[Code]],STOCK[],5,FALSE),"-")</f>
        <v>Sandalias negras acolchadas Marca F21</v>
      </c>
    </row>
    <row r="719" s="2" customFormat="1" ht="55" customHeight="1" spans="1:3">
      <c r="A719" s="5" t="s">
        <v>1441</v>
      </c>
      <c r="B719" s="6"/>
      <c r="C719" s="9" t="str">
        <f>IFERROR(VLOOKUP(VENTAS4[[#This Row],[Code]],STOCK[],5,FALSE),"-")</f>
        <v>Sandalias negras acolchadas</v>
      </c>
    </row>
    <row r="720" s="2" customFormat="1" ht="55" customHeight="1" spans="1:3">
      <c r="A720" s="5" t="s">
        <v>1443</v>
      </c>
      <c r="B720" s="6"/>
      <c r="C720" s="9" t="str">
        <f>IFERROR(VLOOKUP(VENTAS4[[#This Row],[Code]],STOCK[],5,FALSE),"-")</f>
        <v>Sandalias negras acolchadas</v>
      </c>
    </row>
    <row r="721" s="2" customFormat="1" ht="55" customHeight="1" spans="1:3">
      <c r="A721" s="5" t="s">
        <v>1444</v>
      </c>
      <c r="B721" s="6"/>
      <c r="C721" s="9" t="str">
        <f>IFERROR(VLOOKUP(VENTAS4[[#This Row],[Code]],STOCK[],5,FALSE),"-")</f>
        <v>Mocasín con herrajes</v>
      </c>
    </row>
    <row r="722" s="2" customFormat="1" ht="55" customHeight="1" spans="1:3">
      <c r="A722" s="5" t="s">
        <v>1446</v>
      </c>
      <c r="B722" s="6"/>
      <c r="C722" s="9" t="str">
        <f>IFERROR(VLOOKUP(VENTAS4[[#This Row],[Code]],STOCK[],5,FALSE),"-")</f>
        <v>Mocasín con herrajes</v>
      </c>
    </row>
    <row r="723" s="2" customFormat="1" ht="55" customHeight="1" spans="1:3">
      <c r="A723" s="5" t="s">
        <v>1447</v>
      </c>
      <c r="B723" s="6"/>
      <c r="C723" s="9" t="str">
        <f>IFERROR(VLOOKUP(VENTAS4[[#This Row],[Code]],STOCK[],5,FALSE),"-")</f>
        <v>Mocasín con herrajes</v>
      </c>
    </row>
    <row r="724" s="2" customFormat="1" ht="55" customHeight="1" spans="1:3">
      <c r="A724" s="5" t="s">
        <v>1448</v>
      </c>
      <c r="B724" s="6"/>
      <c r="C724" s="9" t="str">
        <f>IFERROR(VLOOKUP(VENTAS4[[#This Row],[Code]],STOCK[],5,FALSE),"-")</f>
        <v>Sandalias minimalistas de plataforma</v>
      </c>
    </row>
    <row r="725" s="2" customFormat="1" ht="55" customHeight="1" spans="1:3">
      <c r="A725" s="5" t="s">
        <v>1450</v>
      </c>
      <c r="B725" s="6"/>
      <c r="C725" s="9" t="str">
        <f>IFERROR(VLOOKUP(VENTAS4[[#This Row],[Code]],STOCK[],5,FALSE),"-")</f>
        <v>Sandalias minimalistas de plataforma</v>
      </c>
    </row>
    <row r="726" s="2" customFormat="1" ht="55" customHeight="1" spans="1:3">
      <c r="A726" s="5" t="s">
        <v>1452</v>
      </c>
      <c r="B726" s="6"/>
      <c r="C726" s="9" t="str">
        <f>IFERROR(VLOOKUP(VENTAS4[[#This Row],[Code]],STOCK[],5,FALSE),"-")</f>
        <v>Sandalias minimalistas de plataforma</v>
      </c>
    </row>
    <row r="727" s="2" customFormat="1" ht="55" customHeight="1" spans="1:3">
      <c r="A727" s="5" t="s">
        <v>1453</v>
      </c>
      <c r="B727" s="6"/>
      <c r="C727" s="9" t="str">
        <f>IFERROR(VLOOKUP(VENTAS4[[#This Row],[Code]],STOCK[],5,FALSE),"-")</f>
        <v>Vestido Orquídea de botones y tirantes de pétalos</v>
      </c>
    </row>
    <row r="728" s="2" customFormat="1" ht="55" customHeight="1" spans="1:3">
      <c r="A728" s="5" t="s">
        <v>1455</v>
      </c>
      <c r="B728" s="6"/>
      <c r="C728" s="9" t="str">
        <f>IFERROR(VLOOKUP(VENTAS4[[#This Row],[Code]],STOCK[],5,FALSE),"-")</f>
        <v>Vestido Orquídea de botones y tirantes de pétalos</v>
      </c>
    </row>
    <row r="729" s="2" customFormat="1" ht="55" customHeight="1" spans="1:3">
      <c r="A729" s="5" t="s">
        <v>1456</v>
      </c>
      <c r="B729" s="6"/>
      <c r="C729" s="9" t="str">
        <f>IFERROR(VLOOKUP(VENTAS4[[#This Row],[Code]],STOCK[],5,FALSE),"-")</f>
        <v>Vestido Orquídea de botones y tirantes de pétalos</v>
      </c>
    </row>
    <row r="730" s="2" customFormat="1" ht="55" customHeight="1" spans="1:3">
      <c r="A730" s="5" t="s">
        <v>1457</v>
      </c>
      <c r="B730" s="6"/>
      <c r="C730" s="9" t="str">
        <f>IFERROR(VLOOKUP(VENTAS4[[#This Row],[Code]],STOCK[],5,FALSE),"-")</f>
        <v>Pantalón alto de bajo elegante</v>
      </c>
    </row>
    <row r="731" s="2" customFormat="1" ht="55" customHeight="1" spans="1:3">
      <c r="A731" s="5" t="s">
        <v>1459</v>
      </c>
      <c r="B731" s="6"/>
      <c r="C731" s="9" t="str">
        <f>IFERROR(VLOOKUP(VENTAS4[[#This Row],[Code]],STOCK[],5,FALSE),"-")</f>
        <v>Pantalón alto de bajo elegante</v>
      </c>
    </row>
    <row r="732" s="2" customFormat="1" ht="55" customHeight="1" spans="1:3">
      <c r="A732" s="5" t="s">
        <v>1460</v>
      </c>
      <c r="B732" s="6"/>
      <c r="C732" s="9" t="str">
        <f>IFERROR(VLOOKUP(VENTAS4[[#This Row],[Code]],STOCK[],5,FALSE),"-")</f>
        <v>Pantalón alto de bajo elegante</v>
      </c>
    </row>
    <row r="733" s="2" customFormat="1" ht="55" customHeight="1" spans="1:3">
      <c r="A733" s="5" t="s">
        <v>1461</v>
      </c>
      <c r="B733" s="6"/>
      <c r="C733" s="9" t="str">
        <f>IFERROR(VLOOKUP(VENTAS4[[#This Row],[Code]],STOCK[],5,FALSE),"-")</f>
        <v>Pantalón alto de bajo elegante</v>
      </c>
    </row>
    <row r="734" s="2" customFormat="1" ht="55" customHeight="1" spans="1:3">
      <c r="A734" s="5" t="s">
        <v>1462</v>
      </c>
      <c r="B734" s="6"/>
      <c r="C734" s="9" t="str">
        <f>IFERROR(VLOOKUP(VENTAS4[[#This Row],[Code]],STOCK[],5,FALSE),"-")</f>
        <v>Pantalón cargo verde </v>
      </c>
    </row>
    <row r="735" s="2" customFormat="1" ht="55" customHeight="1" spans="1:3">
      <c r="A735" s="5" t="s">
        <v>1464</v>
      </c>
      <c r="B735" s="6"/>
      <c r="C735" s="9" t="str">
        <f>IFERROR(VLOOKUP(VENTAS4[[#This Row],[Code]],STOCK[],5,FALSE),"-")</f>
        <v>Bermuda negra denim</v>
      </c>
    </row>
    <row r="736" s="2" customFormat="1" ht="55" customHeight="1" spans="1:3">
      <c r="A736" s="5" t="s">
        <v>1467</v>
      </c>
      <c r="B736" s="6"/>
      <c r="C736" s="9" t="str">
        <f>IFERROR(VLOOKUP(VENTAS4[[#This Row],[Code]],STOCK[],5,FALSE),"-")</f>
        <v>Sandalias de tacón triangular</v>
      </c>
    </row>
    <row r="737" s="2" customFormat="1" ht="55" customHeight="1" spans="1:3">
      <c r="A737" s="5" t="s">
        <v>1471</v>
      </c>
      <c r="B737" s="6"/>
      <c r="C737" s="9" t="str">
        <f>IFERROR(VLOOKUP(VENTAS4[[#This Row],[Code]],STOCK[],5,FALSE),"-")</f>
        <v>Camiseta Dazy Negro</v>
      </c>
    </row>
    <row r="738" s="2" customFormat="1" ht="55" customHeight="1" spans="1:3">
      <c r="A738" s="5" t="s">
        <v>1473</v>
      </c>
      <c r="B738" s="6"/>
      <c r="C738" s="9" t="str">
        <f>IFERROR(VLOOKUP(VENTAS4[[#This Row],[Code]],STOCK[],5,FALSE),"-")</f>
        <v>Vestido Dazy con abertura</v>
      </c>
    </row>
    <row r="739" s="2" customFormat="1" ht="55" customHeight="1" spans="1:3">
      <c r="A739" s="5" t="s">
        <v>1475</v>
      </c>
      <c r="B739" s="6"/>
      <c r="C739" s="9" t="str">
        <f>IFERROR(VLOOKUP(VENTAS4[[#This Row],[Code]],STOCK[],5,FALSE),"-")</f>
        <v>Camiseta Dazy Blanco</v>
      </c>
    </row>
    <row r="740" s="2" customFormat="1" ht="55" customHeight="1" spans="1:3">
      <c r="A740" s="5" t="s">
        <v>1477</v>
      </c>
      <c r="B740" s="6"/>
      <c r="C740" s="9" t="str">
        <f>IFERROR(VLOOKUP(VENTAS4[[#This Row],[Code]],STOCK[],5,FALSE),"-")</f>
        <v>Pantalón negro acampanado</v>
      </c>
    </row>
    <row r="741" s="2" customFormat="1" ht="55" customHeight="1" spans="1:3">
      <c r="A741" s="5" t="s">
        <v>1479</v>
      </c>
      <c r="B741" s="6"/>
      <c r="C741" s="9" t="str">
        <f>IFERROR(VLOOKUP(VENTAS4[[#This Row],[Code]],STOCK[],5,FALSE),"-")</f>
        <v>Botas negras de zíper</v>
      </c>
    </row>
    <row r="742" s="2" customFormat="1" ht="55" customHeight="1" spans="1:3">
      <c r="A742" s="5" t="s">
        <v>1483</v>
      </c>
      <c r="B742" s="6"/>
      <c r="C742" s="9" t="str">
        <f>IFERROR(VLOOKUP(VENTAS4[[#This Row],[Code]],STOCK[],5,FALSE),"-")</f>
        <v>Sandalias de tacón fino</v>
      </c>
    </row>
    <row r="743" s="2" customFormat="1" ht="55" customHeight="1" spans="1:3">
      <c r="A743" s="5" t="s">
        <v>1485</v>
      </c>
      <c r="B743" s="6"/>
      <c r="C743" s="9" t="str">
        <f>IFERROR(VLOOKUP(VENTAS4[[#This Row],[Code]],STOCK[],5,FALSE),"-")</f>
        <v>Vestido Camisero flores</v>
      </c>
    </row>
    <row r="744" s="2" customFormat="1" ht="55" customHeight="1" spans="1:3">
      <c r="A744" s="5" t="s">
        <v>1487</v>
      </c>
      <c r="B744" s="6"/>
      <c r="C744" s="9" t="str">
        <f>IFERROR(VLOOKUP(VENTAS4[[#This Row],[Code]],STOCK[],5,FALSE),"-")</f>
        <v>Falda satinada negra línea A </v>
      </c>
    </row>
    <row r="745" s="2" customFormat="1" ht="55" customHeight="1" spans="1:3">
      <c r="A745" s="5" t="s">
        <v>1489</v>
      </c>
      <c r="B745" s="6"/>
      <c r="C745" s="9" t="str">
        <f>IFERROR(VLOOKUP(VENTAS4[[#This Row],[Code]],STOCK[],5,FALSE),"-")</f>
        <v>Pullover cuello redondo</v>
      </c>
    </row>
    <row r="746" s="2" customFormat="1" ht="55" customHeight="1" spans="1:3">
      <c r="A746" s="5" t="s">
        <v>1491</v>
      </c>
      <c r="B746" s="6"/>
      <c r="C746" s="9" t="str">
        <f>IFERROR(VLOOKUP(VENTAS4[[#This Row],[Code]],STOCK[],5,FALSE),"-")</f>
        <v>Blusa corta Blanca bordada Girasol</v>
      </c>
    </row>
    <row r="747" s="2" customFormat="1" ht="55" customHeight="1" spans="1:3">
      <c r="A747" s="5" t="s">
        <v>1493</v>
      </c>
      <c r="B747" s="6"/>
      <c r="C747" s="9" t="str">
        <f>IFERROR(VLOOKUP(VENTAS4[[#This Row],[Code]],STOCK[],5,FALSE),"-")</f>
        <v>Sandalias Albaricoque</v>
      </c>
    </row>
    <row r="748" s="2" customFormat="1" ht="55" customHeight="1" spans="1:3">
      <c r="A748" s="5" t="s">
        <v>1495</v>
      </c>
      <c r="B748" s="6"/>
      <c r="C748" s="9" t="str">
        <f>IFERROR(VLOOKUP(VENTAS4[[#This Row],[Code]],STOCK[],5,FALSE),"-")</f>
        <v>Zapato de Tacón Cuadrado</v>
      </c>
    </row>
    <row r="749" s="2" customFormat="1" ht="55" customHeight="1" spans="1:3">
      <c r="A749" s="5"/>
      <c r="B749" s="6"/>
      <c r="C749" s="9" t="str">
        <f>IFERROR(VLOOKUP(VENTAS4[[#This Row],[Code]],STOCK[],5,FALSE),"-")</f>
        <v>-</v>
      </c>
    </row>
    <row r="750" s="2" customFormat="1" ht="55" customHeight="1" spans="1:3">
      <c r="A750" s="5" t="s">
        <v>1497</v>
      </c>
      <c r="B750" s="6"/>
      <c r="C750" s="9" t="str">
        <f>IFERROR(VLOOKUP(VENTAS4[[#This Row],[Code]],STOCK[],5,FALSE),"-")</f>
        <v>Pullover Dazy cuello redondo Negro</v>
      </c>
    </row>
    <row r="751" s="2" customFormat="1" ht="55" customHeight="1" spans="1:3">
      <c r="A751" s="5" t="s">
        <v>1499</v>
      </c>
      <c r="B751" s="6"/>
      <c r="C751" s="9" t="str">
        <f>IFERROR(VLOOKUP(VENTAS4[[#This Row],[Code]],STOCK[],5,FALSE),"-")</f>
        <v>Camiseta Dazy Blanco</v>
      </c>
    </row>
    <row r="752" s="2" customFormat="1" ht="55" customHeight="1" spans="1:3">
      <c r="A752" s="5" t="s">
        <v>1500</v>
      </c>
      <c r="B752" s="6"/>
      <c r="C752" s="9" t="str">
        <f>IFERROR(VLOOKUP(VENTAS4[[#This Row],[Code]],STOCK[],5,FALSE),"-")</f>
        <v>Chaleco blanco botones</v>
      </c>
    </row>
    <row r="753" s="2" customFormat="1" ht="55" customHeight="1" spans="1:3">
      <c r="A753" s="5" t="s">
        <v>1502</v>
      </c>
      <c r="B753" s="6"/>
      <c r="C753" s="9" t="str">
        <f>IFERROR(VLOOKUP(VENTAS4[[#This Row],[Code]],STOCK[],5,FALSE),"-")</f>
        <v>Botas negras de zíper</v>
      </c>
    </row>
    <row r="754" s="2" customFormat="1" ht="55" customHeight="1" spans="1:3">
      <c r="A754" s="5" t="s">
        <v>1503</v>
      </c>
      <c r="B754" s="6"/>
      <c r="C754" s="9" t="str">
        <f>IFERROR(VLOOKUP(VENTAS4[[#This Row],[Code]],STOCK[],5,FALSE),"-")</f>
        <v>Pullover Dazy cuello redondo Blanco</v>
      </c>
    </row>
    <row r="755" s="2" customFormat="1" ht="55" customHeight="1" spans="1:3">
      <c r="A755" s="5" t="s">
        <v>1504</v>
      </c>
      <c r="B755" s="6"/>
      <c r="C755" s="9" t="str">
        <f>IFERROR(VLOOKUP(VENTAS4[[#This Row],[Code]],STOCK[],5,FALSE),"-")</f>
        <v>Vestido Frenchy Ajustado</v>
      </c>
    </row>
    <row r="756" s="2" customFormat="1" ht="55" customHeight="1" spans="1:3">
      <c r="A756" s="5" t="s">
        <v>1506</v>
      </c>
      <c r="B756" s="6"/>
      <c r="C756" s="9" t="str">
        <f>IFERROR(VLOOKUP(VENTAS4[[#This Row],[Code]],STOCK[],5,FALSE),"-")</f>
        <v>Camiseta Dazy Blanco</v>
      </c>
    </row>
    <row r="757" s="2" customFormat="1" ht="55" customHeight="1" spans="1:3">
      <c r="A757" s="5" t="s">
        <v>1507</v>
      </c>
      <c r="B757" s="6"/>
      <c r="C757" s="9" t="str">
        <f>IFERROR(VLOOKUP(VENTAS4[[#This Row],[Code]],STOCK[],5,FALSE),"-")</f>
        <v>Pantalón acampanado Blanco</v>
      </c>
    </row>
    <row r="758" s="2" customFormat="1" ht="55" customHeight="1" spans="1:3">
      <c r="A758" s="5" t="s">
        <v>1509</v>
      </c>
      <c r="B758" s="6"/>
      <c r="C758" s="9" t="str">
        <f>IFERROR(VLOOKUP(VENTAS4[[#This Row],[Code]],STOCK[],5,FALSE),"-")</f>
        <v>Pantalón acampanado Blanco</v>
      </c>
    </row>
    <row r="759" s="2" customFormat="1" ht="55" customHeight="1" spans="1:3">
      <c r="A759" s="5" t="s">
        <v>1510</v>
      </c>
      <c r="B759" s="6"/>
      <c r="C759" s="9" t="str">
        <f>IFERROR(VLOOKUP(VENTAS4[[#This Row],[Code]],STOCK[],5,FALSE),"-")</f>
        <v>Pantalón Negro Acampanado</v>
      </c>
    </row>
    <row r="760" s="2" customFormat="1" ht="55" customHeight="1" spans="1:3">
      <c r="A760" s="5" t="s">
        <v>1512</v>
      </c>
      <c r="B760" s="6"/>
      <c r="C760" s="9" t="str">
        <f>IFERROR(VLOOKUP(VENTAS4[[#This Row],[Code]],STOCK[],5,FALSE),"-")</f>
        <v>Top bustier corset de encaje</v>
      </c>
    </row>
    <row r="761" s="2" customFormat="1" ht="55" customHeight="1" spans="1:3">
      <c r="A761" s="5" t="s">
        <v>1515</v>
      </c>
      <c r="B761" s="6"/>
      <c r="C761" s="9" t="str">
        <f>IFERROR(VLOOKUP(VENTAS4[[#This Row],[Code]],STOCK[],5,FALSE),"-")</f>
        <v>Camiseta Dazy Negro</v>
      </c>
    </row>
    <row r="762" s="2" customFormat="1" ht="55" customHeight="1" spans="1:3">
      <c r="A762" s="5" t="s">
        <v>1516</v>
      </c>
      <c r="B762" s="6"/>
      <c r="C762" s="9" t="str">
        <f>IFERROR(VLOOKUP(VENTAS4[[#This Row],[Code]],STOCK[],5,FALSE),"-")</f>
        <v>Chaleco de traje</v>
      </c>
    </row>
    <row r="763" s="2" customFormat="1" ht="55" customHeight="1" spans="1:3">
      <c r="A763" s="5" t="s">
        <v>1518</v>
      </c>
      <c r="B763" s="6"/>
      <c r="C763" s="9" t="str">
        <f>IFERROR(VLOOKUP(VENTAS4[[#This Row],[Code]],STOCK[],5,FALSE),"-")</f>
        <v>Chaleco de traje</v>
      </c>
    </row>
    <row r="764" s="2" customFormat="1" ht="55" customHeight="1" spans="1:3">
      <c r="A764" s="5" t="s">
        <v>1519</v>
      </c>
      <c r="B764" s="6"/>
      <c r="C764" s="9" t="str">
        <f>IFERROR(VLOOKUP(VENTAS4[[#This Row],[Code]],STOCK[],5,FALSE),"-")</f>
        <v>Saya de Mezclilla a la Cintura</v>
      </c>
    </row>
    <row r="765" s="2" customFormat="1" ht="55" customHeight="1" spans="1:3">
      <c r="A765" s="5" t="s">
        <v>1521</v>
      </c>
      <c r="B765" s="6"/>
      <c r="C765" s="9" t="str">
        <f>IFERROR(VLOOKUP(VENTAS4[[#This Row],[Code]],STOCK[],5,FALSE),"-")</f>
        <v>Sandalias Albaricoque</v>
      </c>
    </row>
    <row r="766" s="2" customFormat="1" ht="55" customHeight="1" spans="1:3">
      <c r="A766" s="5" t="s">
        <v>1522</v>
      </c>
      <c r="B766" s="6"/>
      <c r="C766" s="9" t="str">
        <f>IFERROR(VLOOKUP(VENTAS4[[#This Row],[Code]],STOCK[],5,FALSE),"-")</f>
        <v>Zapato de punta fina y Tacón Cuadrado</v>
      </c>
    </row>
    <row r="767" s="2" customFormat="1" ht="55" customHeight="1" spans="1:3">
      <c r="A767" s="5" t="s">
        <v>1524</v>
      </c>
      <c r="B767" s="6"/>
      <c r="C767" s="9" t="str">
        <f>IFERROR(VLOOKUP(VENTAS4[[#This Row],[Code]],STOCK[],5,FALSE),"-")</f>
        <v>Vestido Dazy con abertura</v>
      </c>
    </row>
    <row r="768" s="2" customFormat="1" ht="55" customHeight="1" spans="1:3">
      <c r="A768" s="5" t="s">
        <v>1525</v>
      </c>
      <c r="B768" s="6"/>
      <c r="C768" s="9" t="str">
        <f>IFERROR(VLOOKUP(VENTAS4[[#This Row],[Code]],STOCK[],5,FALSE),"-")</f>
        <v>Top Bustier encaje</v>
      </c>
    </row>
    <row r="769" s="2" customFormat="1" ht="55" customHeight="1" spans="1:3">
      <c r="A769" s="5" t="s">
        <v>1527</v>
      </c>
      <c r="B769" s="6"/>
      <c r="C769" s="9" t="str">
        <f>IFERROR(VLOOKUP(VENTAS4[[#This Row],[Code]],STOCK[],5,FALSE),"-")</f>
        <v>Sandalias de tacón fino</v>
      </c>
    </row>
    <row r="770" s="2" customFormat="1" ht="55" customHeight="1" spans="1:3">
      <c r="A770" s="5" t="s">
        <v>1528</v>
      </c>
      <c r="B770" s="6"/>
      <c r="C770" s="9" t="str">
        <f>IFERROR(VLOOKUP(VENTAS4[[#This Row],[Code]],STOCK[],5,FALSE),"-")</f>
        <v>Vestido Camisero flores</v>
      </c>
    </row>
    <row r="771" s="2" customFormat="1" ht="55" customHeight="1" spans="1:3">
      <c r="A771" s="5" t="s">
        <v>1529</v>
      </c>
      <c r="B771" s="6"/>
      <c r="C771" s="9" t="str">
        <f>IFERROR(VLOOKUP(VENTAS4[[#This Row],[Code]],STOCK[],5,FALSE),"-")</f>
        <v>Bolso de Mimbre</v>
      </c>
    </row>
    <row r="772" s="2" customFormat="1" ht="55" customHeight="1" spans="1:3">
      <c r="A772" s="5" t="s">
        <v>1533</v>
      </c>
      <c r="B772" s="6"/>
      <c r="C772" s="9" t="str">
        <f>IFERROR(VLOOKUP(VENTAS4[[#This Row],[Code]],STOCK[],5,FALSE),"-")</f>
        <v>Top de encaje</v>
      </c>
    </row>
    <row r="773" s="2" customFormat="1" ht="55" customHeight="1" spans="1:3">
      <c r="A773" s="5" t="s">
        <v>1535</v>
      </c>
      <c r="B773" s="6"/>
      <c r="C773" s="9" t="str">
        <f>IFERROR(VLOOKUP(VENTAS4[[#This Row],[Code]],STOCK[],5,FALSE),"-")</f>
        <v>Botas negras de zíper</v>
      </c>
    </row>
    <row r="774" s="2" customFormat="1" ht="55" customHeight="1" spans="1:3">
      <c r="A774" s="5" t="s">
        <v>1536</v>
      </c>
      <c r="B774" s="6"/>
      <c r="C774" s="9" t="str">
        <f>IFERROR(VLOOKUP(VENTAS4[[#This Row],[Code]],STOCK[],5,FALSE),"-")</f>
        <v>Falda de mezclilla negra a la cintura</v>
      </c>
    </row>
    <row r="775" s="2" customFormat="1" ht="55" customHeight="1" spans="1:3">
      <c r="A775" s="5" t="s">
        <v>1538</v>
      </c>
      <c r="B775" s="6"/>
      <c r="C775" s="9" t="str">
        <f>IFERROR(VLOOKUP(VENTAS4[[#This Row],[Code]],STOCK[],5,FALSE),"-")</f>
        <v>Gafas de sol Dama</v>
      </c>
    </row>
    <row r="776" s="2" customFormat="1" ht="55" customHeight="1" spans="1:3">
      <c r="A776" s="5" t="s">
        <v>1540</v>
      </c>
      <c r="B776" s="6"/>
      <c r="C776" s="9" t="str">
        <f>IFERROR(VLOOKUP(VENTAS4[[#This Row],[Code]],STOCK[],5,FALSE),"-")</f>
        <v>Gafas de Sol </v>
      </c>
    </row>
    <row r="777" s="2" customFormat="1" ht="55" customHeight="1" spans="1:3">
      <c r="A777" s="5" t="s">
        <v>1542</v>
      </c>
      <c r="B777" s="6"/>
      <c r="C777" s="9" t="str">
        <f>IFERROR(VLOOKUP(VENTAS4[[#This Row],[Code]],STOCK[],5,FALSE),"-")</f>
        <v>Lentes de Sol</v>
      </c>
    </row>
    <row r="778" s="2" customFormat="1" ht="55" customHeight="1" spans="1:3">
      <c r="A778" s="5" t="s">
        <v>1544</v>
      </c>
      <c r="B778" s="6"/>
      <c r="C778" s="9" t="str">
        <f>IFERROR(VLOOKUP(VENTAS4[[#This Row],[Code]],STOCK[],5,FALSE),"-")</f>
        <v>Gafas de sol Dama</v>
      </c>
    </row>
    <row r="779" s="2" customFormat="1" ht="55" customHeight="1" spans="1:3">
      <c r="A779" s="5" t="s">
        <v>1546</v>
      </c>
      <c r="B779" s="6"/>
      <c r="C779" s="9" t="str">
        <f>IFERROR(VLOOKUP(VENTAS4[[#This Row],[Code]],STOCK[],5,FALSE),"-")</f>
        <v>Limpia botellas</v>
      </c>
    </row>
    <row r="780" s="2" customFormat="1" ht="55" customHeight="1" spans="1:3">
      <c r="A780" s="5" t="s">
        <v>1549</v>
      </c>
      <c r="B780" s="6"/>
      <c r="C780" s="9" t="str">
        <f>IFERROR(VLOOKUP(VENTAS4[[#This Row],[Code]],STOCK[],5,FALSE),"-")</f>
        <v>Batidor</v>
      </c>
    </row>
    <row r="781" s="2" customFormat="1" ht="55" customHeight="1" spans="1:3">
      <c r="A781" s="5" t="s">
        <v>1551</v>
      </c>
      <c r="B781" s="6"/>
      <c r="C781" s="9" t="str">
        <f>IFERROR(VLOOKUP(VENTAS4[[#This Row],[Code]],STOCK[],5,FALSE),"-")</f>
        <v>Mocasín de punta fina Marca H&amp;M</v>
      </c>
    </row>
    <row r="782" s="2" customFormat="1" ht="55" customHeight="1" spans="1:3">
      <c r="A782" s="5" t="s">
        <v>1554</v>
      </c>
      <c r="B782" s="6"/>
      <c r="C782" s="9" t="str">
        <f>IFERROR(VLOOKUP(VENTAS4[[#This Row],[Code]],STOCK[],5,FALSE),"-")</f>
        <v>Botas Chalsesa</v>
      </c>
    </row>
    <row r="783" s="2" customFormat="1" ht="55" customHeight="1" spans="1:3">
      <c r="A783" s="5" t="s">
        <v>1556</v>
      </c>
      <c r="B783" s="6"/>
      <c r="C783" s="9" t="str">
        <f>IFERROR(VLOOKUP(VENTAS4[[#This Row],[Code]],STOCK[],5,FALSE),"-")</f>
        <v>Blusa corta abombada</v>
      </c>
    </row>
    <row r="784" s="2" customFormat="1" ht="55" customHeight="1" spans="1:3">
      <c r="A784" s="5" t="s">
        <v>1558</v>
      </c>
      <c r="B784" s="6"/>
      <c r="C784" s="9" t="str">
        <f>IFERROR(VLOOKUP(VENTAS4[[#This Row],[Code]],STOCK[],5,FALSE),"-")</f>
        <v>Pantalón recto de traje de pata ancha H&amp;M</v>
      </c>
    </row>
    <row r="785" s="2" customFormat="1" ht="55" customHeight="1" spans="1:3">
      <c r="A785" s="5" t="s">
        <v>1560</v>
      </c>
      <c r="B785" s="6"/>
      <c r="C785" s="9" t="str">
        <f>IFERROR(VLOOKUP(VENTAS4[[#This Row],[Code]],STOCK[],5,FALSE),"-")</f>
        <v>Vestido negro ajustado estilo corset</v>
      </c>
    </row>
    <row r="786" s="2" customFormat="1" ht="55" customHeight="1" spans="1:3">
      <c r="A786" s="5" t="s">
        <v>1562</v>
      </c>
      <c r="B786" s="6"/>
      <c r="C786" s="9" t="str">
        <f>IFERROR(VLOOKUP(VENTAS4[[#This Row],[Code]],STOCK[],5,FALSE),"-")</f>
        <v>Jean skinny de cintura alta y bajo descosido</v>
      </c>
    </row>
    <row r="787" s="2" customFormat="1" ht="55" customHeight="1" spans="1:3">
      <c r="A787" s="5" t="s">
        <v>1564</v>
      </c>
      <c r="B787" s="6"/>
      <c r="C787" s="9" t="str">
        <f>IFERROR(VLOOKUP(VENTAS4[[#This Row],[Code]],STOCK[],5,FALSE),"-")</f>
        <v>Leggins bikers</v>
      </c>
    </row>
    <row r="788" s="2" customFormat="1" ht="55" customHeight="1" spans="1:3">
      <c r="A788" s="5" t="s">
        <v>1566</v>
      </c>
      <c r="B788" s="6"/>
      <c r="C788" s="9" t="str">
        <f>IFERROR(VLOOKUP(VENTAS4[[#This Row],[Code]],STOCK[],5,FALSE),"-")</f>
        <v>Blazer azul Rey</v>
      </c>
    </row>
    <row r="789" s="2" customFormat="1" ht="55" customHeight="1" spans="1:3">
      <c r="A789" s="5" t="s">
        <v>1568</v>
      </c>
      <c r="B789" s="6"/>
      <c r="C789" s="9" t="str">
        <f>IFERROR(VLOOKUP(VENTAS4[[#This Row],[Code]],STOCK[],5,FALSE),"-")</f>
        <v>Sandalias de tiras</v>
      </c>
    </row>
    <row r="790" s="2" customFormat="1" ht="55" customHeight="1" spans="1:3">
      <c r="A790" s="5" t="s">
        <v>1571</v>
      </c>
      <c r="B790" s="6"/>
      <c r="C790" s="9" t="str">
        <f>IFERROR(VLOOKUP(VENTAS4[[#This Row],[Code]],STOCK[],5,FALSE),"-")</f>
        <v>Sandalias de tiras</v>
      </c>
    </row>
    <row r="791" s="2" customFormat="1" ht="55" customHeight="1" spans="1:3">
      <c r="A791" s="5" t="s">
        <v>1573</v>
      </c>
      <c r="B791" s="6"/>
      <c r="C791" s="9" t="str">
        <f>IFERROR(VLOOKUP(VENTAS4[[#This Row],[Code]],STOCK[],5,FALSE),"-")</f>
        <v>Sandalias de nudos</v>
      </c>
    </row>
    <row r="792" s="2" customFormat="1" ht="55" customHeight="1" spans="1:3">
      <c r="A792" s="5" t="s">
        <v>1577</v>
      </c>
      <c r="B792" s="6"/>
      <c r="C792" s="9" t="str">
        <f>IFERROR(VLOOKUP(VENTAS4[[#This Row],[Code]],STOCK[],5,FALSE),"-")</f>
        <v>Sandalias de nudos</v>
      </c>
    </row>
    <row r="793" s="2" customFormat="1" ht="55" customHeight="1" spans="1:3">
      <c r="A793" s="5" t="s">
        <v>1578</v>
      </c>
      <c r="B793" s="6"/>
      <c r="C793" s="9" t="str">
        <f>IFERROR(VLOOKUP(VENTAS4[[#This Row],[Code]],STOCK[],5,FALSE),"-")</f>
        <v>Sandalias Pop </v>
      </c>
    </row>
    <row r="794" s="2" customFormat="1" ht="55" customHeight="1" spans="1:3">
      <c r="A794" s="5" t="s">
        <v>1580</v>
      </c>
      <c r="B794" s="6"/>
      <c r="C794" s="9" t="str">
        <f>IFERROR(VLOOKUP(VENTAS4[[#This Row],[Code]],STOCK[],5,FALSE),"-")</f>
        <v>Sandalias Pop</v>
      </c>
    </row>
    <row r="795" s="2" customFormat="1" ht="55" customHeight="1" spans="1:3">
      <c r="A795" s="5" t="s">
        <v>1582</v>
      </c>
      <c r="B795" s="6"/>
      <c r="C795" s="9" t="str">
        <f>IFERROR(VLOOKUP(VENTAS4[[#This Row],[Code]],STOCK[],5,FALSE),"-")</f>
        <v>Sandalias de hebilla</v>
      </c>
    </row>
    <row r="796" s="2" customFormat="1" ht="55" customHeight="1" spans="1:3">
      <c r="A796" s="5" t="s">
        <v>1584</v>
      </c>
      <c r="B796" s="6"/>
      <c r="C796" s="9" t="str">
        <f>IFERROR(VLOOKUP(VENTAS4[[#This Row],[Code]],STOCK[],5,FALSE),"-")</f>
        <v>Sandalias de hebilla</v>
      </c>
    </row>
    <row r="797" s="2" customFormat="1" ht="55" customHeight="1" spans="1:3">
      <c r="A797" s="5" t="s">
        <v>1585</v>
      </c>
      <c r="B797" s="6"/>
      <c r="C797" s="9" t="str">
        <f>IFERROR(VLOOKUP(VENTAS4[[#This Row],[Code]],STOCK[],5,FALSE),"-")</f>
        <v>Sandalias flip de plataforma Rosadas Marca F21</v>
      </c>
    </row>
    <row r="798" s="2" customFormat="1" ht="55" customHeight="1" spans="1:3">
      <c r="A798" s="5" t="s">
        <v>1588</v>
      </c>
      <c r="B798" s="6"/>
      <c r="C798" s="9" t="str">
        <f>IFERROR(VLOOKUP(VENTAS4[[#This Row],[Code]],STOCK[],5,FALSE),"-")</f>
        <v>Sandalias flip de plataforma Naranja Marca F21</v>
      </c>
    </row>
    <row r="799" s="2" customFormat="1" ht="55" customHeight="1" spans="1:3">
      <c r="A799" s="5" t="s">
        <v>1591</v>
      </c>
      <c r="B799" s="6"/>
      <c r="C799" s="9" t="str">
        <f>IFERROR(VLOOKUP(VENTAS4[[#This Row],[Code]],STOCK[],5,FALSE),"-")</f>
        <v>Sandalias flip de plataforma Naranja Marca F21</v>
      </c>
    </row>
    <row r="800" s="2" customFormat="1" ht="55" customHeight="1" spans="1:3">
      <c r="A800" s="5" t="s">
        <v>1593</v>
      </c>
      <c r="B800" s="6"/>
      <c r="C800" s="9" t="str">
        <f>IFERROR(VLOOKUP(VENTAS4[[#This Row],[Code]],STOCK[],5,FALSE),"-")</f>
        <v>Sandalias flip de plataforma Negro</v>
      </c>
    </row>
    <row r="801" s="2" customFormat="1" ht="55" customHeight="1" spans="1:3">
      <c r="A801" s="5" t="s">
        <v>1595</v>
      </c>
      <c r="B801" s="6"/>
      <c r="C801" s="9" t="str">
        <f>IFERROR(VLOOKUP(VENTAS4[[#This Row],[Code]],STOCK[],5,FALSE),"-")</f>
        <v>Sandalias flip de plataforma</v>
      </c>
    </row>
    <row r="802" s="2" customFormat="1" ht="55" customHeight="1" spans="1:3">
      <c r="A802" s="5" t="s">
        <v>1597</v>
      </c>
      <c r="B802" s="6"/>
      <c r="C802" s="9" t="str">
        <f>IFERROR(VLOOKUP(VENTAS4[[#This Row],[Code]],STOCK[],5,FALSE),"-")</f>
        <v>Cardigan classy</v>
      </c>
    </row>
    <row r="803" s="2" customFormat="1" ht="55" customHeight="1" spans="1:3">
      <c r="A803" s="5" t="s">
        <v>1601</v>
      </c>
      <c r="B803" s="6"/>
      <c r="C803" s="9" t="str">
        <f>IFERROR(VLOOKUP(VENTAS4[[#This Row],[Code]],STOCK[],5,FALSE),"-")</f>
        <v>Sandalias minimalistas de tacón</v>
      </c>
    </row>
    <row r="804" s="2" customFormat="1" ht="55" customHeight="1" spans="1:3">
      <c r="A804" s="5" t="s">
        <v>1603</v>
      </c>
      <c r="B804" s="6"/>
      <c r="C804" s="9" t="str">
        <f>IFERROR(VLOOKUP(VENTAS4[[#This Row],[Code]],STOCK[],5,FALSE),"-")</f>
        <v>Sandalias minimalistas de tacón</v>
      </c>
    </row>
    <row r="805" s="2" customFormat="1" ht="55" customHeight="1" spans="1:3">
      <c r="A805" s="5" t="s">
        <v>1604</v>
      </c>
      <c r="B805" s="6"/>
      <c r="C805" s="9" t="str">
        <f>IFERROR(VLOOKUP(VENTAS4[[#This Row],[Code]],STOCK[],5,FALSE),"-")</f>
        <v>Vestido camisa modely</v>
      </c>
    </row>
    <row r="806" s="2" customFormat="1" ht="55" customHeight="1" spans="1:3">
      <c r="A806" s="5" t="s">
        <v>1606</v>
      </c>
      <c r="B806" s="6"/>
      <c r="C806" s="9" t="str">
        <f>IFERROR(VLOOKUP(VENTAS4[[#This Row],[Code]],STOCK[],5,FALSE),"-")</f>
        <v>Vestido camisa modely</v>
      </c>
    </row>
    <row r="807" s="2" customFormat="1" ht="55" customHeight="1" spans="1:3">
      <c r="A807" s="5" t="s">
        <v>1607</v>
      </c>
      <c r="B807" s="6"/>
      <c r="C807" s="9" t="str">
        <f>IFERROR(VLOOKUP(VENTAS4[[#This Row],[Code]],STOCK[],5,FALSE),"-")</f>
        <v>Vestido camisero con estampado floral </v>
      </c>
    </row>
    <row r="808" s="2" customFormat="1" ht="55" customHeight="1" spans="1:3">
      <c r="A808" s="5" t="s">
        <v>1610</v>
      </c>
      <c r="B808" s="6"/>
      <c r="C808" s="9" t="str">
        <f>IFERROR(VLOOKUP(VENTAS4[[#This Row],[Code]],STOCK[],5,FALSE),"-")</f>
        <v>Camisa Modely</v>
      </c>
    </row>
    <row r="809" s="2" customFormat="1" ht="55" customHeight="1" spans="1:3">
      <c r="A809" s="5" t="s">
        <v>1612</v>
      </c>
      <c r="B809" s="6"/>
      <c r="C809" s="9" t="str">
        <f>IFERROR(VLOOKUP(VENTAS4[[#This Row],[Code]],STOCK[],5,FALSE),"-")</f>
        <v>Camisa Modely</v>
      </c>
    </row>
    <row r="810" s="2" customFormat="1" ht="55" customHeight="1" spans="1:3">
      <c r="A810" s="5" t="s">
        <v>1613</v>
      </c>
      <c r="B810" s="6"/>
      <c r="C810" s="9" t="str">
        <f>IFERROR(VLOOKUP(VENTAS4[[#This Row],[Code]],STOCK[],5,FALSE),"-")</f>
        <v>Camisa Modely</v>
      </c>
    </row>
    <row r="811" s="2" customFormat="1" ht="55" customHeight="1" spans="1:3">
      <c r="A811" s="5" t="s">
        <v>1614</v>
      </c>
      <c r="B811" s="6"/>
      <c r="C811" s="9" t="str">
        <f>IFERROR(VLOOKUP(VENTAS4[[#This Row],[Code]],STOCK[],5,FALSE),"-")</f>
        <v>Vestido largo estampado</v>
      </c>
    </row>
    <row r="812" s="2" customFormat="1" ht="55" customHeight="1" spans="1:3">
      <c r="A812" s="5" t="s">
        <v>1616</v>
      </c>
      <c r="B812" s="6"/>
      <c r="C812" s="9" t="str">
        <f>IFERROR(VLOOKUP(VENTAS4[[#This Row],[Code]],STOCK[],5,FALSE),"-")</f>
        <v>Vestido largo estampado</v>
      </c>
    </row>
    <row r="813" s="2" customFormat="1" ht="55" customHeight="1" spans="1:3">
      <c r="A813" s="5" t="s">
        <v>1617</v>
      </c>
      <c r="B813" s="6"/>
      <c r="C813" s="9" t="str">
        <f>IFERROR(VLOOKUP(VENTAS4[[#This Row],[Code]],STOCK[],5,FALSE),"-")</f>
        <v>Vestido Becka</v>
      </c>
    </row>
    <row r="814" s="2" customFormat="1" ht="55" customHeight="1" spans="1:3">
      <c r="A814" s="5" t="s">
        <v>1619</v>
      </c>
      <c r="B814" s="6"/>
      <c r="C814" s="9" t="str">
        <f>IFERROR(VLOOKUP(VENTAS4[[#This Row],[Code]],STOCK[],5,FALSE),"-")</f>
        <v>Vestido Becka</v>
      </c>
    </row>
    <row r="815" s="2" customFormat="1" ht="55" customHeight="1" spans="1:3">
      <c r="A815" s="5" t="s">
        <v>1620</v>
      </c>
      <c r="B815" s="6"/>
      <c r="C815" s="9" t="str">
        <f>IFERROR(VLOOKUP(VENTAS4[[#This Row],[Code]],STOCK[],5,FALSE),"-")</f>
        <v>Vestido Becka</v>
      </c>
    </row>
    <row r="816" s="2" customFormat="1" ht="55" customHeight="1" spans="1:3">
      <c r="A816" s="5" t="s">
        <v>1621</v>
      </c>
      <c r="B816" s="6"/>
      <c r="C816" s="9" t="str">
        <f>IFERROR(VLOOKUP(VENTAS4[[#This Row],[Code]],STOCK[],5,FALSE),"-")</f>
        <v>Sandalias minimalistas de tacón</v>
      </c>
    </row>
    <row r="817" s="2" customFormat="1" ht="55" customHeight="1" spans="1:3">
      <c r="A817" s="5" t="s">
        <v>1622</v>
      </c>
      <c r="B817" s="6"/>
      <c r="C817" s="9" t="str">
        <f>IFERROR(VLOOKUP(VENTAS4[[#This Row],[Code]],STOCK[],5,FALSE),"-")</f>
        <v>Vestido Tarsha</v>
      </c>
    </row>
    <row r="818" s="2" customFormat="1" ht="55" customHeight="1" spans="1:3">
      <c r="A818" s="5" t="s">
        <v>1624</v>
      </c>
      <c r="B818" s="6"/>
      <c r="C818" s="9" t="str">
        <f>IFERROR(VLOOKUP(VENTAS4[[#This Row],[Code]],STOCK[],5,FALSE),"-")</f>
        <v>Vestido Tarsha</v>
      </c>
    </row>
    <row r="819" s="2" customFormat="1" ht="55" customHeight="1" spans="1:3">
      <c r="A819" s="5" t="s">
        <v>1625</v>
      </c>
      <c r="B819" s="6"/>
      <c r="C819" s="9" t="str">
        <f>IFERROR(VLOOKUP(VENTAS4[[#This Row],[Code]],STOCK[],5,FALSE),"-")</f>
        <v>Vestido Tarsha</v>
      </c>
    </row>
    <row r="820" s="2" customFormat="1" ht="55" customHeight="1" spans="1:3">
      <c r="A820" s="5" t="s">
        <v>1626</v>
      </c>
      <c r="B820" s="6"/>
      <c r="C820" s="9" t="str">
        <f>IFERROR(VLOOKUP(VENTAS4[[#This Row],[Code]],STOCK[],5,FALSE),"-")</f>
        <v>Vestido Burdeos </v>
      </c>
    </row>
    <row r="821" s="2" customFormat="1" ht="55" customHeight="1" spans="1:3">
      <c r="A821" s="5" t="s">
        <v>1629</v>
      </c>
      <c r="B821" s="6"/>
      <c r="C821" s="9" t="str">
        <f>IFERROR(VLOOKUP(VENTAS4[[#This Row],[Code]],STOCK[],5,FALSE),"-")</f>
        <v>Vestidos Burdeos</v>
      </c>
    </row>
    <row r="822" s="2" customFormat="1" ht="55" customHeight="1" spans="1:3">
      <c r="A822" s="5" t="s">
        <v>1631</v>
      </c>
      <c r="B822" s="6"/>
      <c r="C822" s="9" t="str">
        <f>IFERROR(VLOOKUP(VENTAS4[[#This Row],[Code]],STOCK[],5,FALSE),"-")</f>
        <v>Vestido Privé </v>
      </c>
    </row>
    <row r="823" s="2" customFormat="1" ht="55" customHeight="1" spans="1:3">
      <c r="A823" s="5" t="s">
        <v>1633</v>
      </c>
      <c r="B823" s="6"/>
      <c r="C823" s="9" t="str">
        <f>IFERROR(VLOOKUP(VENTAS4[[#This Row],[Code]],STOCK[],5,FALSE),"-")</f>
        <v>Vestido Privé  </v>
      </c>
    </row>
    <row r="824" s="2" customFormat="1" ht="55" customHeight="1" spans="1:3">
      <c r="A824" s="5" t="s">
        <v>1635</v>
      </c>
      <c r="B824" s="6"/>
      <c r="C824" s="9" t="str">
        <f>IFERROR(VLOOKUP(VENTAS4[[#This Row],[Code]],STOCK[],5,FALSE),"-")</f>
        <v>Vestido Privé </v>
      </c>
    </row>
    <row r="825" s="2" customFormat="1" ht="55" customHeight="1" spans="1:3">
      <c r="A825" s="5" t="s">
        <v>1636</v>
      </c>
      <c r="B825" s="6"/>
      <c r="C825" s="9" t="str">
        <f>IFERROR(VLOOKUP(VENTAS4[[#This Row],[Code]],STOCK[],5,FALSE),"-")</f>
        <v>Vestido Privé</v>
      </c>
    </row>
    <row r="826" s="2" customFormat="1" ht="55" customHeight="1" spans="1:3">
      <c r="A826" s="5" t="s">
        <v>1638</v>
      </c>
      <c r="B826" s="6"/>
      <c r="C826" s="9" t="str">
        <f>IFERROR(VLOOKUP(VENTAS4[[#This Row],[Code]],STOCK[],5,FALSE),"-")</f>
        <v>Top Asimétrico Acanalado</v>
      </c>
    </row>
    <row r="827" s="2" customFormat="1" ht="55" customHeight="1" spans="1:3">
      <c r="A827" s="5" t="s">
        <v>1640</v>
      </c>
      <c r="B827" s="6"/>
      <c r="C827" s="9" t="str">
        <f>IFERROR(VLOOKUP(VENTAS4[[#This Row],[Code]],STOCK[],5,FALSE),"-")</f>
        <v>Top Asimétrico Acanalado</v>
      </c>
    </row>
    <row r="828" s="2" customFormat="1" ht="55" customHeight="1" spans="1:3">
      <c r="A828" s="5" t="s">
        <v>1641</v>
      </c>
      <c r="B828" s="6"/>
      <c r="C828" s="9" t="str">
        <f>IFERROR(VLOOKUP(VENTAS4[[#This Row],[Code]],STOCK[],5,FALSE),"-")</f>
        <v>Kimono floral</v>
      </c>
    </row>
    <row r="829" s="2" customFormat="1" ht="55" customHeight="1" spans="1:3">
      <c r="A829" s="5" t="s">
        <v>1643</v>
      </c>
      <c r="B829" s="6"/>
      <c r="C829" s="9" t="str">
        <f>IFERROR(VLOOKUP(VENTAS4[[#This Row],[Code]],STOCK[],5,FALSE),"-")</f>
        <v>Kimono fLoral</v>
      </c>
    </row>
    <row r="830" s="2" customFormat="1" ht="55" customHeight="1" spans="1:3">
      <c r="A830" s="5" t="s">
        <v>1645</v>
      </c>
      <c r="B830" s="6"/>
      <c r="C830" s="9" t="str">
        <f>IFERROR(VLOOKUP(VENTAS4[[#This Row],[Code]],STOCK[],5,FALSE),"-")</f>
        <v>Mono palazzo</v>
      </c>
    </row>
    <row r="831" s="2" customFormat="1" ht="55" customHeight="1" spans="1:3">
      <c r="A831" s="5" t="s">
        <v>1647</v>
      </c>
      <c r="B831" s="6"/>
      <c r="C831" s="9" t="str">
        <f>IFERROR(VLOOKUP(VENTAS4[[#This Row],[Code]],STOCK[],5,FALSE),"-")</f>
        <v>Mono palazzo</v>
      </c>
    </row>
    <row r="832" s="2" customFormat="1" ht="55" customHeight="1" spans="1:3">
      <c r="A832" s="5" t="s">
        <v>1648</v>
      </c>
      <c r="B832" s="6"/>
      <c r="C832" s="9" t="str">
        <f>IFERROR(VLOOKUP(VENTAS4[[#This Row],[Code]],STOCK[],5,FALSE),"-")</f>
        <v>Vestido Frenchy Azul</v>
      </c>
    </row>
    <row r="833" s="2" customFormat="1" ht="55" customHeight="1" spans="1:3">
      <c r="A833" s="5" t="s">
        <v>1650</v>
      </c>
      <c r="B833" s="6"/>
      <c r="C833" s="9" t="str">
        <f>IFERROR(VLOOKUP(VENTAS4[[#This Row],[Code]],STOCK[],5,FALSE),"-")</f>
        <v>Vestido Frenchy Rojo</v>
      </c>
    </row>
    <row r="834" s="2" customFormat="1" ht="55" customHeight="1" spans="1:3">
      <c r="A834" s="5" t="s">
        <v>1652</v>
      </c>
      <c r="B834" s="6"/>
      <c r="C834" s="9" t="str">
        <f>IFERROR(VLOOKUP(VENTAS4[[#This Row],[Code]],STOCK[],5,FALSE),"-")</f>
        <v>Vestido Margarita</v>
      </c>
    </row>
    <row r="835" s="2" customFormat="1" ht="55" customHeight="1" spans="1:3">
      <c r="A835" s="5" t="s">
        <v>1654</v>
      </c>
      <c r="B835" s="6"/>
      <c r="C835" s="9" t="str">
        <f>IFERROR(VLOOKUP(VENTAS4[[#This Row],[Code]],STOCK[],5,FALSE),"-")</f>
        <v>Vestido margarita</v>
      </c>
    </row>
    <row r="836" s="2" customFormat="1" ht="55" customHeight="1" spans="1:3">
      <c r="A836" s="5" t="s">
        <v>1656</v>
      </c>
      <c r="B836" s="6"/>
      <c r="C836" s="9" t="str">
        <f>IFERROR(VLOOKUP(VENTAS4[[#This Row],[Code]],STOCK[],5,FALSE),"-")</f>
        <v>Suéter cuello de Cisne</v>
      </c>
    </row>
    <row r="837" s="2" customFormat="1" ht="55" customHeight="1" spans="1:3">
      <c r="A837" s="5" t="s">
        <v>1658</v>
      </c>
      <c r="B837" s="6"/>
      <c r="C837" s="9" t="str">
        <f>IFERROR(VLOOKUP(VENTAS4[[#This Row],[Code]],STOCK[],5,FALSE),"-")</f>
        <v>Suéter cuello de Cisne</v>
      </c>
    </row>
    <row r="838" s="2" customFormat="1" ht="55" customHeight="1" spans="1:3">
      <c r="A838" s="5" t="s">
        <v>1659</v>
      </c>
      <c r="B838" s="6"/>
      <c r="C838" s="9" t="str">
        <f>IFERROR(VLOOKUP(VENTAS4[[#This Row],[Code]],STOCK[],5,FALSE),"-")</f>
        <v>Suéter cuello de Cisne</v>
      </c>
    </row>
    <row r="839" s="2" customFormat="1" ht="55" customHeight="1" spans="1:3">
      <c r="A839" s="5" t="s">
        <v>1660</v>
      </c>
      <c r="B839" s="6"/>
      <c r="C839" s="9" t="str">
        <f>IFERROR(VLOOKUP(VENTAS4[[#This Row],[Code]],STOCK[],5,FALSE),"-")</f>
        <v>Top healter negro</v>
      </c>
    </row>
    <row r="840" s="2" customFormat="1" ht="55" customHeight="1" spans="1:3">
      <c r="A840" s="5" t="s">
        <v>1662</v>
      </c>
      <c r="B840" s="6"/>
      <c r="C840" s="9" t="str">
        <f>IFERROR(VLOOKUP(VENTAS4[[#This Row],[Code]],STOCK[],5,FALSE),"-")</f>
        <v>Top Healter negro</v>
      </c>
    </row>
    <row r="841" s="2" customFormat="1" ht="55" customHeight="1" spans="1:3">
      <c r="A841" s="5" t="s">
        <v>1664</v>
      </c>
      <c r="B841" s="6"/>
      <c r="C841" s="9" t="str">
        <f>IFERROR(VLOOKUP(VENTAS4[[#This Row],[Code]],STOCK[],5,FALSE),"-")</f>
        <v>Mono Con Botón Delantero</v>
      </c>
    </row>
    <row r="842" s="2" customFormat="1" ht="55" customHeight="1" spans="1:3">
      <c r="A842" s="5" t="s">
        <v>1666</v>
      </c>
      <c r="B842" s="6"/>
      <c r="C842" s="9" t="str">
        <f>IFERROR(VLOOKUP(VENTAS4[[#This Row],[Code]],STOCK[],5,FALSE),"-")</f>
        <v>Vestido cruzado </v>
      </c>
    </row>
    <row r="843" s="2" customFormat="1" ht="55" customHeight="1" spans="1:3">
      <c r="A843" s="5" t="s">
        <v>1668</v>
      </c>
      <c r="B843" s="6"/>
      <c r="C843" s="9" t="str">
        <f>IFERROR(VLOOKUP(VENTAS4[[#This Row],[Code]],STOCK[],5,FALSE),"-")</f>
        <v>Conjunto Albaricoque</v>
      </c>
    </row>
    <row r="844" s="2" customFormat="1" ht="55" customHeight="1" spans="1:3">
      <c r="A844" s="5" t="s">
        <v>1670</v>
      </c>
      <c r="B844" s="6"/>
      <c r="C844" s="9" t="str">
        <f>IFERROR(VLOOKUP(VENTAS4[[#This Row],[Code]],STOCK[],5,FALSE),"-")</f>
        <v>Conjunto Albaricoque</v>
      </c>
    </row>
    <row r="845" s="2" customFormat="1" ht="55" customHeight="1" spans="1:3">
      <c r="A845" s="5" t="s">
        <v>1671</v>
      </c>
      <c r="B845" s="6"/>
      <c r="C845" s="9" t="str">
        <f>IFERROR(VLOOKUP(VENTAS4[[#This Row],[Code]],STOCK[],5,FALSE),"-")</f>
        <v>Conjunto Beis satinado</v>
      </c>
    </row>
    <row r="846" s="2" customFormat="1" ht="55" customHeight="1" spans="1:3">
      <c r="A846" s="5" t="s">
        <v>1673</v>
      </c>
      <c r="B846" s="6"/>
      <c r="C846" s="9" t="str">
        <f>IFERROR(VLOOKUP(VENTAS4[[#This Row],[Code]],STOCK[],5,FALSE),"-")</f>
        <v>Conjunto Beis</v>
      </c>
    </row>
    <row r="847" s="2" customFormat="1" ht="55" customHeight="1" spans="1:3">
      <c r="A847" s="5" t="s">
        <v>1675</v>
      </c>
      <c r="B847" s="6"/>
      <c r="C847" s="9" t="str">
        <f>IFERROR(VLOOKUP(VENTAS4[[#This Row],[Code]],STOCK[],5,FALSE),"-")</f>
        <v>Botas negras de zíper</v>
      </c>
    </row>
    <row r="848" s="2" customFormat="1" ht="55" customHeight="1" spans="1:3">
      <c r="A848" s="5" t="s">
        <v>1677</v>
      </c>
      <c r="B848" s="6"/>
      <c r="C848" s="9" t="str">
        <f>IFERROR(VLOOKUP(VENTAS4[[#This Row],[Code]],STOCK[],5,FALSE),"-")</f>
        <v>Botas negras de zíper</v>
      </c>
    </row>
    <row r="849" s="2" customFormat="1" ht="55" customHeight="1" spans="1:3">
      <c r="A849" s="5" t="s">
        <v>1679</v>
      </c>
      <c r="B849" s="6"/>
      <c r="C849" s="9" t="str">
        <f>IFERROR(VLOOKUP(VENTAS4[[#This Row],[Code]],STOCK[],5,FALSE),"-")</f>
        <v>Vestido Frenchy</v>
      </c>
    </row>
    <row r="850" s="2" customFormat="1" ht="55" customHeight="1" spans="1:3">
      <c r="A850" s="5" t="s">
        <v>1682</v>
      </c>
      <c r="B850" s="6"/>
      <c r="C850" s="9" t="str">
        <f>IFERROR(VLOOKUP(VENTAS4[[#This Row],[Code]],STOCK[],5,FALSE),"-")</f>
        <v>Vestido de mangas en contraste</v>
      </c>
    </row>
    <row r="851" s="2" customFormat="1" ht="55" customHeight="1" spans="1:3">
      <c r="A851" s="5" t="s">
        <v>1684</v>
      </c>
      <c r="B851" s="6"/>
      <c r="C851" s="9" t="str">
        <f>IFERROR(VLOOKUP(VENTAS4[[#This Row],[Code]],STOCK[],5,FALSE),"-")</f>
        <v>Mono con cinturón</v>
      </c>
    </row>
    <row r="852" s="2" customFormat="1" ht="55" customHeight="1" spans="1:3">
      <c r="A852" s="5" t="s">
        <v>1686</v>
      </c>
      <c r="B852" s="6"/>
      <c r="C852" s="9" t="str">
        <f>IFERROR(VLOOKUP(VENTAS4[[#This Row],[Code]],STOCK[],5,FALSE),"-")</f>
        <v>Mono elegante con mangas de vuelo</v>
      </c>
    </row>
    <row r="853" s="2" customFormat="1" ht="55" customHeight="1" spans="1:3">
      <c r="A853" s="5" t="s">
        <v>1690</v>
      </c>
      <c r="B853" s="6"/>
      <c r="C853" s="9" t="str">
        <f>IFERROR(VLOOKUP(VENTAS4[[#This Row],[Code]],STOCK[],5,FALSE),"-")</f>
        <v>Blusa Lettuche</v>
      </c>
    </row>
    <row r="854" s="2" customFormat="1" ht="55" customHeight="1" spans="1:3">
      <c r="A854" s="5" t="s">
        <v>1692</v>
      </c>
      <c r="B854" s="6"/>
      <c r="C854" s="9" t="str">
        <f>IFERROR(VLOOKUP(VENTAS4[[#This Row],[Code]],STOCK[],5,FALSE),"-")</f>
        <v>Chaleco corto de traje cuadros</v>
      </c>
    </row>
    <row r="855" s="2" customFormat="1" ht="55" customHeight="1" spans="1:3">
      <c r="A855" s="5" t="s">
        <v>1694</v>
      </c>
      <c r="B855" s="6"/>
      <c r="C855" s="9" t="str">
        <f>IFERROR(VLOOKUP(VENTAS4[[#This Row],[Code]],STOCK[],5,FALSE),"-")</f>
        <v>Jean Mom con bajo descosido</v>
      </c>
    </row>
    <row r="856" s="2" customFormat="1" ht="55" customHeight="1" spans="1:3">
      <c r="A856" s="5" t="s">
        <v>1696</v>
      </c>
      <c r="B856" s="6"/>
      <c r="C856" s="9" t="str">
        <f>IFERROR(VLOOKUP(VENTAS4[[#This Row],[Code]],STOCK[],5,FALSE),"-")</f>
        <v>Jean Mom con bajo descosido</v>
      </c>
    </row>
    <row r="857" s="2" customFormat="1" ht="55" customHeight="1" spans="1:3">
      <c r="A857" s="5" t="s">
        <v>1697</v>
      </c>
      <c r="B857" s="6"/>
      <c r="C857" s="9" t="str">
        <f>IFERROR(VLOOKUP(VENTAS4[[#This Row],[Code]],STOCK[],5,FALSE),"-")</f>
        <v>Shorts con rotos y detalle de encajes</v>
      </c>
    </row>
    <row r="858" s="2" customFormat="1" ht="55" customHeight="1" spans="1:3">
      <c r="A858" s="5" t="s">
        <v>1699</v>
      </c>
      <c r="B858" s="6"/>
      <c r="C858" s="9" t="str">
        <f>IFERROR(VLOOKUP(VENTAS4[[#This Row],[Code]],STOCK[],5,FALSE),"-")</f>
        <v>Vestido Frente Drapeado Negro y Blanco</v>
      </c>
    </row>
    <row r="859" s="2" customFormat="1" ht="55" customHeight="1" spans="1:3">
      <c r="A859" s="5" t="s">
        <v>1701</v>
      </c>
      <c r="B859" s="6"/>
      <c r="C859" s="9" t="str">
        <f>IFERROR(VLOOKUP(VENTAS4[[#This Row],[Code]],STOCK[],5,FALSE),"-")</f>
        <v>Vestido Frente Drapeado Negro y Blanco</v>
      </c>
    </row>
    <row r="860" s="2" customFormat="1" ht="55" customHeight="1" spans="1:3">
      <c r="A860" s="5" t="s">
        <v>1702</v>
      </c>
      <c r="B860" s="6"/>
      <c r="C860" s="9" t="str">
        <f>IFERROR(VLOOKUP(VENTAS4[[#This Row],[Code]],STOCK[],5,FALSE),"-")</f>
        <v>Vestido Frente Drapeado Negro y Blanco</v>
      </c>
    </row>
    <row r="861" s="2" customFormat="1" ht="55" customHeight="1" spans="1:3">
      <c r="A861" s="5" t="s">
        <v>1703</v>
      </c>
      <c r="B861" s="6"/>
      <c r="C861" s="9" t="str">
        <f>IFERROR(VLOOKUP(VENTAS4[[#This Row],[Code]],STOCK[],5,FALSE),"-")</f>
        <v>Vestido ajustado con abertura de manga larga</v>
      </c>
    </row>
    <row r="862" s="2" customFormat="1" ht="55" customHeight="1" spans="1:3">
      <c r="A862" s="5" t="s">
        <v>1705</v>
      </c>
      <c r="B862" s="6"/>
      <c r="C862" s="9" t="str">
        <f>IFERROR(VLOOKUP(VENTAS4[[#This Row],[Code]],STOCK[],5,FALSE),"-")</f>
        <v>Vestido ajustado con abertura de manga larga</v>
      </c>
    </row>
    <row r="863" s="2" customFormat="1" ht="55" customHeight="1" spans="1:3">
      <c r="A863" s="5" t="s">
        <v>1706</v>
      </c>
      <c r="B863" s="6"/>
      <c r="C863" s="9" t="str">
        <f>IFERROR(VLOOKUP(VENTAS4[[#This Row],[Code]],STOCK[],5,FALSE),"-")</f>
        <v>Vestido acanalado de manga larga</v>
      </c>
    </row>
    <row r="864" s="2" customFormat="1" ht="55" customHeight="1" spans="1:3">
      <c r="A864" s="5" t="s">
        <v>1709</v>
      </c>
      <c r="B864" s="6"/>
      <c r="C864" s="9" t="str">
        <f>IFERROR(VLOOKUP(VENTAS4[[#This Row],[Code]],STOCK[],5,FALSE),"-")</f>
        <v>Vestido Asimétrico con cuerdas</v>
      </c>
    </row>
    <row r="865" s="2" customFormat="1" ht="55" customHeight="1" spans="1:3">
      <c r="A865" s="5" t="s">
        <v>1712</v>
      </c>
      <c r="B865" s="6"/>
      <c r="C865" s="9" t="str">
        <f>IFERROR(VLOOKUP(VENTAS4[[#This Row],[Code]],STOCK[],5,FALSE),"-")</f>
        <v>Vestido Asimétrico con cuerdas</v>
      </c>
    </row>
    <row r="866" s="2" customFormat="1" ht="55" customHeight="1" spans="1:3">
      <c r="A866" s="5" t="s">
        <v>1713</v>
      </c>
      <c r="B866" s="6"/>
      <c r="C866" s="9" t="str">
        <f>IFERROR(VLOOKUP(VENTAS4[[#This Row],[Code]],STOCK[],5,FALSE),"-")</f>
        <v>Vestido Denim</v>
      </c>
    </row>
    <row r="867" s="2" customFormat="1" ht="55" customHeight="1" spans="1:3">
      <c r="A867" s="5" t="s">
        <v>1716</v>
      </c>
      <c r="B867" s="6"/>
      <c r="C867" s="9" t="str">
        <f>IFERROR(VLOOKUP(VENTAS4[[#This Row],[Code]],STOCK[],5,FALSE),"-")</f>
        <v>Vestido ajustado de puntos </v>
      </c>
    </row>
    <row r="868" s="2" customFormat="1" ht="55" customHeight="1" spans="1:3">
      <c r="A868" s="5" t="s">
        <v>1718</v>
      </c>
      <c r="B868" s="6"/>
      <c r="C868" s="9" t="str">
        <f>IFERROR(VLOOKUP(VENTAS4[[#This Row],[Code]],STOCK[],5,FALSE),"-")</f>
        <v>Vestido de botones y manga abullonada</v>
      </c>
    </row>
    <row r="869" s="2" customFormat="1" ht="55" customHeight="1" spans="1:3">
      <c r="A869" s="5" t="s">
        <v>1720</v>
      </c>
      <c r="B869" s="6"/>
      <c r="C869" s="9" t="str">
        <f>IFERROR(VLOOKUP(VENTAS4[[#This Row],[Code]],STOCK[],5,FALSE),"-")</f>
        <v>Vestido ajustado en rosas</v>
      </c>
    </row>
    <row r="870" s="2" customFormat="1" ht="55" customHeight="1" spans="1:3">
      <c r="A870" s="5" t="s">
        <v>1722</v>
      </c>
      <c r="B870" s="6"/>
      <c r="C870" s="9" t="str">
        <f>IFERROR(VLOOKUP(VENTAS4[[#This Row],[Code]],STOCK[],5,FALSE),"-")</f>
        <v>Vestido negro corte A</v>
      </c>
    </row>
    <row r="871" s="2" customFormat="1" ht="55" customHeight="1" spans="1:3">
      <c r="A871" s="5" t="s">
        <v>1724</v>
      </c>
      <c r="B871" s="6"/>
      <c r="C871" s="9" t="str">
        <f>IFERROR(VLOOKUP(VENTAS4[[#This Row],[Code]],STOCK[],5,FALSE),"-")</f>
        <v>Vestido Terciopelo</v>
      </c>
    </row>
    <row r="872" s="2" customFormat="1" ht="55" customHeight="1" spans="1:3">
      <c r="A872" s="5" t="s">
        <v>1726</v>
      </c>
      <c r="B872" s="6"/>
      <c r="C872" s="9" t="str">
        <f>IFERROR(VLOOKUP(VENTAS4[[#This Row],[Code]],STOCK[],5,FALSE),"-")</f>
        <v>Zapato de punta fina y Tacón Cuadrado</v>
      </c>
    </row>
    <row r="873" s="2" customFormat="1" ht="55" customHeight="1" spans="1:3">
      <c r="A873" s="5" t="s">
        <v>1727</v>
      </c>
      <c r="B873" s="6"/>
      <c r="C873" s="9" t="str">
        <f>IFERROR(VLOOKUP(VENTAS4[[#This Row],[Code]],STOCK[],5,FALSE),"-")</f>
        <v>Chaleco de traje Crema</v>
      </c>
    </row>
    <row r="874" s="2" customFormat="1" ht="55" customHeight="1" spans="1:3">
      <c r="A874" s="5" t="s">
        <v>1731</v>
      </c>
      <c r="B874" s="6"/>
      <c r="C874" s="9" t="str">
        <f>IFERROR(VLOOKUP(VENTAS4[[#This Row],[Code]],STOCK[],5,FALSE),"-")</f>
        <v>Chaleco de traje Crema</v>
      </c>
    </row>
    <row r="875" s="2" customFormat="1" ht="55" customHeight="1" spans="1:3">
      <c r="A875" s="5" t="s">
        <v>1733</v>
      </c>
      <c r="B875" s="6"/>
      <c r="C875" s="9" t="str">
        <f>IFERROR(VLOOKUP(VENTAS4[[#This Row],[Code]],STOCK[],5,FALSE),"-")</f>
        <v>Chaleco de traje Negro</v>
      </c>
    </row>
    <row r="876" s="2" customFormat="1" ht="55" customHeight="1" spans="1:3">
      <c r="A876" s="5" t="s">
        <v>1735</v>
      </c>
      <c r="B876" s="6"/>
      <c r="C876" s="9" t="str">
        <f>IFERROR(VLOOKUP(VENTAS4[[#This Row],[Code]],STOCK[],5,FALSE),"-")</f>
        <v>Chaleco de traje Negro</v>
      </c>
    </row>
    <row r="877" s="2" customFormat="1" ht="55" customHeight="1" spans="1:3">
      <c r="A877" s="5" t="s">
        <v>1736</v>
      </c>
      <c r="B877" s="6"/>
      <c r="C877" s="9" t="str">
        <f>IFERROR(VLOOKUP(VENTAS4[[#This Row],[Code]],STOCK[],5,FALSE),"-")</f>
        <v>Chaleco de traje Blanco</v>
      </c>
    </row>
    <row r="878" s="2" customFormat="1" ht="55" customHeight="1" spans="1:3">
      <c r="A878" s="5" t="s">
        <v>1738</v>
      </c>
      <c r="B878" s="6"/>
      <c r="C878" s="9" t="str">
        <f>IFERROR(VLOOKUP(VENTAS4[[#This Row],[Code]],STOCK[],5,FALSE),"-")</f>
        <v>Chaleco de traje Blanco</v>
      </c>
    </row>
    <row r="879" s="2" customFormat="1" ht="55" customHeight="1" spans="1:3">
      <c r="A879" s="5" t="s">
        <v>1740</v>
      </c>
      <c r="B879" s="6"/>
      <c r="C879" s="9" t="str">
        <f>IFERROR(VLOOKUP(VENTAS4[[#This Row],[Code]],STOCK[],5,FALSE),"-")</f>
        <v>Kimono Dazy Elegante</v>
      </c>
    </row>
    <row r="880" s="2" customFormat="1" ht="55" customHeight="1" spans="1:3">
      <c r="A880" s="5" t="s">
        <v>1743</v>
      </c>
      <c r="B880" s="6"/>
      <c r="C880" s="9" t="str">
        <f>IFERROR(VLOOKUP(VENTAS4[[#This Row],[Code]],STOCK[],5,FALSE),"-")</f>
        <v>Kimono Dazy Elegante</v>
      </c>
    </row>
    <row r="881" s="2" customFormat="1" ht="55" customHeight="1" spans="1:3">
      <c r="A881" s="5" t="s">
        <v>1744</v>
      </c>
      <c r="B881" s="6"/>
      <c r="C881" s="9" t="str">
        <f>IFERROR(VLOOKUP(VENTAS4[[#This Row],[Code]],STOCK[],5,FALSE),"-")</f>
        <v>Traje de baño blanco sexy </v>
      </c>
    </row>
    <row r="882" s="2" customFormat="1" ht="55" customHeight="1" spans="1:3">
      <c r="A882" s="5" t="s">
        <v>1746</v>
      </c>
      <c r="B882" s="6"/>
      <c r="C882" s="9" t="str">
        <f>IFERROR(VLOOKUP(VENTAS4[[#This Row],[Code]],STOCK[],5,FALSE),"-")</f>
        <v>Traje de baño Oliva</v>
      </c>
    </row>
    <row r="883" s="2" customFormat="1" ht="55" customHeight="1" spans="1:3">
      <c r="A883" s="5" t="s">
        <v>1748</v>
      </c>
      <c r="B883" s="6"/>
      <c r="C883" s="9" t="str">
        <f>IFERROR(VLOOKUP(VENTAS4[[#This Row],[Code]],STOCK[],5,FALSE),"-")</f>
        <v>Traje de baño de mangas estampadas</v>
      </c>
    </row>
    <row r="884" s="2" customFormat="1" ht="55" customHeight="1" spans="1:3">
      <c r="A884" s="5" t="s">
        <v>1752</v>
      </c>
      <c r="B884" s="6"/>
      <c r="C884" s="9" t="str">
        <f>IFERROR(VLOOKUP(VENTAS4[[#This Row],[Code]],STOCK[],5,FALSE),"-")</f>
        <v>Kimono Dazy Elegante</v>
      </c>
    </row>
    <row r="885" s="2" customFormat="1" ht="55" customHeight="1" spans="1:3">
      <c r="A885" s="5" t="s">
        <v>1754</v>
      </c>
      <c r="B885" s="6"/>
      <c r="C885" s="9" t="str">
        <f>IFERROR(VLOOKUP(VENTAS4[[#This Row],[Code]],STOCK[],5,FALSE),"-")</f>
        <v>Zapatillas blanco casual</v>
      </c>
    </row>
    <row r="886" s="2" customFormat="1" ht="55" customHeight="1" spans="1:3">
      <c r="A886" s="5" t="s">
        <v>1757</v>
      </c>
      <c r="B886" s="6"/>
      <c r="C886" s="9" t="str">
        <f>IFERROR(VLOOKUP(VENTAS4[[#This Row],[Code]],STOCK[],5,FALSE),"-")</f>
        <v>Zapatillas blanco casual</v>
      </c>
    </row>
    <row r="887" s="2" customFormat="1" ht="55" customHeight="1" spans="1:3">
      <c r="A887" s="5" t="s">
        <v>1759</v>
      </c>
      <c r="B887" s="6"/>
      <c r="C887" s="9" t="str">
        <f>IFERROR(VLOOKUP(VENTAS4[[#This Row],[Code]],STOCK[],5,FALSE),"-")</f>
        <v>Zapatillas blanco casual</v>
      </c>
    </row>
    <row r="888" s="2" customFormat="1" ht="55" customHeight="1" spans="1:3">
      <c r="A888" s="5" t="s">
        <v>1760</v>
      </c>
      <c r="B888" s="6"/>
      <c r="C888" s="9" t="str">
        <f>IFERROR(VLOOKUP(VENTAS4[[#This Row],[Code]],STOCK[],5,FALSE),"-")</f>
        <v>Zapatillas blanco casual</v>
      </c>
    </row>
    <row r="889" s="2" customFormat="1" ht="55" customHeight="1" spans="1:3">
      <c r="A889" s="5" t="s">
        <v>1761</v>
      </c>
      <c r="B889" s="6"/>
      <c r="C889" s="9" t="str">
        <f>IFERROR(VLOOKUP(VENTAS4[[#This Row],[Code]],STOCK[],5,FALSE),"-")</f>
        <v>Calcetines al tobillo beige</v>
      </c>
    </row>
    <row r="890" s="2" customFormat="1" ht="55" customHeight="1" spans="1:3">
      <c r="A890" s="5" t="s">
        <v>1764</v>
      </c>
      <c r="B890" s="6"/>
      <c r="C890" s="9" t="str">
        <f>IFERROR(VLOOKUP(VENTAS4[[#This Row],[Code]],STOCK[],5,FALSE),"-")</f>
        <v>Calcetines al tobillo negro</v>
      </c>
    </row>
    <row r="891" s="2" customFormat="1" ht="55" customHeight="1" spans="1:3">
      <c r="A891" s="5" t="s">
        <v>1766</v>
      </c>
      <c r="B891" s="6"/>
      <c r="C891" s="9" t="str">
        <f>IFERROR(VLOOKUP(VENTAS4[[#This Row],[Code]],STOCK[],5,FALSE),"-")</f>
        <v>Calcetines bajos</v>
      </c>
    </row>
    <row r="892" s="2" customFormat="1" ht="55" customHeight="1" spans="1:3">
      <c r="A892" s="5" t="s">
        <v>1769</v>
      </c>
      <c r="B892" s="6"/>
      <c r="C892" s="9" t="str">
        <f>IFERROR(VLOOKUP(VENTAS4[[#This Row],[Code]],STOCK[],5,FALSE),"-")</f>
        <v>Kimono Dazy Elegante</v>
      </c>
    </row>
    <row r="893" s="2" customFormat="1" ht="55" customHeight="1" spans="1:3">
      <c r="A893" s="5" t="s">
        <v>1771</v>
      </c>
      <c r="B893" s="6"/>
      <c r="C893" s="9" t="str">
        <f>IFERROR(VLOOKUP(VENTAS4[[#This Row],[Code]],STOCK[],5,FALSE),"-")</f>
        <v>Bikini negro sexy pequeño</v>
      </c>
    </row>
    <row r="894" s="2" customFormat="1" ht="55" customHeight="1" spans="1:3">
      <c r="A894" s="5" t="s">
        <v>1773</v>
      </c>
      <c r="B894" s="6"/>
      <c r="C894" s="9" t="str">
        <f>IFERROR(VLOOKUP(VENTAS4[[#This Row],[Code]],STOCK[],5,FALSE),"-")</f>
        <v>Bikini negro sexy pequeño</v>
      </c>
    </row>
    <row r="895" s="2" customFormat="1" ht="55" customHeight="1" spans="1:3">
      <c r="A895" s="5" t="s">
        <v>1774</v>
      </c>
      <c r="B895" s="6"/>
      <c r="C895" s="9" t="str">
        <f>IFERROR(VLOOKUP(VENTAS4[[#This Row],[Code]],STOCK[],5,FALSE),"-")</f>
        <v>Bikini negro sexy pequeño</v>
      </c>
    </row>
    <row r="896" s="2" customFormat="1" ht="55" customHeight="1" spans="1:3">
      <c r="A896" s="5" t="s">
        <v>1775</v>
      </c>
      <c r="B896" s="6"/>
      <c r="C896" s="9" t="str">
        <f>IFERROR(VLOOKUP(VENTAS4[[#This Row],[Code]],STOCK[],5,FALSE),"-")</f>
        <v>Conjunto de bikini</v>
      </c>
    </row>
    <row r="897" s="2" customFormat="1" ht="55" customHeight="1" spans="1:3">
      <c r="A897" s="5" t="s">
        <v>1777</v>
      </c>
      <c r="B897" s="6"/>
      <c r="C897" s="9" t="str">
        <f>IFERROR(VLOOKUP(VENTAS4[[#This Row],[Code]],STOCK[],5,FALSE),"-")</f>
        <v>Conjunto de bikini moca</v>
      </c>
    </row>
    <row r="898" s="2" customFormat="1" ht="55" customHeight="1" spans="1:3">
      <c r="A898" s="5" t="s">
        <v>1779</v>
      </c>
      <c r="B898" s="6"/>
      <c r="C898" s="9" t="str">
        <f>IFERROR(VLOOKUP(VENTAS4[[#This Row],[Code]],STOCK[],5,FALSE),"-")</f>
        <v>Conjunto de bikini moca</v>
      </c>
    </row>
    <row r="899" s="2" customFormat="1" ht="55" customHeight="1" spans="1:3">
      <c r="A899" s="5" t="s">
        <v>1780</v>
      </c>
      <c r="B899" s="6"/>
      <c r="C899" s="9" t="str">
        <f>IFERROR(VLOOKUP(VENTAS4[[#This Row],[Code]],STOCK[],5,FALSE),"-")</f>
        <v>Cinturón de hebilla redonda</v>
      </c>
    </row>
    <row r="900" s="2" customFormat="1" ht="55" customHeight="1" spans="1:3">
      <c r="A900" s="5" t="s">
        <v>1783</v>
      </c>
      <c r="B900" s="6"/>
      <c r="C900" s="9" t="str">
        <f>IFERROR(VLOOKUP(VENTAS4[[#This Row],[Code]],STOCK[],5,FALSE),"-")</f>
        <v>Traje de baño blanco sexy </v>
      </c>
    </row>
    <row r="901" s="2" customFormat="1" ht="55" customHeight="1" spans="1:3">
      <c r="A901" s="5" t="s">
        <v>1784</v>
      </c>
      <c r="B901" s="6"/>
      <c r="C901" s="9" t="str">
        <f>IFERROR(VLOOKUP(VENTAS4[[#This Row],[Code]],STOCK[],5,FALSE),"-")</f>
        <v>Traje de baño blanco sexy</v>
      </c>
    </row>
    <row r="902" s="2" customFormat="1" ht="55" customHeight="1" spans="1:3">
      <c r="A902" s="5" t="s">
        <v>1786</v>
      </c>
      <c r="B902" s="6"/>
      <c r="C902" s="9" t="str">
        <f>IFERROR(VLOOKUP(VENTAS4[[#This Row],[Code]],STOCK[],5,FALSE),"-")</f>
        <v>Cinturón básico grueso Negro</v>
      </c>
    </row>
    <row r="903" s="2" customFormat="1" ht="55" customHeight="1" spans="1:3">
      <c r="A903" s="5" t="s">
        <v>1790</v>
      </c>
      <c r="B903" s="6"/>
      <c r="C903" s="9" t="str">
        <f>IFERROR(VLOOKUP(VENTAS4[[#This Row],[Code]],STOCK[],5,FALSE),"-")</f>
        <v>Cinturón básico grueso Camel</v>
      </c>
    </row>
    <row r="904" s="2" customFormat="1" ht="55" customHeight="1" spans="1:3">
      <c r="A904" s="11" t="s">
        <v>1792</v>
      </c>
      <c r="B904" s="12"/>
      <c r="C904" s="9" t="str">
        <f>IFERROR(VLOOKUP(VENTAS4[[#This Row],[Code]],STOCK[],5,FALSE),"-")</f>
        <v>Horquillas en forma de lazo</v>
      </c>
    </row>
    <row r="905" s="2" customFormat="1" ht="55" customHeight="1" spans="1:3">
      <c r="A905" s="5" t="s">
        <v>1796</v>
      </c>
      <c r="B905" s="6"/>
      <c r="C905" s="9" t="str">
        <f>IFERROR(VLOOKUP(VENTAS4[[#This Row],[Code]],STOCK[],5,FALSE),"-")</f>
        <v>Horquillas en forma de lazo</v>
      </c>
    </row>
    <row r="906" s="2" customFormat="1" ht="55" customHeight="1" spans="1:3">
      <c r="A906" s="5" t="s">
        <v>1798</v>
      </c>
      <c r="B906" s="6"/>
      <c r="C906" s="9" t="str">
        <f>IFERROR(VLOOKUP(VENTAS4[[#This Row],[Code]],STOCK[],5,FALSE),"-")</f>
        <v>Horquillas en forma de lazo</v>
      </c>
    </row>
    <row r="907" s="2" customFormat="1" ht="55" customHeight="1" spans="1:3">
      <c r="A907" s="5" t="s">
        <v>1800</v>
      </c>
      <c r="B907" s="6"/>
      <c r="C907" s="9" t="str">
        <f>IFERROR(VLOOKUP(VENTAS4[[#This Row],[Code]],STOCK[],5,FALSE),"-")</f>
        <v>Camisa blanca estampado de ave</v>
      </c>
    </row>
    <row r="908" s="2" customFormat="1" ht="55" customHeight="1" spans="1:3">
      <c r="A908" s="5" t="s">
        <v>1601</v>
      </c>
      <c r="B908" s="6"/>
      <c r="C908" s="9" t="str">
        <f>IFERROR(VLOOKUP(VENTAS4[[#This Row],[Code]],STOCK[],5,FALSE),"-")</f>
        <v>Sandalias minimalistas de tacón</v>
      </c>
    </row>
    <row r="909" s="2" customFormat="1" ht="55" customHeight="1" spans="1:3">
      <c r="A909" s="11" t="s">
        <v>1805</v>
      </c>
      <c r="B909" s="13"/>
      <c r="C909" s="9" t="str">
        <f>IFERROR(VLOOKUP(VENTAS4[[#This Row],[Code]],STOCK[],5,FALSE),"-")</f>
        <v>Pasador de cabello en forma de lazo</v>
      </c>
    </row>
    <row r="910" s="2" customFormat="1" ht="55" customHeight="1" spans="1:3">
      <c r="A910" s="5" t="s">
        <v>1808</v>
      </c>
      <c r="B910" s="6"/>
      <c r="C910" s="9" t="str">
        <f>IFERROR(VLOOKUP(VENTAS4[[#This Row],[Code]],STOCK[],5,FALSE),"-")</f>
        <v>Lazo para coletas</v>
      </c>
    </row>
    <row r="911" s="2" customFormat="1" ht="55" customHeight="1" spans="1:3">
      <c r="A911" s="5" t="s">
        <v>1811</v>
      </c>
      <c r="B911" s="6"/>
      <c r="C911" s="9" t="str">
        <f>IFERROR(VLOOKUP(VENTAS4[[#This Row],[Code]],STOCK[],5,FALSE),"-")</f>
        <v>Vestido chaleco blazer </v>
      </c>
    </row>
    <row r="912" s="2" customFormat="1" ht="55" customHeight="1" spans="1:3">
      <c r="A912" s="5" t="s">
        <v>1813</v>
      </c>
      <c r="B912" s="6"/>
      <c r="C912" s="9" t="str">
        <f>IFERROR(VLOOKUP(VENTAS4[[#This Row],[Code]],STOCK[],5,FALSE),"-")</f>
        <v>Cinto ancho de hebilla dorada</v>
      </c>
    </row>
    <row r="913" s="2" customFormat="1" ht="55" customHeight="1" spans="1:3">
      <c r="A913" s="5" t="s">
        <v>1816</v>
      </c>
      <c r="B913" s="6"/>
      <c r="C913" s="9" t="str">
        <f>IFERROR(VLOOKUP(VENTAS4[[#This Row],[Code]],STOCK[],5,FALSE),"-")</f>
        <v>Vestido Midi Elegante</v>
      </c>
    </row>
    <row r="914" s="2" customFormat="1" ht="55" customHeight="1" spans="1:3">
      <c r="A914" s="5" t="s">
        <v>1821</v>
      </c>
      <c r="B914" s="6"/>
      <c r="C914" s="9" t="str">
        <f>IFERROR(VLOOKUP(VENTAS4[[#This Row],[Code]],STOCK[],5,FALSE),"-")</f>
        <v>Vestido Midi Elegante</v>
      </c>
    </row>
    <row r="915" s="2" customFormat="1" ht="55" customHeight="1" spans="1:3">
      <c r="A915" s="5" t="s">
        <v>1823</v>
      </c>
      <c r="B915" s="6"/>
      <c r="C915" s="9" t="str">
        <f>IFERROR(VLOOKUP(VENTAS4[[#This Row],[Code]],STOCK[],5,FALSE),"-")</f>
        <v>Vestido Midi Elegante</v>
      </c>
    </row>
    <row r="916" s="2" customFormat="1" ht="55" customHeight="1" spans="1:3">
      <c r="A916" s="5" t="s">
        <v>1825</v>
      </c>
      <c r="B916" s="6"/>
      <c r="C916" s="9" t="str">
        <f>IFERROR(VLOOKUP(VENTAS4[[#This Row],[Code]],STOCK[],5,FALSE),"-")</f>
        <v>Bolso Crossbody en detalle de cocodrilo</v>
      </c>
    </row>
    <row r="917" s="2" customFormat="1" ht="55" customHeight="1" spans="1:3">
      <c r="A917" s="5" t="s">
        <v>1827</v>
      </c>
      <c r="B917" s="6"/>
      <c r="C917" s="9" t="str">
        <f>IFERROR(VLOOKUP(VENTAS4[[#This Row],[Code]],STOCK[],5,FALSE),"-")</f>
        <v>Pantalón Palazzo </v>
      </c>
    </row>
    <row r="918" s="2" customFormat="1" ht="55" customHeight="1" spans="1:3">
      <c r="A918" s="5" t="s">
        <v>1830</v>
      </c>
      <c r="B918" s="6"/>
      <c r="C918" s="9" t="str">
        <f>IFERROR(VLOOKUP(VENTAS4[[#This Row],[Code]],STOCK[],5,FALSE),"-")</f>
        <v>Pantalón en piel </v>
      </c>
    </row>
    <row r="919" s="2" customFormat="1" ht="55" customHeight="1" spans="1:3">
      <c r="A919" s="5" t="s">
        <v>1832</v>
      </c>
      <c r="B919" s="6"/>
      <c r="C919" s="9" t="str">
        <f>IFERROR(VLOOKUP(VENTAS4[[#This Row],[Code]],STOCK[],5,FALSE),"-")</f>
        <v>Pantalón en piel </v>
      </c>
    </row>
    <row r="920" s="2" customFormat="1" ht="55" customHeight="1" spans="1:3">
      <c r="A920" s="5" t="s">
        <v>1833</v>
      </c>
      <c r="B920" s="6"/>
      <c r="C920" s="9" t="str">
        <f>IFERROR(VLOOKUP(VENTAS4[[#This Row],[Code]],STOCK[],5,FALSE),"-")</f>
        <v>Curvy Skinny Jeans</v>
      </c>
    </row>
    <row r="921" s="2" customFormat="1" ht="55" customHeight="1" spans="1:3">
      <c r="A921" s="5" t="s">
        <v>1836</v>
      </c>
      <c r="B921" s="6"/>
      <c r="C921" s="9" t="str">
        <f>IFERROR(VLOOKUP(VENTAS4[[#This Row],[Code]],STOCK[],5,FALSE),"-")</f>
        <v>Maxi Vestido Bodycon </v>
      </c>
    </row>
    <row r="922" s="2" customFormat="1" ht="55" customHeight="1" spans="1:3">
      <c r="A922" s="5" t="s">
        <v>1839</v>
      </c>
      <c r="B922" s="6"/>
      <c r="C922" s="9" t="str">
        <f>IFERROR(VLOOKUP(VENTAS4[[#This Row],[Code]],STOCK[],5,FALSE),"-")</f>
        <v>Maxi Vestido Bodycon </v>
      </c>
    </row>
    <row r="923" s="2" customFormat="1" ht="55" customHeight="1" spans="1:3">
      <c r="A923" s="5" t="s">
        <v>1841</v>
      </c>
      <c r="B923" s="6"/>
      <c r="C923" s="9" t="str">
        <f>IFERROR(VLOOKUP(VENTAS4[[#This Row],[Code]],STOCK[],5,FALSE),"-")</f>
        <v>Maxi Vestido Bodycon </v>
      </c>
    </row>
    <row r="924" s="2" customFormat="1" ht="55" customHeight="1" spans="1:3">
      <c r="A924" s="5" t="s">
        <v>1843</v>
      </c>
      <c r="B924" s="6"/>
      <c r="C924" s="9" t="str">
        <f>IFERROR(VLOOKUP(VENTAS4[[#This Row],[Code]],STOCK[],5,FALSE),"-")</f>
        <v>Vestido Midi de espalda oblicua</v>
      </c>
    </row>
    <row r="925" s="2" customFormat="1" ht="55" customHeight="1" spans="1:3">
      <c r="A925" s="5" t="s">
        <v>1845</v>
      </c>
      <c r="B925" s="6"/>
      <c r="C925" s="9" t="str">
        <f>IFERROR(VLOOKUP(VENTAS4[[#This Row],[Code]],STOCK[],5,FALSE),"-")</f>
        <v>Crossbody Bag con hebilla</v>
      </c>
    </row>
    <row r="926" s="2" customFormat="1" ht="55" customHeight="1" spans="1:3">
      <c r="A926" s="5" t="s">
        <v>1847</v>
      </c>
      <c r="B926" s="6"/>
      <c r="C926" s="9" t="str">
        <f>IFERROR(VLOOKUP(VENTAS4[[#This Row],[Code]],STOCK[],5,FALSE),"-")</f>
        <v>Crossbody Bag </v>
      </c>
    </row>
    <row r="927" s="2" customFormat="1" ht="55" customHeight="1" spans="1:3">
      <c r="A927" s="5" t="s">
        <v>1849</v>
      </c>
      <c r="B927" s="6"/>
      <c r="C927" s="9" t="str">
        <f>IFERROR(VLOOKUP(VENTAS4[[#This Row],[Code]],STOCK[],5,FALSE),"-")</f>
        <v>Mochila de lana sintética</v>
      </c>
    </row>
    <row r="928" s="2" customFormat="1" ht="55" customHeight="1" spans="1:3">
      <c r="A928" s="5" t="s">
        <v>1851</v>
      </c>
      <c r="B928" s="6"/>
      <c r="C928" s="9" t="str">
        <f>IFERROR(VLOOKUP(VENTAS4[[#This Row],[Code]],STOCK[],5,FALSE),"-")</f>
        <v>Crossbody Bag Negro Lacado</v>
      </c>
    </row>
    <row r="929" s="2" customFormat="1" ht="55" customHeight="1" spans="1:3">
      <c r="A929" s="5" t="s">
        <v>1854</v>
      </c>
      <c r="B929" s="6"/>
      <c r="C929" s="9" t="str">
        <f>IFERROR(VLOOKUP(VENTAS4[[#This Row],[Code]],STOCK[],5,FALSE),"-")</f>
        <v>Crossbody Bag Blanco Lacado</v>
      </c>
    </row>
    <row r="930" s="2" customFormat="1" ht="55" customHeight="1" spans="1:3">
      <c r="A930" s="5" t="s">
        <v>1856</v>
      </c>
      <c r="B930" s="6"/>
      <c r="C930" s="9" t="str">
        <f>IFERROR(VLOOKUP(VENTAS4[[#This Row],[Code]],STOCK[],5,FALSE),"-")</f>
        <v>Crossbody Bag Guateado</v>
      </c>
    </row>
    <row r="931" s="2" customFormat="1" ht="55" customHeight="1" spans="1:3">
      <c r="A931" s="5" t="s">
        <v>1858</v>
      </c>
      <c r="B931" s="6"/>
      <c r="C931" s="9" t="str">
        <f>IFERROR(VLOOKUP(VENTAS4[[#This Row],[Code]],STOCK[],5,FALSE),"-")</f>
        <v>Bolso Baguette Rojo</v>
      </c>
    </row>
    <row r="932" s="2" customFormat="1" ht="55" customHeight="1" spans="1:3">
      <c r="A932" s="5" t="s">
        <v>1860</v>
      </c>
      <c r="B932" s="6"/>
      <c r="C932" s="9" t="str">
        <f>IFERROR(VLOOKUP(VENTAS4[[#This Row],[Code]],STOCK[],5,FALSE),"-")</f>
        <v>Bolso Baguette Negro</v>
      </c>
    </row>
    <row r="933" s="2" customFormat="1" ht="55" customHeight="1" spans="1:3">
      <c r="A933" s="5" t="s">
        <v>1862</v>
      </c>
      <c r="B933" s="6"/>
      <c r="C933" s="9" t="str">
        <f>IFERROR(VLOOKUP(VENTAS4[[#This Row],[Code]],STOCK[],5,FALSE),"-")</f>
        <v>Crossbody bag Denim</v>
      </c>
    </row>
    <row r="934" s="2" customFormat="1" ht="55" customHeight="1" spans="1:3">
      <c r="A934" s="5" t="s">
        <v>1864</v>
      </c>
      <c r="B934" s="6"/>
      <c r="C934" s="9" t="str">
        <f>IFERROR(VLOOKUP(VENTAS4[[#This Row],[Code]],STOCK[],5,FALSE),"-")</f>
        <v>Blazer entallado</v>
      </c>
    </row>
    <row r="935" s="2" customFormat="1" ht="55" customHeight="1" spans="1:3">
      <c r="A935" s="5" t="s">
        <v>1867</v>
      </c>
      <c r="B935" s="6"/>
      <c r="C935" s="9" t="str">
        <f>IFERROR(VLOOKUP(VENTAS4[[#This Row],[Code]],STOCK[],5,FALSE),"-")</f>
        <v>Blazer entallado</v>
      </c>
    </row>
    <row r="936" s="2" customFormat="1" ht="55" customHeight="1" spans="1:3">
      <c r="A936" s="5" t="s">
        <v>1869</v>
      </c>
      <c r="B936" s="6"/>
      <c r="C936" s="9" t="str">
        <f>IFERROR(VLOOKUP(VENTAS4[[#This Row],[Code]],STOCK[],5,FALSE),"-")</f>
        <v>Blazer entallado</v>
      </c>
    </row>
    <row r="937" s="2" customFormat="1" ht="55" customHeight="1" spans="1:3">
      <c r="A937" s="5" t="s">
        <v>1871</v>
      </c>
      <c r="B937" s="6"/>
      <c r="C937" s="9" t="str">
        <f>IFERROR(VLOOKUP(VENTAS4[[#This Row],[Code]],STOCK[],5,FALSE),"-")</f>
        <v>Blazer entallado</v>
      </c>
    </row>
    <row r="938" s="2" customFormat="1" ht="55" customHeight="1" spans="1:3">
      <c r="A938" s="5" t="s">
        <v>1872</v>
      </c>
      <c r="B938" s="6"/>
      <c r="C938" s="9" t="str">
        <f>IFERROR(VLOOKUP(VENTAS4[[#This Row],[Code]],STOCK[],5,FALSE),"-")</f>
        <v>Vestido Chic Primavera</v>
      </c>
    </row>
    <row r="939" s="2" customFormat="1" ht="55" customHeight="1" spans="1:3">
      <c r="A939" s="5" t="s">
        <v>1876</v>
      </c>
      <c r="B939" s="6"/>
      <c r="C939" s="9" t="str">
        <f>IFERROR(VLOOKUP(VENTAS4[[#This Row],[Code]],STOCK[],5,FALSE),"-")</f>
        <v>Vestido Chic Primavera</v>
      </c>
    </row>
    <row r="940" s="2" customFormat="1" ht="55" customHeight="1" spans="1:3">
      <c r="A940" s="5" t="s">
        <v>1877</v>
      </c>
      <c r="B940" s="6"/>
      <c r="C940" s="9" t="str">
        <f>IFERROR(VLOOKUP(VENTAS4[[#This Row],[Code]],STOCK[],5,FALSE),"-")</f>
        <v>Vestido Chic Primavera</v>
      </c>
    </row>
    <row r="941" s="2" customFormat="1" ht="55" customHeight="1" spans="1:3">
      <c r="A941" s="5" t="s">
        <v>1878</v>
      </c>
      <c r="B941" s="6"/>
      <c r="C941" s="9" t="str">
        <f>IFERROR(VLOOKUP(VENTAS4[[#This Row],[Code]],STOCK[],5,FALSE),"-")</f>
        <v>Bolso Vintage Marrón</v>
      </c>
    </row>
    <row r="942" s="2" customFormat="1" ht="55" customHeight="1" spans="1:3">
      <c r="A942" s="5" t="s">
        <v>1882</v>
      </c>
      <c r="B942" s="6"/>
      <c r="C942" s="9" t="str">
        <f>IFERROR(VLOOKUP(VENTAS4[[#This Row],[Code]],STOCK[],5,FALSE),"-")</f>
        <v>Bolso Vintage Negro</v>
      </c>
    </row>
    <row r="943" s="2" customFormat="1" ht="55" customHeight="1" spans="1:3">
      <c r="A943" s="5" t="s">
        <v>1884</v>
      </c>
      <c r="B943" s="6"/>
      <c r="C943" s="9" t="str">
        <f>IFERROR(VLOOKUP(VENTAS4[[#This Row],[Code]],STOCK[],5,FALSE),"-")</f>
        <v>Vestido Camisero de Rayas</v>
      </c>
    </row>
    <row r="944" s="2" customFormat="1" ht="55" customHeight="1" spans="1:3">
      <c r="A944" s="5" t="s">
        <v>1887</v>
      </c>
      <c r="B944" s="6"/>
      <c r="C944" s="9" t="str">
        <f>IFERROR(VLOOKUP(VENTAS4[[#This Row],[Code]],STOCK[],5,FALSE),"-")</f>
        <v>Vestido Camisero de Bolas</v>
      </c>
    </row>
    <row r="945" s="2" customFormat="1" ht="55" customHeight="1" spans="1:3">
      <c r="A945" s="5" t="s">
        <v>1889</v>
      </c>
      <c r="B945" s="6"/>
      <c r="C945" s="9" t="str">
        <f>IFERROR(VLOOKUP(VENTAS4[[#This Row],[Code]],STOCK[],5,FALSE),"-")</f>
        <v>Bolso estampado de Lona</v>
      </c>
    </row>
    <row r="946" s="2" customFormat="1" ht="55" customHeight="1" spans="1:3">
      <c r="A946" s="5" t="s">
        <v>1892</v>
      </c>
      <c r="B946" s="6"/>
      <c r="C946" s="9" t="str">
        <f>IFERROR(VLOOKUP(VENTAS4[[#This Row],[Code]],STOCK[],5,FALSE),"-")</f>
        <v>Set de bolso minimalista negro</v>
      </c>
    </row>
    <row r="947" s="2" customFormat="1" ht="55" customHeight="1" spans="1:3">
      <c r="A947" s="5" t="s">
        <v>1894</v>
      </c>
      <c r="B947" s="6"/>
      <c r="C947" s="9" t="str">
        <f>IFERROR(VLOOKUP(VENTAS4[[#This Row],[Code]],STOCK[],5,FALSE),"-")</f>
        <v>Set de bolso minimalista amarillo</v>
      </c>
    </row>
    <row r="948" s="2" customFormat="1" ht="55" customHeight="1" spans="1:3">
      <c r="A948" s="5" t="s">
        <v>1896</v>
      </c>
      <c r="B948" s="6"/>
      <c r="C948" s="9" t="str">
        <f>IFERROR(VLOOKUP(VENTAS4[[#This Row],[Code]],STOCK[],5,FALSE),"-")</f>
        <v>Bolso mochila estampado</v>
      </c>
    </row>
    <row r="949" s="2" customFormat="1" ht="55" customHeight="1" spans="1:3">
      <c r="A949" s="5" t="s">
        <v>1898</v>
      </c>
      <c r="B949" s="6"/>
      <c r="C949" s="9" t="str">
        <f>IFERROR(VLOOKUP(VENTAS4[[#This Row],[Code]],STOCK[],5,FALSE),"-")</f>
        <v>Bolso mochila Rojo</v>
      </c>
    </row>
    <row r="950" s="2" customFormat="1" ht="55" customHeight="1" spans="1:3">
      <c r="A950" s="5" t="s">
        <v>1900</v>
      </c>
      <c r="B950" s="6"/>
      <c r="C950" s="9" t="str">
        <f>IFERROR(VLOOKUP(VENTAS4[[#This Row],[Code]],STOCK[],5,FALSE),"-")</f>
        <v>Blusa estampada de Lunares</v>
      </c>
    </row>
    <row r="951" s="2" customFormat="1" ht="55" customHeight="1" spans="1:3">
      <c r="A951" s="5" t="s">
        <v>1903</v>
      </c>
      <c r="B951" s="6"/>
      <c r="C951" s="9" t="str">
        <f>IFERROR(VLOOKUP(VENTAS4[[#This Row],[Code]],STOCK[],5,FALSE),"-")</f>
        <v>Blusa estampada de Lunares</v>
      </c>
    </row>
    <row r="952" s="2" customFormat="1" ht="55" customHeight="1" spans="1:3">
      <c r="A952" s="5" t="s">
        <v>1904</v>
      </c>
      <c r="B952" s="6"/>
      <c r="C952" s="9" t="str">
        <f>IFERROR(VLOOKUP(VENTAS4[[#This Row],[Code]],STOCK[],5,FALSE),"-")</f>
        <v>Blusa estampada de Lunares</v>
      </c>
    </row>
    <row r="953" s="2" customFormat="1" ht="55" customHeight="1" spans="1:3">
      <c r="A953" s="5" t="s">
        <v>1905</v>
      </c>
      <c r="B953" s="6"/>
      <c r="C953" s="9" t="str">
        <f>IFERROR(VLOOKUP(VENTAS4[[#This Row],[Code]],STOCK[],5,FALSE),"-")</f>
        <v>Crossbody Cromado</v>
      </c>
    </row>
    <row r="954" s="2" customFormat="1" ht="55" customHeight="1" spans="1:3">
      <c r="A954" s="5" t="s">
        <v>1907</v>
      </c>
      <c r="B954" s="6"/>
      <c r="C954" s="9" t="str">
        <f>IFERROR(VLOOKUP(VENTAS4[[#This Row],[Code]],STOCK[],5,FALSE),"-")</f>
        <v>Gafas de Sol Retro Blanco</v>
      </c>
    </row>
    <row r="955" s="2" customFormat="1" ht="55" customHeight="1" spans="1:3">
      <c r="A955" s="5" t="s">
        <v>1911</v>
      </c>
      <c r="B955" s="6"/>
      <c r="C955" s="9" t="str">
        <f>IFERROR(VLOOKUP(VENTAS4[[#This Row],[Code]],STOCK[],5,FALSE),"-")</f>
        <v>Gafas de Sol Retro Carey</v>
      </c>
    </row>
    <row r="956" s="2" customFormat="1" ht="55" customHeight="1" spans="1:3">
      <c r="A956" s="5" t="s">
        <v>1913</v>
      </c>
      <c r="B956" s="6"/>
      <c r="C956" s="9" t="str">
        <f>IFERROR(VLOOKUP(VENTAS4[[#This Row],[Code]],STOCK[],5,FALSE),"-")</f>
        <v>Gafas de Sol Retro Negro</v>
      </c>
    </row>
    <row r="957" s="2" customFormat="1" ht="55" customHeight="1" spans="1:3">
      <c r="A957" s="5" t="s">
        <v>1915</v>
      </c>
      <c r="B957" s="6"/>
      <c r="C957" s="9" t="str">
        <f>IFERROR(VLOOKUP(VENTAS4[[#This Row],[Code]],STOCK[],5,FALSE),"-")</f>
        <v>Vestido Fresco Verano</v>
      </c>
    </row>
    <row r="958" s="2" customFormat="1" ht="55" customHeight="1" spans="1:3">
      <c r="A958" s="5" t="s">
        <v>1920</v>
      </c>
      <c r="B958" s="6"/>
      <c r="C958" s="9" t="str">
        <f>IFERROR(VLOOKUP(VENTAS4[[#This Row],[Code]],STOCK[],5,FALSE),"-")</f>
        <v>Vestido Fresco Verano</v>
      </c>
    </row>
    <row r="959" s="2" customFormat="1" ht="55" customHeight="1" spans="1:3">
      <c r="A959" s="5" t="s">
        <v>1923</v>
      </c>
      <c r="B959" s="6"/>
      <c r="C959" s="9" t="str">
        <f>IFERROR(VLOOKUP(VENTAS4[[#This Row],[Code]],STOCK[],5,FALSE),"-")</f>
        <v>Vestido Fresco Verano en Bloque de Color</v>
      </c>
    </row>
    <row r="960" s="2" customFormat="1" ht="55" customHeight="1" spans="1:3">
      <c r="A960" s="5" t="s">
        <v>1925</v>
      </c>
      <c r="B960" s="6"/>
      <c r="C960" s="9" t="str">
        <f>IFERROR(VLOOKUP(VENTAS4[[#This Row],[Code]],STOCK[],5,FALSE),"-")</f>
        <v>Sujetador Invisible Suave sin tirantes</v>
      </c>
    </row>
    <row r="961" s="2" customFormat="1" ht="55" customHeight="1" spans="1:3">
      <c r="A961" s="5" t="s">
        <v>1929</v>
      </c>
      <c r="B961" s="6"/>
      <c r="C961" s="9" t="str">
        <f>IFERROR(VLOOKUP(VENTAS4[[#This Row],[Code]],STOCK[],5,FALSE),"-")</f>
        <v>Sujetador Invisible Suave sin tirantes</v>
      </c>
    </row>
    <row r="962" s="2" customFormat="1" ht="55" customHeight="1" spans="1:3">
      <c r="A962" s="5" t="s">
        <v>1931</v>
      </c>
      <c r="B962" s="6"/>
      <c r="C962" s="9" t="str">
        <f>IFERROR(VLOOKUP(VENTAS4[[#This Row],[Code]],STOCK[],5,FALSE),"-")</f>
        <v>Sujetador Invisible Suave sin tirantes</v>
      </c>
    </row>
    <row r="963" s="2" customFormat="1" ht="55" customHeight="1" spans="1:3">
      <c r="A963" s="5" t="s">
        <v>1933</v>
      </c>
      <c r="B963" s="6"/>
      <c r="C963" s="9" t="str">
        <f>IFERROR(VLOOKUP(VENTAS4[[#This Row],[Code]],STOCK[],5,FALSE),"-")</f>
        <v>Sujetador Invisible Suave sin tirantes</v>
      </c>
    </row>
    <row r="964" s="2" customFormat="1" ht="55" customHeight="1" spans="1:3">
      <c r="A964" s="5" t="s">
        <v>1935</v>
      </c>
      <c r="B964" s="6"/>
      <c r="C964" s="9" t="str">
        <f>IFERROR(VLOOKUP(VENTAS4[[#This Row],[Code]],STOCK[],5,FALSE),"-")</f>
        <v>Sujetador suave de encaje y satén Beige</v>
      </c>
    </row>
    <row r="965" s="2" customFormat="1" ht="55" customHeight="1" spans="1:3">
      <c r="A965" s="5" t="s">
        <v>1938</v>
      </c>
      <c r="B965" s="6"/>
      <c r="C965" s="9" t="str">
        <f>IFERROR(VLOOKUP(VENTAS4[[#This Row],[Code]],STOCK[],5,FALSE),"-")</f>
        <v>Sujetador suave de encaje y satén Negro</v>
      </c>
    </row>
    <row r="966" s="2" customFormat="1" ht="55" customHeight="1" spans="1:3">
      <c r="A966" s="5" t="s">
        <v>1940</v>
      </c>
      <c r="B966" s="6"/>
      <c r="C966" s="9" t="str">
        <f>IFERROR(VLOOKUP(VENTAS4[[#This Row],[Code]],STOCK[],5,FALSE),"-")</f>
        <v>Sujetador suave de encaje y satén Negro</v>
      </c>
    </row>
    <row r="967" s="2" customFormat="1" ht="55" customHeight="1" spans="1:3">
      <c r="A967" s="5" t="s">
        <v>1941</v>
      </c>
      <c r="B967" s="6"/>
      <c r="C967" s="9" t="str">
        <f>IFERROR(VLOOKUP(VENTAS4[[#This Row],[Code]],STOCK[],5,FALSE),"-")</f>
        <v>Zapatillas blanco casual</v>
      </c>
    </row>
    <row r="968" s="2" customFormat="1" ht="55" customHeight="1" spans="1:3">
      <c r="A968" s="5" t="s">
        <v>1944</v>
      </c>
      <c r="B968" s="6"/>
      <c r="C968" s="9" t="str">
        <f>IFERROR(VLOOKUP(VENTAS4[[#This Row],[Code]],STOCK[],5,FALSE),"-")</f>
        <v>Vestido a Media Pierna Elegante y Versátil</v>
      </c>
    </row>
    <row r="969" s="2" customFormat="1" ht="55" customHeight="1" spans="1:3">
      <c r="A969" s="5" t="s">
        <v>1946</v>
      </c>
      <c r="B969" s="6"/>
      <c r="C969" s="9" t="str">
        <f>IFERROR(VLOOKUP(VENTAS4[[#This Row],[Code]],STOCK[],5,FALSE),"-")</f>
        <v>Pantalón corto blanco de rayas</v>
      </c>
    </row>
    <row r="970" s="2" customFormat="1" ht="55" customHeight="1" spans="1:3">
      <c r="A970" s="5" t="s">
        <v>1952</v>
      </c>
      <c r="B970" s="6"/>
      <c r="C970" s="9" t="str">
        <f>IFERROR(VLOOKUP(VENTAS4[[#This Row],[Code]],STOCK[],5,FALSE),"-")</f>
        <v>Vestido Chaleco con botones</v>
      </c>
    </row>
    <row r="971" s="2" customFormat="1" ht="55" customHeight="1" spans="1:3">
      <c r="A971" s="5" t="s">
        <v>1955</v>
      </c>
      <c r="B971" s="6"/>
      <c r="C971" s="9" t="str">
        <f>IFERROR(VLOOKUP(VENTAS4[[#This Row],[Code]],STOCK[],5,FALSE),"-")</f>
        <v>Vestido verde Overall (Nuevo)</v>
      </c>
    </row>
    <row r="972" s="2" customFormat="1" ht="55" customHeight="1" spans="1:3">
      <c r="A972" s="5" t="s">
        <v>1958</v>
      </c>
      <c r="B972" s="6"/>
      <c r="C972" s="9" t="str">
        <f>IFERROR(VLOOKUP(VENTAS4[[#This Row],[Code]],STOCK[],5,FALSE),"-")</f>
        <v>Falda con fajín </v>
      </c>
    </row>
    <row r="973" s="2" customFormat="1" ht="55" customHeight="1" spans="1:3">
      <c r="A973" s="5" t="s">
        <v>1962</v>
      </c>
      <c r="B973" s="6"/>
      <c r="C973" s="9" t="str">
        <f>IFERROR(VLOOKUP(VENTAS4[[#This Row],[Code]],STOCK[],5,FALSE),"-")</f>
        <v>Blusa de puntos</v>
      </c>
    </row>
    <row r="974" s="2" customFormat="1" ht="55" customHeight="1" spans="1:3">
      <c r="A974" s="5" t="s">
        <v>1965</v>
      </c>
      <c r="B974" s="6"/>
      <c r="C974" s="9" t="str">
        <f>IFERROR(VLOOKUP(VENTAS4[[#This Row],[Code]],STOCK[],5,FALSE),"-")</f>
        <v>Vestido de una manga en vuelo (Nuevo)</v>
      </c>
    </row>
    <row r="975" s="2" customFormat="1" ht="55" customHeight="1" spans="1:3">
      <c r="A975" s="5" t="s">
        <v>1968</v>
      </c>
      <c r="B975" s="6"/>
      <c r="C975" s="9" t="str">
        <f>IFERROR(VLOOKUP(VENTAS4[[#This Row],[Code]],STOCK[],5,FALSE),"-")</f>
        <v>Vestido chino de satín </v>
      </c>
    </row>
    <row r="976" s="2" customFormat="1" ht="55" customHeight="1" spans="1:3">
      <c r="A976" s="5" t="s">
        <v>1971</v>
      </c>
      <c r="B976" s="6"/>
      <c r="C976" s="9" t="str">
        <f>IFERROR(VLOOKUP(VENTAS4[[#This Row],[Code]],STOCK[],5,FALSE),"-")</f>
        <v>Body strapless (Nuevo)</v>
      </c>
    </row>
    <row r="977" s="2" customFormat="1" ht="55" customHeight="1" spans="1:3">
      <c r="A977" s="5" t="s">
        <v>1973</v>
      </c>
      <c r="B977" s="6"/>
      <c r="C977" s="9" t="str">
        <f>IFERROR(VLOOKUP(VENTAS4[[#This Row],[Code]],STOCK[],5,FALSE),"-")</f>
        <v>Short de talle bajo</v>
      </c>
    </row>
    <row r="978" s="2" customFormat="1" ht="55" customHeight="1" spans="1:3">
      <c r="A978" s="5" t="s">
        <v>1977</v>
      </c>
      <c r="B978" s="6"/>
      <c r="C978" s="9" t="str">
        <f>IFERROR(VLOOKUP(VENTAS4[[#This Row],[Code]],STOCK[],5,FALSE),"-")</f>
        <v>Vestido rojo a media pierna con cinturón</v>
      </c>
    </row>
    <row r="979" s="2" customFormat="1" ht="55" customHeight="1" spans="1:3">
      <c r="A979" s="5" t="s">
        <v>1979</v>
      </c>
      <c r="B979" s="6"/>
      <c r="C979" s="9" t="str">
        <f>IFERROR(VLOOKUP(VENTAS4[[#This Row],[Code]],STOCK[],5,FALSE),"-")</f>
        <v>Bermuda denim curvy</v>
      </c>
    </row>
    <row r="980" s="2" customFormat="1" ht="55" customHeight="1" spans="1:3">
      <c r="A980" s="5" t="s">
        <v>1982</v>
      </c>
      <c r="B980" s="6"/>
      <c r="C980" s="9" t="str">
        <f>IFERROR(VLOOKUP(VENTAS4[[#This Row],[Code]],STOCK[],5,FALSE),"-")</f>
        <v>Solera de manga corta</v>
      </c>
    </row>
    <row r="981" s="2" customFormat="1" ht="55" customHeight="1" spans="1:3">
      <c r="A981" s="5" t="s">
        <v>1985</v>
      </c>
      <c r="B981" s="6"/>
      <c r="C981" s="9" t="str">
        <f>IFERROR(VLOOKUP(VENTAS4[[#This Row],[Code]],STOCK[],5,FALSE),"-")</f>
        <v>Vestido mangas de vuelo</v>
      </c>
    </row>
    <row r="982" s="2" customFormat="1" ht="55" customHeight="1" spans="1:3">
      <c r="A982" s="5" t="s">
        <v>1987</v>
      </c>
      <c r="B982" s="6"/>
      <c r="C982" s="9" t="str">
        <f>IFERROR(VLOOKUP(VENTAS4[[#This Row],[Code]],STOCK[],5,FALSE),"-")</f>
        <v>Mono Camisero de rayas (Nuevo)</v>
      </c>
    </row>
    <row r="983" s="2" customFormat="1" ht="55" customHeight="1" spans="1:3">
      <c r="A983" s="5" t="s">
        <v>1989</v>
      </c>
      <c r="B983" s="6"/>
      <c r="C983" s="9" t="str">
        <f>IFERROR(VLOOKUP(VENTAS4[[#This Row],[Code]],STOCK[],5,FALSE),"-")</f>
        <v>Falda Lentejuelas (Nuevo)</v>
      </c>
    </row>
    <row r="984" s="2" customFormat="1" ht="55" customHeight="1" spans="1:3">
      <c r="A984" s="5" t="s">
        <v>1992</v>
      </c>
      <c r="B984" s="6"/>
      <c r="C984" s="9" t="str">
        <f>IFERROR(VLOOKUP(VENTAS4[[#This Row],[Code]],STOCK[],5,FALSE),"-")</f>
        <v>Bermuda denim SHEIN</v>
      </c>
    </row>
    <row r="985" s="2" customFormat="1" ht="55" customHeight="1" spans="1:3">
      <c r="A985" s="5" t="s">
        <v>1995</v>
      </c>
      <c r="B985" s="6"/>
      <c r="C985" s="9" t="str">
        <f>IFERROR(VLOOKUP(VENTAS4[[#This Row],[Code]],STOCK[],5,FALSE),"-")</f>
        <v>Bermuda denim H&amp;M</v>
      </c>
    </row>
    <row r="986" s="2" customFormat="1" ht="55" customHeight="1" spans="1:3">
      <c r="A986" s="5" t="s">
        <v>1998</v>
      </c>
      <c r="B986" s="6"/>
      <c r="C986" s="9" t="str">
        <f>IFERROR(VLOOKUP(VENTAS4[[#This Row],[Code]],STOCK[],5,FALSE),"-")</f>
        <v>Short estampado</v>
      </c>
    </row>
    <row r="987" s="2" customFormat="1" ht="55" customHeight="1" spans="1:3">
      <c r="A987" s="5" t="s">
        <v>2002</v>
      </c>
      <c r="B987" s="6"/>
      <c r="C987" s="9" t="str">
        <f>IFERROR(VLOOKUP(VENTAS4[[#This Row],[Code]],STOCK[],5,FALSE),"-")</f>
        <v>Blusa de picos (Nuevo)</v>
      </c>
    </row>
    <row r="988" s="2" customFormat="1" ht="55" customHeight="1" spans="1:3">
      <c r="A988" s="5" t="s">
        <v>2004</v>
      </c>
      <c r="B988" s="6"/>
      <c r="C988" s="9" t="str">
        <f>IFERROR(VLOOKUP(VENTAS4[[#This Row],[Code]],STOCK[],5,FALSE),"-")</f>
        <v>Blusa manga 3/4</v>
      </c>
    </row>
    <row r="989" s="2" customFormat="1" ht="55" customHeight="1" spans="1:3">
      <c r="A989" s="5" t="s">
        <v>2007</v>
      </c>
      <c r="B989" s="6"/>
      <c r="C989" s="9" t="str">
        <f>IFERROR(VLOOKUP(VENTAS4[[#This Row],[Code]],STOCK[],5,FALSE),"-")</f>
        <v>Pantalón corto estampado (Nuevo)</v>
      </c>
    </row>
    <row r="990" s="2" customFormat="1" ht="55" customHeight="1" spans="1:3">
      <c r="A990" s="5" t="s">
        <v>2010</v>
      </c>
      <c r="B990" s="6"/>
      <c r="C990" s="9" t="str">
        <f>IFERROR(VLOOKUP(VENTAS4[[#This Row],[Code]],STOCK[],5,FALSE),"-")</f>
        <v>Blusa corta de espalda escotada</v>
      </c>
    </row>
    <row r="991" s="2" customFormat="1" ht="55" customHeight="1" spans="1:3">
      <c r="A991" s="5" t="s">
        <v>2013</v>
      </c>
      <c r="B991" s="6"/>
      <c r="C991" s="9" t="str">
        <f>IFERROR(VLOOKUP(VENTAS4[[#This Row],[Code]],STOCK[],5,FALSE),"-")</f>
        <v>Falda ajustada de zíper</v>
      </c>
    </row>
    <row r="992" s="2" customFormat="1" ht="55" customHeight="1" spans="1:3">
      <c r="A992" s="5" t="s">
        <v>2016</v>
      </c>
      <c r="B992" s="6"/>
      <c r="C992" s="9" t="str">
        <f>IFERROR(VLOOKUP(VENTAS4[[#This Row],[Code]],STOCK[],5,FALSE),"-")</f>
        <v>Jogger afelpado de talle alto (Nuevo)</v>
      </c>
    </row>
    <row r="993" s="2" customFormat="1" ht="55" customHeight="1" spans="1:3">
      <c r="A993" s="5" t="s">
        <v>2019</v>
      </c>
      <c r="B993" s="6"/>
      <c r="C993" s="9" t="str">
        <f>IFERROR(VLOOKUP(VENTAS4[[#This Row],[Code]],STOCK[],5,FALSE),"-")</f>
        <v>Jogger afelpado de talle alto </v>
      </c>
    </row>
    <row r="994" s="2" customFormat="1" ht="55" customHeight="1" spans="1:3">
      <c r="A994" s="5" t="s">
        <v>2022</v>
      </c>
      <c r="B994" s="6"/>
      <c r="C994" s="9" t="str">
        <f>IFERROR(VLOOKUP(VENTAS4[[#This Row],[Code]],STOCK[],5,FALSE),"-")</f>
        <v>Jogger afelpado de talle alto (Nuevo)</v>
      </c>
    </row>
    <row r="995" s="2" customFormat="1" ht="55" customHeight="1" spans="1:3">
      <c r="A995" s="5" t="s">
        <v>2024</v>
      </c>
      <c r="B995" s="6"/>
      <c r="C995" s="9" t="str">
        <f>IFERROR(VLOOKUP(VENTAS4[[#This Row],[Code]],STOCK[],5,FALSE),"-")</f>
        <v>Blusa bajo con bordados</v>
      </c>
    </row>
    <row r="996" s="2" customFormat="1" ht="55" customHeight="1" spans="1:3">
      <c r="A996" s="5" t="s">
        <v>2027</v>
      </c>
      <c r="B996" s="6"/>
      <c r="C996" s="9" t="str">
        <f>IFERROR(VLOOKUP(VENTAS4[[#This Row],[Code]],STOCK[],5,FALSE),"-")</f>
        <v>Blusa de bolas cuello con lazo</v>
      </c>
    </row>
    <row r="997" s="2" customFormat="1" ht="55" customHeight="1" spans="1:3">
      <c r="A997" s="5" t="s">
        <v>2031</v>
      </c>
      <c r="B997" s="6"/>
      <c r="C997" s="9" t="str">
        <f>IFERROR(VLOOKUP(VENTAS4[[#This Row],[Code]],STOCK[],5,FALSE),"-")</f>
        <v>Blusa corta de manga 3/4</v>
      </c>
    </row>
    <row r="998" s="2" customFormat="1" ht="55" customHeight="1" spans="1:3">
      <c r="A998" s="5" t="s">
        <v>2033</v>
      </c>
      <c r="B998" s="6"/>
      <c r="C998" s="9" t="str">
        <f>IFERROR(VLOOKUP(VENTAS4[[#This Row],[Code]],STOCK[],5,FALSE),"-")</f>
        <v>Blusa bordada de cuello healter</v>
      </c>
    </row>
    <row r="999" s="2" customFormat="1" ht="55" customHeight="1" spans="1:3">
      <c r="A999" s="5" t="s">
        <v>2037</v>
      </c>
      <c r="B999" s="6"/>
      <c r="C999" s="9" t="str">
        <f>IFERROR(VLOOKUP(VENTAS4[[#This Row],[Code]],STOCK[],5,FALSE),"-")</f>
        <v>Blusa de manga corta </v>
      </c>
    </row>
    <row r="1000" s="2" customFormat="1" ht="55" customHeight="1" spans="1:3">
      <c r="A1000" s="5" t="s">
        <v>2040</v>
      </c>
      <c r="B1000" s="6"/>
      <c r="C1000" s="9" t="str">
        <f>IFERROR(VLOOKUP(VENTAS4[[#This Row],[Code]],STOCK[],5,FALSE),"-")</f>
        <v>Blusa estampada geométrica</v>
      </c>
    </row>
    <row r="1001" s="2" customFormat="1" ht="55" customHeight="1" spans="1:3">
      <c r="A1001" s="5" t="s">
        <v>2042</v>
      </c>
      <c r="B1001" s="6"/>
      <c r="C1001" s="9" t="str">
        <f>IFERROR(VLOOKUP(VENTAS4[[#This Row],[Code]],STOCK[],5,FALSE),"-")</f>
        <v>Blusa floreada con bajo bordado</v>
      </c>
    </row>
    <row r="1002" s="2" customFormat="1" ht="55" customHeight="1" spans="1:3">
      <c r="A1002" s="5" t="s">
        <v>2044</v>
      </c>
      <c r="B1002" s="6"/>
      <c r="C1002" s="9" t="str">
        <f>IFERROR(VLOOKUP(VENTAS4[[#This Row],[Code]],STOCK[],5,FALSE),"-")</f>
        <v>Blusa naranja abombada</v>
      </c>
    </row>
    <row r="1003" s="2" customFormat="1" ht="55" customHeight="1" spans="1:3">
      <c r="A1003" s="5" t="s">
        <v>2047</v>
      </c>
      <c r="B1003" s="6"/>
      <c r="C1003" s="9" t="str">
        <f>IFERROR(VLOOKUP(VENTAS4[[#This Row],[Code]],STOCK[],5,FALSE),"-")</f>
        <v>Blusa blanca mangas en contraste</v>
      </c>
    </row>
    <row r="1004" s="2" customFormat="1" ht="55" customHeight="1" spans="1:3">
      <c r="A1004" s="5" t="s">
        <v>2050</v>
      </c>
      <c r="B1004" s="6"/>
      <c r="C1004" s="9" t="str">
        <f>IFERROR(VLOOKUP(VENTAS4[[#This Row],[Code]],STOCK[],5,FALSE),"-")</f>
        <v>Blusa negra mangas de vuelo</v>
      </c>
    </row>
    <row r="1005" s="2" customFormat="1" ht="55" customHeight="1" spans="1:3">
      <c r="A1005" s="5" t="s">
        <v>2054</v>
      </c>
      <c r="B1005" s="6"/>
      <c r="C1005" s="9" t="str">
        <f>IFERROR(VLOOKUP(VENTAS4[[#This Row],[Code]],STOCK[],5,FALSE),"-")</f>
        <v>Conjunto Playera y short bikers (devolución)</v>
      </c>
    </row>
    <row r="1006" s="2" customFormat="1" ht="55" customHeight="1" spans="1:3">
      <c r="A1006" s="5" t="s">
        <v>2057</v>
      </c>
      <c r="B1006" s="6"/>
      <c r="C1006" s="9" t="str">
        <f>IFERROR(VLOOKUP(VENTAS4[[#This Row],[Code]],STOCK[],5,FALSE),"-")</f>
        <v>Pantalón Blanco de pierna ancha</v>
      </c>
    </row>
    <row r="1007" s="2" customFormat="1" ht="55" customHeight="1" spans="1:3">
      <c r="A1007" s="5" t="s">
        <v>2059</v>
      </c>
      <c r="B1007" s="6"/>
      <c r="C1007" s="9" t="str">
        <f>IFERROR(VLOOKUP(VENTAS4[[#This Row],[Code]],STOCK[],5,FALSE),"-")</f>
        <v> Short de media pierna</v>
      </c>
    </row>
    <row r="1008" s="2" customFormat="1" ht="55" customHeight="1" spans="1:3">
      <c r="A1008" s="5" t="s">
        <v>2062</v>
      </c>
      <c r="B1008" s="6"/>
      <c r="C1008" s="9" t="str">
        <f>IFERROR(VLOOKUP(VENTAS4[[#This Row],[Code]],STOCK[],5,FALSE),"-")</f>
        <v>Jean Skinny costura en contraste</v>
      </c>
    </row>
    <row r="1009" s="2" customFormat="1" ht="55" customHeight="1" spans="1:3">
      <c r="A1009" s="5" t="s">
        <v>2065</v>
      </c>
      <c r="B1009" s="6"/>
      <c r="C1009" s="9" t="str">
        <f>IFERROR(VLOOKUP(VENTAS4[[#This Row],[Code]],STOCK[],5,FALSE),"-")</f>
        <v>Jean Skinny floreado</v>
      </c>
    </row>
    <row r="1010" s="2" customFormat="1" ht="55" customHeight="1" spans="1:3">
      <c r="A1010" s="5" t="s">
        <v>2069</v>
      </c>
      <c r="B1010" s="6"/>
      <c r="C1010" s="9" t="str">
        <f>IFERROR(VLOOKUP(VENTAS4[[#This Row],[Code]],STOCK[],5,FALSE),"-")</f>
        <v>Jean corte mom de remaches finos</v>
      </c>
    </row>
    <row r="1011" s="2" customFormat="1" ht="55" customHeight="1" spans="1:3">
      <c r="A1011" s="5" t="s">
        <v>2071</v>
      </c>
      <c r="B1011" s="6"/>
      <c r="C1011" s="9" t="str">
        <f>IFERROR(VLOOKUP(VENTAS4[[#This Row],[Code]],STOCK[],5,FALSE),"-")</f>
        <v>Jean con doblez estampado </v>
      </c>
    </row>
    <row r="1012" s="2" customFormat="1" ht="55" customHeight="1" spans="1:3">
      <c r="A1012" s="5" t="s">
        <v>2073</v>
      </c>
      <c r="B1012" s="6"/>
      <c r="C1012" s="9" t="str">
        <f>IFERROR(VLOOKUP(VENTAS4[[#This Row],[Code]],STOCK[],5,FALSE),"-")</f>
        <v>Jean skinny de corte bajo </v>
      </c>
    </row>
    <row r="1013" s="2" customFormat="1" ht="55" customHeight="1" spans="1:3">
      <c r="A1013" s="5" t="s">
        <v>2075</v>
      </c>
      <c r="B1013" s="6"/>
      <c r="C1013" s="9" t="str">
        <f>IFERROR(VLOOKUP(VENTAS4[[#This Row],[Code]],STOCK[],5,FALSE),"-")</f>
        <v>Jean Oscuro desteñido</v>
      </c>
    </row>
    <row r="1014" s="2" customFormat="1" ht="55" customHeight="1" spans="1:3">
      <c r="A1014" s="5" t="s">
        <v>2078</v>
      </c>
      <c r="B1014" s="6"/>
      <c r="C1014" s="9" t="str">
        <f>IFERROR(VLOOKUP(VENTAS4[[#This Row],[Code]],STOCK[],5,FALSE),"-")</f>
        <v>Jean corte ancho de bajo descosido</v>
      </c>
    </row>
    <row r="1015" s="2" customFormat="1" ht="55" customHeight="1" spans="1:3">
      <c r="A1015" s="5" t="s">
        <v>2080</v>
      </c>
      <c r="B1015" s="6"/>
      <c r="C1015" s="9" t="str">
        <f>IFERROR(VLOOKUP(VENTAS4[[#This Row],[Code]],STOCK[],5,FALSE),"-")</f>
        <v>Jean skinny corto </v>
      </c>
    </row>
    <row r="1016" s="2" customFormat="1" ht="55" customHeight="1" spans="1:3">
      <c r="A1016" s="5" t="s">
        <v>2082</v>
      </c>
      <c r="B1016" s="6"/>
      <c r="C1016" s="9" t="str">
        <f>IFERROR(VLOOKUP(VENTAS4[[#This Row],[Code]],STOCK[],5,FALSE),"-")</f>
        <v>Falda de vuelos con zíper</v>
      </c>
    </row>
    <row r="1017" s="2" customFormat="1" ht="55" customHeight="1" spans="1:3">
      <c r="A1017" s="5" t="s">
        <v>2084</v>
      </c>
      <c r="B1017" s="6"/>
      <c r="C1017" s="9" t="str">
        <f>IFERROR(VLOOKUP(VENTAS4[[#This Row],[Code]],STOCK[],5,FALSE),"-")</f>
        <v>Botín de punta cuadrada y zíper</v>
      </c>
    </row>
    <row r="1018" s="2" customFormat="1" ht="55" customHeight="1" spans="1:3">
      <c r="A1018" s="5" t="s">
        <v>2086</v>
      </c>
      <c r="B1018" s="6"/>
      <c r="C1018" s="9" t="str">
        <f>IFERROR(VLOOKUP(VENTAS4[[#This Row],[Code]],STOCK[],5,FALSE),"-")</f>
        <v>Blusa estampada de Lunares</v>
      </c>
    </row>
    <row r="1019" s="2" customFormat="1" ht="55" customHeight="1" spans="1:3">
      <c r="A1019" s="5" t="s">
        <v>2087</v>
      </c>
      <c r="B1019" s="6"/>
      <c r="C1019" s="9" t="str">
        <f>IFERROR(VLOOKUP(VENTAS4[[#This Row],[Code]],STOCK[],5,FALSE),"-")</f>
        <v>Top rosa acanalado</v>
      </c>
    </row>
    <row r="1020" s="2" customFormat="1" ht="55" customHeight="1" spans="1:3">
      <c r="A1020" s="5" t="s">
        <v>2091</v>
      </c>
      <c r="B1020" s="6" t="s">
        <v>2092</v>
      </c>
      <c r="C1020" s="9" t="str">
        <f>IFERROR(VLOOKUP(VENTAS4[[#This Row],[Code]],STOCK[],5,FALSE),"-")</f>
        <v>Body traslúcido floreado</v>
      </c>
    </row>
    <row r="1021" s="2" customFormat="1" ht="55" customHeight="1" spans="1:3">
      <c r="A1021" s="5" t="s">
        <v>2094</v>
      </c>
      <c r="B1021" s="6"/>
      <c r="C1021" s="9" t="str">
        <f>IFERROR(VLOOKUP(VENTAS4[[#This Row],[Code]],STOCK[],5,FALSE),"-")</f>
        <v>Corset negro elegante de encaje</v>
      </c>
    </row>
    <row r="1022" s="2" customFormat="1" ht="55" customHeight="1" spans="1:3">
      <c r="A1022" s="5" t="s">
        <v>2096</v>
      </c>
      <c r="B1022" s="6"/>
      <c r="C1022" s="9" t="str">
        <f>IFERROR(VLOOKUP(VENTAS4[[#This Row],[Code]],STOCK[],5,FALSE),"-")</f>
        <v>Corset negro elegante de encaje</v>
      </c>
    </row>
    <row r="1023" s="2" customFormat="1" ht="55" customHeight="1" spans="1:3">
      <c r="A1023" s="5" t="s">
        <v>2097</v>
      </c>
      <c r="B1023" s="6"/>
      <c r="C1023" s="9" t="str">
        <f>IFERROR(VLOOKUP(VENTAS4[[#This Row],[Code]],STOCK[],5,FALSE),"-")</f>
        <v>Vestido acanalado de manga larga</v>
      </c>
    </row>
    <row r="1024" s="2" customFormat="1" ht="55" customHeight="1" spans="1:3">
      <c r="A1024" s="5" t="s">
        <v>2098</v>
      </c>
      <c r="B1024" s="6" t="s">
        <v>2092</v>
      </c>
      <c r="C1024" s="9" t="str">
        <f>IFERROR(VLOOKUP(VENTAS4[[#This Row],[Code]],STOCK[],5,FALSE),"-")</f>
        <v>Vestido Ajustado estilo pullover</v>
      </c>
    </row>
    <row r="1025" s="2" customFormat="1" ht="55" customHeight="1" spans="1:3">
      <c r="A1025" s="5" t="s">
        <v>3744</v>
      </c>
      <c r="B1025" s="6"/>
      <c r="C1025" s="9" t="str">
        <f>IFERROR(VLOOKUP(VENTAS4[[#This Row],[Code]],STOCK[],5,FALSE),"-")</f>
        <v>-</v>
      </c>
    </row>
    <row r="1026" s="2" customFormat="1" ht="55" customHeight="1" spans="1:3">
      <c r="A1026" s="5" t="s">
        <v>2102</v>
      </c>
      <c r="B1026" s="6"/>
      <c r="C1026" s="9" t="str">
        <f>IFERROR(VLOOKUP(VENTAS4[[#This Row],[Code]],STOCK[],5,FALSE),"-")</f>
        <v>Sandalias de velcro</v>
      </c>
    </row>
    <row r="1027" s="2" customFormat="1" ht="55" customHeight="1" spans="1:3">
      <c r="A1027" s="5" t="s">
        <v>2103</v>
      </c>
      <c r="B1027" s="6"/>
      <c r="C1027" s="9" t="str">
        <f>IFERROR(VLOOKUP(VENTAS4[[#This Row],[Code]],STOCK[],5,FALSE),"-")</f>
        <v>Sandalias flip de plataforma Rosadas Marca F21</v>
      </c>
    </row>
    <row r="1028" s="2" customFormat="1" ht="55" customHeight="1" spans="1:3">
      <c r="A1028" s="5" t="s">
        <v>2104</v>
      </c>
      <c r="B1028" s="6"/>
      <c r="C1028" s="9" t="str">
        <f>IFERROR(VLOOKUP(VENTAS4[[#This Row],[Code]],STOCK[],5,FALSE),"-")</f>
        <v>Fashion TOTE bag tamaño de gran capacidad</v>
      </c>
    </row>
    <row r="1029" s="2" customFormat="1" ht="55" customHeight="1" spans="1:3">
      <c r="A1029" s="5" t="s">
        <v>2108</v>
      </c>
      <c r="B1029" s="6"/>
      <c r="C1029" s="9" t="str">
        <f>IFERROR(VLOOKUP(VENTAS4[[#This Row],[Code]],STOCK[],5,FALSE),"-")</f>
        <v>The Cat TOTE bag tamaño de Gran Capacidad </v>
      </c>
    </row>
    <row r="1030" s="2" customFormat="1" ht="55" customHeight="1" spans="1:3">
      <c r="A1030" s="5" t="s">
        <v>2112</v>
      </c>
      <c r="B1030" s="6"/>
      <c r="C1030" s="9" t="str">
        <f>IFERROR(VLOOKUP(VENTAS4[[#This Row],[Code]],STOCK[],5,FALSE),"-")</f>
        <v>Flor TOTE fashion bag</v>
      </c>
    </row>
    <row r="1031" s="2" customFormat="1" ht="55" customHeight="1" spans="1:3">
      <c r="A1031" s="5" t="s">
        <v>2115</v>
      </c>
      <c r="B1031" s="6"/>
      <c r="C1031" s="9" t="str">
        <f>IFERROR(VLOOKUP(VENTAS4[[#This Row],[Code]],STOCK[],5,FALSE),"-")</f>
        <v>Vestido Estampado floral de moda</v>
      </c>
    </row>
    <row r="1032" s="2" customFormat="1" ht="55" customHeight="1" spans="1:3">
      <c r="A1032" s="5" t="s">
        <v>2119</v>
      </c>
      <c r="B1032" s="6"/>
      <c r="C1032" s="9" t="str">
        <f>IFERROR(VLOOKUP(VENTAS4[[#This Row],[Code]],STOCK[],5,FALSE),"-")</f>
        <v>Vestido Estampado floral de moda</v>
      </c>
    </row>
    <row r="1033" s="2" customFormat="1" ht="55" customHeight="1" spans="1:3">
      <c r="A1033" s="5" t="s">
        <v>2121</v>
      </c>
      <c r="B1033" s="6"/>
      <c r="C1033" s="9" t="str">
        <f>IFERROR(VLOOKUP(VENTAS4[[#This Row],[Code]],STOCK[],5,FALSE),"-")</f>
        <v>Set de traje de baño elegante 2 piezas con adorno en forma de V</v>
      </c>
    </row>
    <row r="1034" s="2" customFormat="1" ht="55" customHeight="1" spans="1:3">
      <c r="A1034" s="5" t="s">
        <v>2124</v>
      </c>
      <c r="B1034" s="6"/>
      <c r="C1034" s="9" t="str">
        <f>IFERROR(VLOOKUP(VENTAS4[[#This Row],[Code]],STOCK[],5,FALSE),"-")</f>
        <v>Set de traje de baño elegante 2 piezas con adorno en forma de V</v>
      </c>
    </row>
    <row r="1035" s="2" customFormat="1" ht="55" customHeight="1" spans="1:3">
      <c r="A1035" s="5" t="s">
        <v>2127</v>
      </c>
      <c r="B1035" s="6"/>
      <c r="C1035" s="9" t="str">
        <f>IFERROR(VLOOKUP(VENTAS4[[#This Row],[Code]],STOCK[],5,FALSE),"-")</f>
        <v>Set de traje de baño 3 piezas Azul metalizado</v>
      </c>
    </row>
    <row r="1036" s="2" customFormat="1" ht="55" customHeight="1" spans="1:3">
      <c r="A1036" s="5" t="s">
        <v>2130</v>
      </c>
      <c r="B1036" s="6"/>
      <c r="C1036" s="9" t="str">
        <f>IFERROR(VLOOKUP(VENTAS4[[#This Row],[Code]],STOCK[],5,FALSE),"-")</f>
        <v>Set Chic de conjunto de 2 piezas </v>
      </c>
    </row>
    <row r="1037" s="2" customFormat="1" ht="55" customHeight="1" spans="1:3">
      <c r="A1037" s="5" t="s">
        <v>2134</v>
      </c>
      <c r="B1037" s="6"/>
      <c r="C1037" s="9" t="str">
        <f>IFERROR(VLOOKUP(VENTAS4[[#This Row],[Code]],STOCK[],5,FALSE),"-")</f>
        <v>Falda Bohemia de mezclilla de cintura alta con detalles de botón</v>
      </c>
    </row>
    <row r="1038" s="2" customFormat="1" ht="55" customHeight="1" spans="1:3">
      <c r="A1038" s="5" t="s">
        <v>2139</v>
      </c>
      <c r="B1038" s="6"/>
      <c r="C1038" s="9" t="str">
        <f>IFERROR(VLOOKUP(VENTAS4[[#This Row],[Code]],STOCK[],5,FALSE),"-")</f>
        <v>Falda Bohemia de mezclilla de cintura alta con detalles de botón</v>
      </c>
    </row>
    <row r="1039" s="2" customFormat="1" ht="55" customHeight="1" spans="1:3">
      <c r="A1039" s="5" t="s">
        <v>2142</v>
      </c>
      <c r="B1039" s="6"/>
      <c r="C1039" s="9" t="str">
        <f>IFERROR(VLOOKUP(VENTAS4[[#This Row],[Code]],STOCK[],5,FALSE),"-")</f>
        <v>Falda Bohemia de mezclilla de cintura alta con detalles de botón</v>
      </c>
    </row>
    <row r="1040" s="2" customFormat="1" ht="55" customHeight="1" spans="1:3">
      <c r="A1040" s="5" t="s">
        <v>2145</v>
      </c>
      <c r="B1040" s="6"/>
      <c r="C1040" s="9" t="str">
        <f>IFERROR(VLOOKUP(VENTAS4[[#This Row],[Code]],STOCK[],5,FALSE),"-")</f>
        <v>Set de 3 piezas de bikini con estampado floral</v>
      </c>
    </row>
    <row r="1041" s="2" customFormat="1" ht="55" customHeight="1" spans="1:3">
      <c r="A1041" s="5" t="s">
        <v>2148</v>
      </c>
      <c r="B1041" s="6"/>
      <c r="C1041" s="9" t="str">
        <f>IFERROR(VLOOKUP(VENTAS4[[#This Row],[Code]],STOCK[],5,FALSE),"-")</f>
        <v>Set de 3 piezas de bikini con estampado floral</v>
      </c>
    </row>
    <row r="1042" s="2" customFormat="1" ht="55" customHeight="1" spans="1:3">
      <c r="A1042" s="5" t="s">
        <v>2150</v>
      </c>
      <c r="B1042" s="6"/>
      <c r="C1042" s="9" t="str">
        <f>IFERROR(VLOOKUP(VENTAS4[[#This Row],[Code]],STOCK[],5,FALSE),"-")</f>
        <v>Set de 3 piezas de bikini con estampado floral</v>
      </c>
    </row>
    <row r="1043" s="2" customFormat="1" ht="55" customHeight="1" spans="1:3">
      <c r="A1043" s="5" t="s">
        <v>2152</v>
      </c>
      <c r="B1043" s="6"/>
      <c r="C1043" s="9" t="str">
        <f>IFERROR(VLOOKUP(VENTAS4[[#This Row],[Code]],STOCK[],5,FALSE),"-")</f>
        <v>Set de bikini 3 piezas estampado navy</v>
      </c>
    </row>
    <row r="1044" s="2" customFormat="1" ht="55" customHeight="1" spans="1:3">
      <c r="A1044" s="5" t="s">
        <v>2155</v>
      </c>
      <c r="B1044" s="6"/>
      <c r="C1044" s="9" t="str">
        <f>IFERROR(VLOOKUP(VENTAS4[[#This Row],[Code]],STOCK[],5,FALSE),"-")</f>
        <v>Set de bikini estampado de flor de 3 piezas de cintura alta</v>
      </c>
    </row>
    <row r="1045" s="2" customFormat="1" ht="55" customHeight="1" spans="1:3">
      <c r="A1045" s="5" t="s">
        <v>2158</v>
      </c>
      <c r="B1045" s="6"/>
      <c r="C1045" s="9" t="str">
        <f>IFERROR(VLOOKUP(VENTAS4[[#This Row],[Code]],STOCK[],5,FALSE),"-")</f>
        <v>Set de bikini estampado de flor de 3 piezas de cintura alta</v>
      </c>
    </row>
    <row r="1046" s="2" customFormat="1" ht="55" customHeight="1" spans="1:3">
      <c r="A1046" s="5" t="s">
        <v>2160</v>
      </c>
      <c r="B1046" s="6"/>
      <c r="C1046" s="9" t="str">
        <f>IFERROR(VLOOKUP(VENTAS4[[#This Row],[Code]],STOCK[],5,FALSE),"-")</f>
        <v>Bañador en color sólido sexy-elegante </v>
      </c>
    </row>
    <row r="1047" s="2" customFormat="1" ht="55" customHeight="1" spans="1:3">
      <c r="A1047" s="5" t="s">
        <v>2163</v>
      </c>
      <c r="B1047" s="6"/>
      <c r="C1047" s="9" t="str">
        <f>IFERROR(VLOOKUP(VENTAS4[[#This Row],[Code]],STOCK[],5,FALSE),"-")</f>
        <v>Bañador en color sólido sexy-elegante </v>
      </c>
    </row>
    <row r="1048" s="2" customFormat="1" ht="55" customHeight="1" spans="1:3">
      <c r="A1048" s="5" t="s">
        <v>2165</v>
      </c>
      <c r="B1048" s="6"/>
      <c r="C1048" s="9" t="str">
        <f>IFERROR(VLOOKUP(VENTAS4[[#This Row],[Code]],STOCK[],5,FALSE),"-")</f>
        <v>Bañador en color sólido sexy-elegante </v>
      </c>
    </row>
    <row r="1049" s="2" customFormat="1" ht="55" customHeight="1" spans="1:3">
      <c r="A1049" s="5" t="s">
        <v>2167</v>
      </c>
      <c r="B1049" s="6"/>
      <c r="C1049" s="9" t="str">
        <f>IFERROR(VLOOKUP(VENTAS4[[#This Row],[Code]],STOCK[],5,FALSE),"-")</f>
        <v>Bañador clásico cuello V</v>
      </c>
    </row>
    <row r="1050" s="2" customFormat="1" ht="55" customHeight="1" spans="1:3">
      <c r="A1050" s="5" t="s">
        <v>2170</v>
      </c>
      <c r="B1050" s="6"/>
      <c r="C1050" s="9" t="str">
        <f>IFERROR(VLOOKUP(VENTAS4[[#This Row],[Code]],STOCK[],5,FALSE),"-")</f>
        <v>Bañador clásico cuello V</v>
      </c>
    </row>
    <row r="1051" s="2" customFormat="1" ht="55" customHeight="1" spans="1:3">
      <c r="A1051" s="5" t="s">
        <v>2172</v>
      </c>
      <c r="B1051" s="6"/>
      <c r="C1051" s="9" t="str">
        <f>IFERROR(VLOOKUP(VENTAS4[[#This Row],[Code]],STOCK[],5,FALSE),"-")</f>
        <v>Bañador clásico cuello V</v>
      </c>
    </row>
    <row r="1052" s="2" customFormat="1" ht="55" customHeight="1" spans="1:3">
      <c r="A1052" s="5" t="s">
        <v>2174</v>
      </c>
      <c r="B1052" s="6"/>
      <c r="C1052" s="9" t="str">
        <f>IFERROR(VLOOKUP(VENTAS4[[#This Row],[Code]],STOCK[],5,FALSE),"-")</f>
        <v>Set de bikini 2 piezas estampado de colores con adorno de aro</v>
      </c>
    </row>
    <row r="1053" s="2" customFormat="1" ht="55" customHeight="1" spans="1:3">
      <c r="A1053" s="5" t="s">
        <v>2177</v>
      </c>
      <c r="B1053" s="6"/>
      <c r="C1053" s="9" t="str">
        <f>IFERROR(VLOOKUP(VENTAS4[[#This Row],[Code]],STOCK[],5,FALSE),"-")</f>
        <v>Bikini sexy de pierna alta en tendencia</v>
      </c>
    </row>
    <row r="1054" s="2" customFormat="1" ht="55" customHeight="1" spans="1:3">
      <c r="A1054" s="5" t="s">
        <v>2180</v>
      </c>
      <c r="B1054" s="6"/>
      <c r="C1054" s="9" t="str">
        <f>IFERROR(VLOOKUP(VENTAS4[[#This Row],[Code]],STOCK[],5,FALSE),"-")</f>
        <v>Bikini sexy de pierna alta en tendencia</v>
      </c>
    </row>
    <row r="1055" s="2" customFormat="1" ht="55" customHeight="1" spans="1:3">
      <c r="A1055" s="5" t="s">
        <v>2182</v>
      </c>
      <c r="B1055" s="6"/>
      <c r="C1055" s="9" t="str">
        <f>IFERROR(VLOOKUP(VENTAS4[[#This Row],[Code]],STOCK[],5,FALSE),"-")</f>
        <v>Bikini sexy de pierna alta en tendencia</v>
      </c>
    </row>
    <row r="1056" s="2" customFormat="1" ht="55" customHeight="1" spans="1:3">
      <c r="A1056" s="5" t="s">
        <v>2184</v>
      </c>
      <c r="B1056" s="6"/>
      <c r="C1056" s="9" t="str">
        <f>IFERROR(VLOOKUP(VENTAS4[[#This Row],[Code]],STOCK[],5,FALSE),"-")</f>
        <v>Bikini sexy de pierna alta en tendencia</v>
      </c>
    </row>
    <row r="1057" s="2" customFormat="1" ht="55" customHeight="1" spans="1:3">
      <c r="A1057" s="5" t="s">
        <v>2186</v>
      </c>
      <c r="B1057" s="6"/>
      <c r="C1057" s="9" t="str">
        <f>IFERROR(VLOOKUP(VENTAS4[[#This Row],[Code]],STOCK[],5,FALSE),"-")</f>
        <v>Conjunto Playero color verde 2 piezas</v>
      </c>
    </row>
    <row r="1058" s="2" customFormat="1" ht="55" customHeight="1" spans="1:3">
      <c r="A1058" s="5" t="s">
        <v>2189</v>
      </c>
      <c r="B1058" s="6"/>
      <c r="C1058" s="9" t="str">
        <f>IFERROR(VLOOKUP(VENTAS4[[#This Row],[Code]],STOCK[],5,FALSE),"-")</f>
        <v>Conjunto Playero color verde 2 piezas</v>
      </c>
    </row>
    <row r="1059" s="2" customFormat="1" ht="55" customHeight="1" spans="1:3">
      <c r="A1059" s="5" t="s">
        <v>2191</v>
      </c>
      <c r="B1059" s="6"/>
      <c r="C1059" s="9" t="str">
        <f>IFERROR(VLOOKUP(VENTAS4[[#This Row],[Code]],STOCK[],5,FALSE),"-")</f>
        <v>Set de traje de baño elegante 2 piezas con adorno en forma de V</v>
      </c>
    </row>
    <row r="1060" s="2" customFormat="1" ht="55" customHeight="1" spans="1:3">
      <c r="A1060" s="5" t="s">
        <v>2193</v>
      </c>
      <c r="B1060" s="6"/>
      <c r="C1060" s="9" t="str">
        <f>IFERROR(VLOOKUP(VENTAS4[[#This Row],[Code]],STOCK[],5,FALSE),"-")</f>
        <v>Set de bikini floral con aro</v>
      </c>
    </row>
    <row r="1061" s="2" customFormat="1" ht="55" customHeight="1" spans="1:3">
      <c r="A1061" s="5" t="s">
        <v>2196</v>
      </c>
      <c r="B1061" s="6"/>
      <c r="C1061" s="9" t="str">
        <f>IFERROR(VLOOKUP(VENTAS4[[#This Row],[Code]],STOCK[],5,FALSE),"-")</f>
        <v>Set de bikini floral con aro</v>
      </c>
    </row>
    <row r="1062" s="2" customFormat="1" ht="55" customHeight="1" spans="1:3">
      <c r="A1062" s="5" t="s">
        <v>2198</v>
      </c>
      <c r="B1062" s="6"/>
      <c r="C1062" s="9" t="str">
        <f>IFERROR(VLOOKUP(VENTAS4[[#This Row],[Code]],STOCK[],5,FALSE),"-")</f>
        <v>Set de bikini floral con aro</v>
      </c>
    </row>
    <row r="1063" s="2" customFormat="1" ht="55" customHeight="1" spans="1:3">
      <c r="A1063" s="5" t="s">
        <v>2200</v>
      </c>
      <c r="B1063" s="6"/>
      <c r="C1063" s="9" t="str">
        <f>IFERROR(VLOOKUP(VENTAS4[[#This Row],[Code]],STOCK[],5,FALSE),"-")</f>
        <v>Vestido Boho de cuello healter</v>
      </c>
    </row>
    <row r="1064" s="2" customFormat="1" ht="55" customHeight="1" spans="1:3">
      <c r="A1064" s="5" t="s">
        <v>2203</v>
      </c>
      <c r="B1064" s="6"/>
      <c r="C1064" s="9" t="str">
        <f>IFERROR(VLOOKUP(VENTAS4[[#This Row],[Code]],STOCK[],5,FALSE),"-")</f>
        <v>Vestido floral verano con abertura</v>
      </c>
    </row>
    <row r="1065" s="2" customFormat="1" ht="55" customHeight="1" spans="1:3">
      <c r="A1065" s="5" t="s">
        <v>2206</v>
      </c>
      <c r="B1065" s="6"/>
      <c r="C1065" s="9" t="str">
        <f>IFERROR(VLOOKUP(VENTAS4[[#This Row],[Code]],STOCK[],5,FALSE),"-")</f>
        <v>Bolso TOTE arcoíris trending </v>
      </c>
    </row>
    <row r="1066" s="2" customFormat="1" ht="55" customHeight="1" spans="1:3">
      <c r="A1066" s="5" t="s">
        <v>2209</v>
      </c>
      <c r="B1066" s="6"/>
      <c r="C1066" s="9" t="str">
        <f>IFERROR(VLOOKUP(VENTAS4[[#This Row],[Code]],STOCK[],5,FALSE),"-")</f>
        <v>Vestido Resorte estampado bohemio</v>
      </c>
    </row>
    <row r="1067" s="2" customFormat="1" ht="55" customHeight="1" spans="1:3">
      <c r="A1067" s="5" t="s">
        <v>2212</v>
      </c>
      <c r="B1067" s="6"/>
      <c r="C1067" s="9" t="str">
        <f>IFERROR(VLOOKUP(VENTAS4[[#This Row],[Code]],STOCK[],5,FALSE),"-")</f>
        <v>Bolso chic estilo verano</v>
      </c>
    </row>
    <row r="1068" s="2" customFormat="1" ht="55" customHeight="1" spans="1:3">
      <c r="A1068" s="5" t="s">
        <v>2216</v>
      </c>
      <c r="B1068" s="6"/>
      <c r="C1068" s="14" t="s">
        <v>3533</v>
      </c>
    </row>
    <row r="1069" s="2" customFormat="1" ht="55" customHeight="1" spans="1:3">
      <c r="A1069" s="5" t="s">
        <v>2219</v>
      </c>
      <c r="B1069" s="6"/>
      <c r="C1069" s="9" t="str">
        <f>IFERROR(VLOOKUP(VENTAS4[[#This Row],[Code]],STOCK[],5,FALSE),"-")</f>
        <v>Set de bikini con cobertor de playa</v>
      </c>
    </row>
    <row r="1070" s="2" customFormat="1" ht="55" customHeight="1" spans="1:3">
      <c r="A1070" s="5" t="s">
        <v>2222</v>
      </c>
      <c r="B1070" s="6"/>
      <c r="C1070" s="9" t="str">
        <f>IFERROR(VLOOKUP(VENTAS4[[#This Row],[Code]],STOCK[],5,FALSE),"-")</f>
        <v>Vestido sexy cruzado de escote profundo</v>
      </c>
    </row>
    <row r="1071" s="2" customFormat="1" ht="55" customHeight="1" spans="1:3">
      <c r="A1071" s="5" t="s">
        <v>2225</v>
      </c>
      <c r="B1071" s="6"/>
      <c r="C1071" s="9" t="str">
        <f>IFERROR(VLOOKUP(VENTAS4[[#This Row],[Code]],STOCK[],5,FALSE),"-")</f>
        <v>Estiloso sombrero de protección solar playero</v>
      </c>
    </row>
    <row r="1072" s="2" customFormat="1" ht="55" customHeight="1" spans="1:3">
      <c r="A1072" s="5" t="s">
        <v>2228</v>
      </c>
      <c r="B1072" s="6"/>
      <c r="C1072" s="9" t="str">
        <f>IFERROR(VLOOKUP(VENTAS4[[#This Row],[Code]],STOCK[],5,FALSE),"-")</f>
        <v>Vestido negro espalda cruzada</v>
      </c>
    </row>
    <row r="1073" s="2" customFormat="1" ht="55" customHeight="1" spans="1:3">
      <c r="A1073" s="5" t="s">
        <v>2231</v>
      </c>
      <c r="B1073" s="6"/>
      <c r="C1073" s="9" t="str">
        <f>IFERROR(VLOOKUP(VENTAS4[[#This Row],[Code]],STOCK[],5,FALSE),"-")</f>
        <v>Vestido blanco espalda cruzada</v>
      </c>
    </row>
    <row r="1074" s="2" customFormat="1" ht="55" customHeight="1" spans="1:3">
      <c r="A1074" s="5" t="s">
        <v>2234</v>
      </c>
      <c r="B1074" s="6"/>
      <c r="C1074" s="9" t="str">
        <f>IFERROR(VLOOKUP(VENTAS4[[#This Row],[Code]],STOCK[],5,FALSE),"-")</f>
        <v>Set de bikini con cobertor de playa</v>
      </c>
    </row>
    <row r="1075" s="2" customFormat="1" ht="55" customHeight="1" spans="1:3">
      <c r="A1075" s="5" t="s">
        <v>2237</v>
      </c>
      <c r="B1075" s="6"/>
      <c r="C1075" s="9" t="str">
        <f>IFERROR(VLOOKUP(VENTAS4[[#This Row],[Code]],STOCK[],5,FALSE),"-")</f>
        <v>Bolso bohemio redondo de gran capacidad</v>
      </c>
    </row>
    <row r="1076" s="2" customFormat="1" ht="55" customHeight="1" spans="1:3">
      <c r="A1076" s="5" t="s">
        <v>2240</v>
      </c>
      <c r="B1076" s="6"/>
      <c r="C1076" s="9" t="str">
        <f>IFERROR(VLOOKUP(VENTAS4[[#This Row],[Code]],STOCK[],5,FALSE),"-")</f>
        <v>Set de traje de baño elegante 2 piezas con adorno en forma de V</v>
      </c>
    </row>
    <row r="1077" s="2" customFormat="1" ht="55" customHeight="1" spans="1:3">
      <c r="A1077" s="5" t="s">
        <v>2242</v>
      </c>
      <c r="B1077" s="6"/>
      <c r="C1077" s="9" t="str">
        <f>IFERROR(VLOOKUP(VENTAS4[[#This Row],[Code]],STOCK[],5,FALSE),"-")</f>
        <v>Set de bikini bandeau color sólido</v>
      </c>
    </row>
    <row r="1078" s="2" customFormat="1" ht="55" customHeight="1" spans="1:3">
      <c r="A1078" s="5" t="s">
        <v>2245</v>
      </c>
      <c r="B1078" s="6"/>
      <c r="C1078" s="9" t="str">
        <f>IFERROR(VLOOKUP(VENTAS4[[#This Row],[Code]],STOCK[],5,FALSE),"-")</f>
        <v>Bikini curvy en bloque de color</v>
      </c>
    </row>
    <row r="1079" s="2" customFormat="1" ht="55" customHeight="1" spans="1:3">
      <c r="A1079" s="5" t="s">
        <v>2248</v>
      </c>
      <c r="B1079" s="6"/>
      <c r="C1079" s="9" t="str">
        <f>IFERROR(VLOOKUP(VENTAS4[[#This Row],[Code]],STOCK[],5,FALSE),"-")</f>
        <v>Bikini de cintura alta estampado clásico</v>
      </c>
    </row>
    <row r="1080" s="2" customFormat="1" ht="55" customHeight="1" spans="1:3">
      <c r="A1080" s="5" t="s">
        <v>2251</v>
      </c>
      <c r="B1080" s="6"/>
      <c r="C1080" s="9" t="str">
        <f>IFERROR(VLOOKUP(VENTAS4[[#This Row],[Code]],STOCK[],5,FALSE),"-")</f>
        <v>Bikini de cintura alta estampado clásico</v>
      </c>
    </row>
    <row r="1081" s="2" customFormat="1" ht="55" customHeight="1" spans="1:3">
      <c r="A1081" s="5" t="s">
        <v>2253</v>
      </c>
      <c r="B1081" s="6"/>
      <c r="C1081" s="9" t="str">
        <f>IFERROR(VLOOKUP(VENTAS4[[#This Row],[Code]],STOCK[],5,FALSE),"-")</f>
        <v>Vestido Resorte estampado bohemio</v>
      </c>
    </row>
    <row r="1082" s="2" customFormat="1" ht="55" customHeight="1" spans="1:3">
      <c r="A1082" s="5" t="s">
        <v>2255</v>
      </c>
      <c r="B1082" s="6"/>
      <c r="C1082" s="9" t="str">
        <f>IFERROR(VLOOKUP(VENTAS4[[#This Row],[Code]],STOCK[],5,FALSE),"-")</f>
        <v>Vestido suelto en bordado inglés</v>
      </c>
    </row>
    <row r="1083" s="2" customFormat="1" ht="55" customHeight="1" spans="1:3">
      <c r="A1083" s="5" t="s">
        <v>2258</v>
      </c>
      <c r="B1083" s="6"/>
      <c r="C1083" s="9" t="str">
        <f>IFERROR(VLOOKUP(VENTAS4[[#This Row],[Code]],STOCK[],5,FALSE),"-")</f>
        <v>Vestido suelto en bordado inglés</v>
      </c>
    </row>
    <row r="1084" s="2" customFormat="1" ht="55" customHeight="1" spans="1:3">
      <c r="A1084" s="5" t="s">
        <v>2260</v>
      </c>
      <c r="B1084" s="6"/>
      <c r="C1084" s="9" t="str">
        <f>IFERROR(VLOOKUP(VENTAS4[[#This Row],[Code]],STOCK[],5,FALSE),"-")</f>
        <v>Pantalones playeros estampados</v>
      </c>
    </row>
    <row r="1085" s="2" customFormat="1" ht="55" customHeight="1" spans="1:3">
      <c r="A1085" s="5" t="s">
        <v>2264</v>
      </c>
      <c r="B1085" s="6"/>
      <c r="C1085" s="9" t="str">
        <f>IFERROR(VLOOKUP(VENTAS4[[#This Row],[Code]],STOCK[],5,FALSE),"-")</f>
        <v>Pantalones playeros estampados</v>
      </c>
    </row>
    <row r="1086" s="2" customFormat="1" ht="55" customHeight="1" spans="1:3">
      <c r="A1086" s="5" t="s">
        <v>2266</v>
      </c>
      <c r="B1086" s="6"/>
      <c r="C1086" s="9" t="str">
        <f>IFERROR(VLOOKUP(VENTAS4[[#This Row],[Code]],STOCK[],5,FALSE),"-")</f>
        <v>Pantalones playeros estampados</v>
      </c>
    </row>
    <row r="1087" s="2" customFormat="1" ht="55" customHeight="1" spans="1:3">
      <c r="A1087" s="5" t="s">
        <v>2268</v>
      </c>
      <c r="B1087" s="6"/>
      <c r="C1087" s="9" t="str">
        <f>IFERROR(VLOOKUP(VENTAS4[[#This Row],[Code]],STOCK[],5,FALSE),"-")</f>
        <v>Pantalones playeros estampados</v>
      </c>
    </row>
    <row r="1088" s="2" customFormat="1" ht="55" customHeight="1" spans="1:3">
      <c r="A1088" s="5" t="s">
        <v>2270</v>
      </c>
      <c r="B1088" s="6"/>
      <c r="C1088" s="9" t="str">
        <f>IFERROR(VLOOKUP(VENTAS4[[#This Row],[Code]],STOCK[],5,FALSE),"-")</f>
        <v>Bolso shopper flores pequeñas coloridas</v>
      </c>
    </row>
    <row r="1089" s="2" customFormat="1" ht="55" customHeight="1" spans="1:3">
      <c r="A1089" s="5" t="s">
        <v>2273</v>
      </c>
      <c r="B1089" s="6"/>
      <c r="C1089" s="9" t="str">
        <f>IFERROR(VLOOKUP(VENTAS4[[#This Row],[Code]],STOCK[],5,FALSE),"-")</f>
        <v>Bolso shopper flores pequeñas rosadas</v>
      </c>
    </row>
    <row r="1090" s="2" customFormat="1" ht="55" customHeight="1" spans="1:3">
      <c r="A1090" s="5" t="s">
        <v>2276</v>
      </c>
      <c r="B1090" s="6"/>
      <c r="C1090" s="9" t="str">
        <f>IFERROR(VLOOKUP(VENTAS4[[#This Row],[Code]],STOCK[],5,FALSE),"-")</f>
        <v>Bolso de mano multipropósito de lona unisex</v>
      </c>
    </row>
    <row r="1091" s="2" customFormat="1" ht="55" customHeight="1" spans="1:3">
      <c r="A1091" s="5" t="s">
        <v>2279</v>
      </c>
      <c r="B1091" s="6"/>
      <c r="C1091" s="9" t="str">
        <f>IFERROR(VLOOKUP(VENTAS4[[#This Row],[Code]],STOCK[],5,FALSE),"-")</f>
        <v>Bolso pequeño estampado de mariposas</v>
      </c>
    </row>
    <row r="1092" s="2" customFormat="1" ht="55" customHeight="1" spans="1:3">
      <c r="A1092" s="5" t="s">
        <v>2282</v>
      </c>
      <c r="B1092" s="6"/>
      <c r="C1092" s="9" t="str">
        <f>IFERROR(VLOOKUP(VENTAS4[[#This Row],[Code]],STOCK[],5,FALSE),"-")</f>
        <v>Bolso de lienzo estampado de corazón</v>
      </c>
    </row>
    <row r="1093" s="2" customFormat="1" ht="55" customHeight="1" spans="1:3">
      <c r="A1093" s="5" t="s">
        <v>2285</v>
      </c>
      <c r="B1093" s="6"/>
      <c r="C1093" s="9" t="str">
        <f>IFERROR(VLOOKUP(VENTAS4[[#This Row],[Code]],STOCK[],5,FALSE),"-")</f>
        <v>Bolso de lona en bloque de color</v>
      </c>
    </row>
    <row r="1094" s="2" customFormat="1" ht="55" customHeight="1" spans="1:3">
      <c r="A1094" s="5" t="s">
        <v>2288</v>
      </c>
      <c r="B1094" s="6"/>
      <c r="C1094" s="9" t="str">
        <f>IFERROR(VLOOKUP(VENTAS4[[#This Row],[Code]],STOCK[],5,FALSE),"-")</f>
        <v>Maxi vestido de cuello healter de Lunares</v>
      </c>
    </row>
    <row r="1095" s="2" customFormat="1" ht="55" customHeight="1" spans="1:3">
      <c r="A1095" s="5" t="s">
        <v>2291</v>
      </c>
      <c r="B1095" s="6"/>
      <c r="C1095" s="9" t="str">
        <f>IFERROR(VLOOKUP(VENTAS4[[#This Row],[Code]],STOCK[],5,FALSE),"-")</f>
        <v>Set de bikini Vacaciones en bloque de color</v>
      </c>
    </row>
    <row r="1096" s="2" customFormat="1" ht="55" customHeight="1" spans="1:3">
      <c r="A1096" s="5" t="s">
        <v>2294</v>
      </c>
      <c r="B1096" s="6"/>
      <c r="C1096" s="9" t="str">
        <f>IFERROR(VLOOKUP(VENTAS4[[#This Row],[Code]],STOCK[],5,FALSE),"-")</f>
        <v>Pantalones sueltos estampado de plantas</v>
      </c>
    </row>
    <row r="1097" s="2" customFormat="1" ht="55" customHeight="1" spans="1:3">
      <c r="A1097" s="5" t="s">
        <v>2297</v>
      </c>
      <c r="B1097" s="6"/>
      <c r="C1097" s="9" t="str">
        <f>IFERROR(VLOOKUP(VENTAS4[[#This Row],[Code]],STOCK[],5,FALSE),"-")</f>
        <v>Vestido estampado con abertura y ajuste en cintura</v>
      </c>
    </row>
    <row r="1098" s="2" customFormat="1" ht="55" customHeight="1" spans="1:3">
      <c r="A1098" s="5" t="s">
        <v>2300</v>
      </c>
      <c r="B1098" s="6"/>
      <c r="C1098" s="9" t="str">
        <f>IFERROR(VLOOKUP(VENTAS4[[#This Row],[Code]],STOCK[],5,FALSE),"-")</f>
        <v>Bikini atado a los lados con estampado de cerezas</v>
      </c>
    </row>
    <row r="1099" s="2" customFormat="1" ht="55" customHeight="1" spans="1:3">
      <c r="A1099" s="5" t="s">
        <v>2303</v>
      </c>
      <c r="B1099" s="6"/>
      <c r="C1099" s="9" t="str">
        <f>IFERROR(VLOOKUP(VENTAS4[[#This Row],[Code]],STOCK[],5,FALSE),"-")</f>
        <v>Bikini atado a los lados con estampado de cerezas</v>
      </c>
    </row>
    <row r="1100" s="2" customFormat="1" ht="55" customHeight="1" spans="1:3">
      <c r="A1100" s="5" t="s">
        <v>2305</v>
      </c>
      <c r="B1100" s="6"/>
      <c r="C1100" s="9" t="str">
        <f>IFERROR(VLOOKUP(VENTAS4[[#This Row],[Code]],STOCK[],5,FALSE),"-")</f>
        <v>Bikini atado a los lados con estampado de cerezas</v>
      </c>
    </row>
    <row r="1101" s="2" customFormat="1" ht="55" customHeight="1" spans="1:3">
      <c r="A1101" s="5" t="s">
        <v>2307</v>
      </c>
      <c r="B1101" s="6"/>
      <c r="C1101" s="9" t="str">
        <f>IFERROR(VLOOKUP(VENTAS4[[#This Row],[Code]],STOCK[],5,FALSE),"-")</f>
        <v>Blusa Vacaciones con lazo delantero</v>
      </c>
    </row>
    <row r="1102" s="2" customFormat="1" ht="55" customHeight="1" spans="1:3">
      <c r="A1102" s="5" t="s">
        <v>2310</v>
      </c>
      <c r="B1102" s="6"/>
      <c r="C1102" s="9" t="str">
        <f>IFERROR(VLOOKUP(VENTAS4[[#This Row],[Code]],STOCK[],5,FALSE),"-")</f>
        <v>Blusa Vacaciones con lazo delantero</v>
      </c>
    </row>
    <row r="1103" s="2" customFormat="1" ht="55" customHeight="1" spans="1:3">
      <c r="A1103" s="5" t="s">
        <v>2312</v>
      </c>
      <c r="B1103" s="6"/>
      <c r="C1103" s="9" t="str">
        <f>IFERROR(VLOOKUP(VENTAS4[[#This Row],[Code]],STOCK[],5,FALSE),"-")</f>
        <v>Blusa Vacaciones con lazo delantero</v>
      </c>
    </row>
    <row r="1104" s="2" customFormat="1" ht="55" customHeight="1" spans="1:3">
      <c r="A1104" s="5" t="s">
        <v>2314</v>
      </c>
      <c r="B1104" s="6"/>
      <c r="C1104" s="9" t="str">
        <f>IFERROR(VLOOKUP(VENTAS4[[#This Row],[Code]],STOCK[],5,FALSE),"-")</f>
        <v>Vestido color block  bohemio</v>
      </c>
    </row>
    <row r="1105" s="2" customFormat="1" ht="55" customHeight="1" spans="1:3">
      <c r="A1105" s="5" t="s">
        <v>2318</v>
      </c>
      <c r="B1105" s="6"/>
      <c r="C1105" s="9" t="str">
        <f>IFERROR(VLOOKUP(VENTAS4[[#This Row],[Code]],STOCK[],5,FALSE),"-")</f>
        <v>Vestido color block de bajo asimétrico</v>
      </c>
    </row>
    <row r="1106" s="2" customFormat="1" ht="55" customHeight="1" spans="1:3">
      <c r="A1106" s="5" t="s">
        <v>2321</v>
      </c>
      <c r="B1106" s="6"/>
      <c r="C1106" s="9" t="str">
        <f>IFERROR(VLOOKUP(VENTAS4[[#This Row],[Code]],STOCK[],5,FALSE),"-")</f>
        <v>Pantalón palazzo estiloso</v>
      </c>
    </row>
    <row r="1107" s="2" customFormat="1" ht="55" customHeight="1" spans="1:3">
      <c r="A1107" s="5" t="s">
        <v>2324</v>
      </c>
      <c r="B1107" s="6"/>
      <c r="C1107" s="9" t="str">
        <f>IFERROR(VLOOKUP(VENTAS4[[#This Row],[Code]],STOCK[],5,FALSE),"-")</f>
        <v>Pantalón palazzo estiloso</v>
      </c>
    </row>
    <row r="1108" s="2" customFormat="1" ht="55" customHeight="1" spans="1:3">
      <c r="A1108" s="5" t="s">
        <v>2326</v>
      </c>
      <c r="B1108" s="6"/>
      <c r="C1108" s="9" t="str">
        <f>IFERROR(VLOOKUP(VENTAS4[[#This Row],[Code]],STOCK[],5,FALSE),"-")</f>
        <v>Pantalón palazzo estiloso</v>
      </c>
    </row>
    <row r="1109" s="2" customFormat="1" ht="55" customHeight="1" spans="1:3">
      <c r="A1109" s="5" t="s">
        <v>2328</v>
      </c>
      <c r="B1109" s="6"/>
      <c r="C1109" s="9" t="str">
        <f>IFERROR(VLOOKUP(VENTAS4[[#This Row],[Code]],STOCK[],5,FALSE),"-")</f>
        <v>Pantalón palazzo estiloso</v>
      </c>
    </row>
    <row r="1110" s="2" customFormat="1" ht="55" customHeight="1" spans="1:3">
      <c r="A1110" s="5" t="s">
        <v>2330</v>
      </c>
      <c r="B1110" s="6"/>
      <c r="C1110" s="9" t="str">
        <f>IFERROR(VLOOKUP(VENTAS4[[#This Row],[Code]],STOCK[],5,FALSE),"-")</f>
        <v>Set de 3 piezas bikini con estampado floral</v>
      </c>
    </row>
    <row r="1111" s="2" customFormat="1" ht="55" customHeight="1" spans="1:3">
      <c r="A1111" s="5" t="s">
        <v>2334</v>
      </c>
      <c r="B1111" s="6"/>
      <c r="C1111" s="9" t="str">
        <f>IFERROR(VLOOKUP(VENTAS4[[#This Row],[Code]],STOCK[],5,FALSE),"-")</f>
        <v>Bikini bandeau de estilo floral</v>
      </c>
    </row>
    <row r="1112" s="2" customFormat="1" ht="55" customHeight="1" spans="1:3">
      <c r="A1112" s="5" t="s">
        <v>2337</v>
      </c>
      <c r="B1112" s="6"/>
      <c r="C1112" s="9" t="str">
        <f>IFERROR(VLOOKUP(VENTAS4[[#This Row],[Code]],STOCK[],5,FALSE),"-")</f>
        <v>Bikini bandeau de estilo floral</v>
      </c>
    </row>
    <row r="1113" s="2" customFormat="1" ht="55" customHeight="1" spans="1:3">
      <c r="A1113" s="5" t="s">
        <v>2339</v>
      </c>
      <c r="B1113" s="6"/>
      <c r="C1113" s="9" t="str">
        <f>IFERROR(VLOOKUP(VENTAS4[[#This Row],[Code]],STOCK[],5,FALSE),"-")</f>
        <v>Bikini bandeau de estilo floral</v>
      </c>
    </row>
    <row r="1114" s="2" customFormat="1" ht="55" customHeight="1" spans="1:3">
      <c r="A1114" s="5" t="s">
        <v>2341</v>
      </c>
      <c r="B1114" s="6"/>
      <c r="C1114" s="9" t="str">
        <f>IFERROR(VLOOKUP(VENTAS4[[#This Row],[Code]],STOCK[],5,FALSE),"-")</f>
        <v>Set de 3 piezas bikini de moda estampado de hoja</v>
      </c>
    </row>
    <row r="1115" s="2" customFormat="1" ht="55" customHeight="1" spans="1:3">
      <c r="A1115" s="5" t="s">
        <v>2344</v>
      </c>
      <c r="B1115" s="6"/>
      <c r="C1115" s="9" t="str">
        <f>IFERROR(VLOOKUP(VENTAS4[[#This Row],[Code]],STOCK[],5,FALSE),"-")</f>
        <v>Set de 3 piezas bikini de moda estampado de hoja</v>
      </c>
    </row>
    <row r="1116" s="2" customFormat="1" ht="55" customHeight="1" spans="1:3">
      <c r="A1116" s="5" t="s">
        <v>2346</v>
      </c>
      <c r="B1116" s="6"/>
      <c r="C1116" s="9" t="str">
        <f>IFERROR(VLOOKUP(VENTAS4[[#This Row],[Code]],STOCK[],5,FALSE),"-")</f>
        <v>Set de 3 piezas bikini de moda estampado de hoja</v>
      </c>
    </row>
    <row r="1117" s="2" customFormat="1" ht="55" customHeight="1" spans="1:3">
      <c r="A1117" s="5" t="s">
        <v>2348</v>
      </c>
      <c r="B1117" s="6"/>
      <c r="C1117" s="9" t="str">
        <f>IFERROR(VLOOKUP(VENTAS4[[#This Row],[Code]],STOCK[],5,FALSE),"-")</f>
        <v>Set de 3 piezas bikini de moda estampado de hoja</v>
      </c>
    </row>
    <row r="1118" s="2" customFormat="1" ht="55" customHeight="1" spans="1:3">
      <c r="A1118" s="5" t="s">
        <v>2350</v>
      </c>
      <c r="B1118" s="6"/>
      <c r="C1118" s="9" t="str">
        <f>IFERROR(VLOOKUP(VENTAS4[[#This Row],[Code]],STOCK[],5,FALSE),"-")</f>
        <v>Espejuelos rectangulares unisex adorno de carey</v>
      </c>
    </row>
    <row r="1119" s="2" customFormat="1" ht="55" customHeight="1" spans="1:3">
      <c r="A1119" s="5" t="s">
        <v>2353</v>
      </c>
      <c r="B1119" s="6"/>
      <c r="C1119" s="9" t="str">
        <f>IFERROR(VLOOKUP(VENTAS4[[#This Row],[Code]],STOCK[],5,FALSE),"-")</f>
        <v>Espejuelos rectangulares unisex de color sólido</v>
      </c>
    </row>
    <row r="1120" s="2" customFormat="1" ht="55" customHeight="1" spans="1:3">
      <c r="A1120" s="5" t="s">
        <v>2356</v>
      </c>
      <c r="B1120" s="6"/>
      <c r="C1120" s="9" t="str">
        <f>IFERROR(VLOOKUP(VENTAS4[[#This Row],[Code]],STOCK[],5,FALSE),"-")</f>
        <v>Espejuelos rectangulares unisex</v>
      </c>
    </row>
    <row r="1121" s="2" customFormat="1" ht="55" customHeight="1" spans="1:3">
      <c r="A1121" s="5" t="s">
        <v>2359</v>
      </c>
      <c r="B1121" s="6"/>
      <c r="C1121" s="9" t="str">
        <f>IFERROR(VLOOKUP(VENTAS4[[#This Row],[Code]],STOCK[],5,FALSE),"-")</f>
        <v>Espejuelos estilo cat eye</v>
      </c>
    </row>
    <row r="1122" s="2" customFormat="1" ht="55" customHeight="1" spans="1:3">
      <c r="A1122" s="5" t="s">
        <v>2362</v>
      </c>
      <c r="B1122" s="6"/>
      <c r="C1122" s="9" t="str">
        <f>IFERROR(VLOOKUP(VENTAS4[[#This Row],[Code]],STOCK[],5,FALSE),"-")</f>
        <v>2 piezas bikini push up accesorio</v>
      </c>
    </row>
    <row r="1123" s="2" customFormat="1" ht="55" customHeight="1" spans="1:3">
      <c r="A1123" s="5" t="s">
        <v>2365</v>
      </c>
      <c r="B1123" s="6"/>
      <c r="C1123" s="9" t="str">
        <f>IFERROR(VLOOKUP(VENTAS4[[#This Row],[Code]],STOCK[],5,FALSE),"-")</f>
        <v>Sombrero de protección Verano fashionista</v>
      </c>
    </row>
    <row r="1124" s="2" customFormat="1" ht="55" customHeight="1" spans="1:3">
      <c r="A1124" s="5" t="s">
        <v>2368</v>
      </c>
      <c r="B1124" s="6"/>
      <c r="C1124" s="9" t="str">
        <f>IFERROR(VLOOKUP(VENTAS4[[#This Row],[Code]],STOCK[],5,FALSE),"-")</f>
        <v>Blusa atada al frente de estilo casual</v>
      </c>
    </row>
    <row r="1125" s="2" customFormat="1" ht="55" customHeight="1" spans="1:3">
      <c r="A1125" s="5" t="s">
        <v>2372</v>
      </c>
      <c r="B1125" s="6"/>
      <c r="C1125" s="9" t="str">
        <f>IFERROR(VLOOKUP(VENTAS4[[#This Row],[Code]],STOCK[],5,FALSE),"-")</f>
        <v>Blusa atada al frente de estilo casual</v>
      </c>
    </row>
    <row r="1126" s="2" customFormat="1" ht="55" customHeight="1" spans="1:3">
      <c r="A1126" s="5" t="s">
        <v>2374</v>
      </c>
      <c r="B1126" s="6"/>
      <c r="C1126" s="9" t="str">
        <f>IFERROR(VLOOKUP(VENTAS4[[#This Row],[Code]],STOCK[],5,FALSE),"-")</f>
        <v>Vestido elegante de botones en color sólido</v>
      </c>
    </row>
    <row r="1127" s="2" customFormat="1" ht="55" customHeight="1" spans="1:3">
      <c r="A1127" s="5" t="s">
        <v>2378</v>
      </c>
      <c r="B1127" s="6"/>
      <c r="C1127" s="9" t="str">
        <f>IFERROR(VLOOKUP(VENTAS4[[#This Row],[Code]],STOCK[],5,FALSE),"-")</f>
        <v>Vestido elegante de botones en color sólido</v>
      </c>
    </row>
    <row r="1128" s="2" customFormat="1" ht="55" customHeight="1" spans="1:3">
      <c r="A1128" s="5" t="s">
        <v>2380</v>
      </c>
      <c r="B1128" s="6"/>
      <c r="C1128" s="9" t="str">
        <f>IFERROR(VLOOKUP(VENTAS4[[#This Row],[Code]],STOCK[],5,FALSE),"-")</f>
        <v>Vestido elegante de botones en color sólido</v>
      </c>
    </row>
    <row r="1129" s="2" customFormat="1" ht="55" customHeight="1" spans="1:3">
      <c r="A1129" s="5" t="s">
        <v>2382</v>
      </c>
      <c r="B1129" s="6"/>
      <c r="C1129" s="9" t="str">
        <f>IFERROR(VLOOKUP(VENTAS4[[#This Row],[Code]],STOCK[],5,FALSE),"-")</f>
        <v>Espejuelos de sol vintage clásicas aviador</v>
      </c>
    </row>
    <row r="1130" s="2" customFormat="1" ht="55" customHeight="1" spans="1:3">
      <c r="A1130" s="5" t="s">
        <v>2385</v>
      </c>
      <c r="B1130" s="6"/>
      <c r="C1130" s="9" t="str">
        <f>IFERROR(VLOOKUP(VENTAS4[[#This Row],[Code]],STOCK[],5,FALSE),"-")</f>
        <v>Sandalias cruzadas de plataforma F21</v>
      </c>
    </row>
    <row r="1131" s="2" customFormat="1" ht="55" customHeight="1" spans="1:3">
      <c r="A1131" s="15" t="s">
        <v>2387</v>
      </c>
      <c r="B1131" s="13"/>
      <c r="C1131" s="9" t="str">
        <f>IFERROR(VLOOKUP(VENTAS4[[#This Row],[Code]],STOCK[],5,FALSE),"-")</f>
        <v>Pullover Dazy cuello redondo Blanco</v>
      </c>
    </row>
    <row r="1132" s="2" customFormat="1" ht="55" customHeight="1" spans="1:3">
      <c r="A1132" s="15" t="s">
        <v>2388</v>
      </c>
      <c r="B1132" s="6"/>
      <c r="C1132" s="9" t="str">
        <f>IFERROR(VLOOKUP(VENTAS4[[#This Row],[Code]],STOCK[],5,FALSE),"-")</f>
        <v>Pullover Dazy cuello redondo Negro</v>
      </c>
    </row>
    <row r="1133" s="2" customFormat="1" ht="55" customHeight="1" spans="1:3">
      <c r="A1133" s="15" t="s">
        <v>2389</v>
      </c>
      <c r="B1133" s="6"/>
      <c r="C1133" s="9" t="str">
        <f>IFERROR(VLOOKUP(VENTAS4[[#This Row],[Code]],STOCK[],5,FALSE),"-")</f>
        <v>Sandalias de tiras con tacón cuadrado Marca H&amp;M</v>
      </c>
    </row>
    <row r="1134" s="2" customFormat="1" ht="55" customHeight="1" spans="1:3">
      <c r="A1134" s="15" t="s">
        <v>2394</v>
      </c>
      <c r="B1134" s="6"/>
      <c r="C1134" s="9" t="str">
        <f>IFERROR(VLOOKUP(VENTAS4[[#This Row],[Code]],STOCK[],5,FALSE),"-")</f>
        <v>Sandalias de tiras con tacón cuadrado</v>
      </c>
    </row>
    <row r="1135" s="2" customFormat="1" ht="55" customHeight="1" spans="1:3">
      <c r="A1135" s="15" t="s">
        <v>2397</v>
      </c>
      <c r="B1135" s="6"/>
      <c r="C1135" s="9" t="str">
        <f>IFERROR(VLOOKUP(VENTAS4[[#This Row],[Code]],STOCK[],5,FALSE),"-")</f>
        <v>Sandalias de tiras con tacón cuadrado</v>
      </c>
    </row>
    <row r="1136" s="2" customFormat="1" ht="55" customHeight="1" spans="1:3">
      <c r="A1136" s="15" t="s">
        <v>2399</v>
      </c>
      <c r="B1136" s="6"/>
      <c r="C1136" s="9" t="str">
        <f>IFERROR(VLOOKUP(VENTAS4[[#This Row],[Code]],STOCK[],5,FALSE),"-")</f>
        <v>Sandalias de tiras con tacón cuadrado</v>
      </c>
    </row>
    <row r="1137" s="2" customFormat="1" ht="55" customHeight="1" spans="1:3">
      <c r="A1137" s="15" t="s">
        <v>2401</v>
      </c>
      <c r="B1137" s="6"/>
      <c r="C1137" s="9" t="str">
        <f>IFERROR(VLOOKUP(VENTAS4[[#This Row],[Code]],STOCK[],5,FALSE),"-")</f>
        <v>Sandalias de tiras con tacón cuadrado</v>
      </c>
    </row>
    <row r="1138" s="2" customFormat="1" ht="55" customHeight="1" spans="1:3">
      <c r="A1138" s="15" t="s">
        <v>2403</v>
      </c>
      <c r="B1138" s="6"/>
      <c r="C1138" s="9" t="str">
        <f>IFERROR(VLOOKUP(VENTAS4[[#This Row],[Code]],STOCK[],5,FALSE),"-")</f>
        <v>Pantalón de vestir de viscosa y lino (beige claro)</v>
      </c>
    </row>
    <row r="1139" s="2" customFormat="1" ht="55" customHeight="1" spans="1:3">
      <c r="A1139" s="15" t="s">
        <v>2406</v>
      </c>
      <c r="B1139" s="6"/>
      <c r="C1139" s="9" t="str">
        <f>IFERROR(VLOOKUP(VENTAS4[[#This Row],[Code]],STOCK[],5,FALSE),"-")</f>
        <v>Pantalón de vestir de viscosa y lino (beige claro)</v>
      </c>
    </row>
    <row r="1140" s="2" customFormat="1" ht="55" customHeight="1" spans="1:3">
      <c r="A1140" s="15" t="s">
        <v>2408</v>
      </c>
      <c r="B1140" s="6"/>
      <c r="C1140" s="9" t="str">
        <f>IFERROR(VLOOKUP(VENTAS4[[#This Row],[Code]],STOCK[],5,FALSE),"-")</f>
        <v>Pantalón de vestir de viscosa y lino (beige claro)</v>
      </c>
    </row>
    <row r="1141" s="2" customFormat="1" ht="55" customHeight="1" spans="1:3">
      <c r="A1141" s="15" t="s">
        <v>2410</v>
      </c>
      <c r="B1141" s="6"/>
      <c r="C1141" s="9" t="str">
        <f>IFERROR(VLOOKUP(VENTAS4[[#This Row],[Code]],STOCK[],5,FALSE),"-")</f>
        <v>Pantalón de vestir de viscosa y lino (beige claro)</v>
      </c>
    </row>
    <row r="1142" s="2" customFormat="1" ht="55" customHeight="1" spans="1:3">
      <c r="A1142" s="15" t="s">
        <v>2412</v>
      </c>
      <c r="B1142" s="6"/>
      <c r="C1142" s="9" t="str">
        <f>IFERROR(VLOOKUP(VENTAS4[[#This Row],[Code]],STOCK[],5,FALSE),"-")</f>
        <v>Pantalón de vestir de viscosa y lino (beige claro)</v>
      </c>
    </row>
    <row r="1143" s="2" customFormat="1" ht="55" customHeight="1" spans="1:3">
      <c r="A1143" s="15" t="s">
        <v>2415</v>
      </c>
      <c r="B1143" s="6"/>
      <c r="C1143" s="9" t="str">
        <f>IFERROR(VLOOKUP(VENTAS4[[#This Row],[Code]],STOCK[],5,FALSE),"-")</f>
        <v>Camisa blanca en mezcla de algodón</v>
      </c>
    </row>
    <row r="1144" s="2" customFormat="1" ht="55" customHeight="1" spans="1:3">
      <c r="A1144" s="15" t="s">
        <v>2418</v>
      </c>
      <c r="B1144" s="6"/>
      <c r="C1144" s="9" t="str">
        <f>IFERROR(VLOOKUP(VENTAS4[[#This Row],[Code]],STOCK[],5,FALSE),"-")</f>
        <v>Camisa blanca en mezcla de algodón</v>
      </c>
    </row>
    <row r="1145" s="2" customFormat="1" ht="55" customHeight="1" spans="1:3">
      <c r="A1145" s="15" t="s">
        <v>2420</v>
      </c>
      <c r="B1145" s="6"/>
      <c r="C1145" s="9" t="str">
        <f>IFERROR(VLOOKUP(VENTAS4[[#This Row],[Code]],STOCK[],5,FALSE),"-")</f>
        <v>Camisa blanca en mezcla de algodón</v>
      </c>
    </row>
    <row r="1146" s="2" customFormat="1" ht="55" customHeight="1" spans="1:3">
      <c r="A1146" s="15" t="s">
        <v>2422</v>
      </c>
      <c r="B1146" s="6"/>
      <c r="C1146" s="9" t="str">
        <f>IFERROR(VLOOKUP(VENTAS4[[#This Row],[Code]],STOCK[],5,FALSE),"-")</f>
        <v>Pantalón ancho con cordón ajustable</v>
      </c>
    </row>
    <row r="1147" s="2" customFormat="1" ht="55" customHeight="1" spans="1:3">
      <c r="A1147" s="15" t="s">
        <v>2425</v>
      </c>
      <c r="B1147" s="6"/>
      <c r="C1147" s="9" t="str">
        <f>IFERROR(VLOOKUP(VENTAS4[[#This Row],[Code]],STOCK[],5,FALSE),"-")</f>
        <v>Pantalón ancho con cordón ajustable</v>
      </c>
    </row>
    <row r="1148" s="2" customFormat="1" ht="55" customHeight="1" spans="1:3">
      <c r="A1148" s="15" t="s">
        <v>2427</v>
      </c>
      <c r="B1148" s="6"/>
      <c r="C1148" s="9" t="str">
        <f>IFERROR(VLOOKUP(VENTAS4[[#This Row],[Code]],STOCK[],5,FALSE),"-")</f>
        <v>Pantalón ancho con cordón ajustable</v>
      </c>
    </row>
    <row r="1149" s="2" customFormat="1" ht="55" customHeight="1" spans="1:3">
      <c r="A1149" s="15" t="s">
        <v>2429</v>
      </c>
      <c r="B1149" s="6"/>
      <c r="C1149" s="9" t="str">
        <f>IFERROR(VLOOKUP(VENTAS4[[#This Row],[Code]],STOCK[],5,FALSE),"-")</f>
        <v>Pantalón ancho con cordón ajustable</v>
      </c>
    </row>
    <row r="1150" s="2" customFormat="1" ht="55" customHeight="1" spans="1:3">
      <c r="A1150" s="15" t="s">
        <v>2431</v>
      </c>
      <c r="B1150" s="6"/>
      <c r="C1150" s="9" t="str">
        <f>IFERROR(VLOOKUP(VENTAS4[[#This Row],[Code]],STOCK[],5,FALSE),"-")</f>
        <v>Pantalón ancho con cordón ajustable</v>
      </c>
    </row>
    <row r="1151" s="2" customFormat="1" ht="55" customHeight="1" spans="1:3">
      <c r="A1151" s="15" t="s">
        <v>2433</v>
      </c>
      <c r="B1151" s="6"/>
      <c r="C1151" s="9" t="str">
        <f>IFERROR(VLOOKUP(VENTAS4[[#This Row],[Code]],STOCK[],5,FALSE),"-")</f>
        <v>Pantalón cigarrette ajustado elegante</v>
      </c>
    </row>
    <row r="1152" s="2" customFormat="1" ht="55" customHeight="1" spans="1:3">
      <c r="A1152" s="15" t="s">
        <v>2436</v>
      </c>
      <c r="B1152" s="6"/>
      <c r="C1152" s="9" t="str">
        <f>IFERROR(VLOOKUP(VENTAS4[[#This Row],[Code]],STOCK[],5,FALSE),"-")</f>
        <v>Pantalón cigarrette ajustado elegante</v>
      </c>
    </row>
    <row r="1153" s="2" customFormat="1" ht="55" customHeight="1" spans="1:3">
      <c r="A1153" s="15" t="s">
        <v>2438</v>
      </c>
      <c r="B1153" s="6"/>
      <c r="C1153" s="9" t="str">
        <f>IFERROR(VLOOKUP(VENTAS4[[#This Row],[Code]],STOCK[],5,FALSE),"-")</f>
        <v>Pantalón de vestir de viscosa y lino negro</v>
      </c>
    </row>
    <row r="1154" s="2" customFormat="1" ht="55" customHeight="1" spans="1:3">
      <c r="A1154" s="15" t="s">
        <v>2441</v>
      </c>
      <c r="B1154" s="6"/>
      <c r="C1154" s="9" t="str">
        <f>IFERROR(VLOOKUP(VENTAS4[[#This Row],[Code]],STOCK[],5,FALSE),"-")</f>
        <v>Pantalón de vestir de viscosa y lino negro</v>
      </c>
    </row>
    <row r="1155" s="2" customFormat="1" ht="55" customHeight="1" spans="1:3">
      <c r="A1155" s="15" t="s">
        <v>2443</v>
      </c>
      <c r="B1155" s="6"/>
      <c r="C1155" s="9" t="str">
        <f>IFERROR(VLOOKUP(VENTAS4[[#This Row],[Code]],STOCK[],5,FALSE),"-")</f>
        <v>Pantalón de vestir de viscosa y lino negro</v>
      </c>
    </row>
    <row r="1156" s="2" customFormat="1" ht="55" customHeight="1" spans="1:3">
      <c r="A1156" s="15" t="s">
        <v>3745</v>
      </c>
      <c r="B1156" s="6"/>
      <c r="C1156" s="9" t="str">
        <f>IFERROR(VLOOKUP(VENTAS4[[#This Row],[Code]],STOCK[],5,FALSE),"-")</f>
        <v>-</v>
      </c>
    </row>
    <row r="1157" s="2" customFormat="1" ht="55" customHeight="1" spans="1:3">
      <c r="A1157" s="15" t="s">
        <v>2445</v>
      </c>
      <c r="B1157" s="6"/>
      <c r="C1157" s="9" t="str">
        <f>IFERROR(VLOOKUP(VENTAS4[[#This Row],[Code]],STOCK[],5,FALSE),"-")</f>
        <v>Sandalias carmelitas de moda con correa de velcro</v>
      </c>
    </row>
    <row r="1158" s="2" customFormat="1" ht="55" customHeight="1" spans="1:3">
      <c r="A1158" s="15" t="s">
        <v>2450</v>
      </c>
      <c r="B1158" s="6"/>
      <c r="C1158" s="9" t="str">
        <f>IFERROR(VLOOKUP(VENTAS4[[#This Row],[Code]],STOCK[],5,FALSE),"-")</f>
        <v>Sandalias carmelitas de moda con correa de velcro</v>
      </c>
    </row>
    <row r="1159" s="2" customFormat="1" ht="55" customHeight="1" spans="1:3">
      <c r="A1159" s="15" t="s">
        <v>2454</v>
      </c>
      <c r="B1159" s="6"/>
      <c r="C1159" s="9" t="str">
        <f>IFERROR(VLOOKUP(VENTAS4[[#This Row],[Code]],STOCK[],5,FALSE),"-")</f>
        <v>Sandalias prácticas Chunky Negras</v>
      </c>
    </row>
    <row r="1160" s="2" customFormat="1" ht="55" customHeight="1" spans="1:3">
      <c r="A1160" s="15" t="s">
        <v>2455</v>
      </c>
      <c r="B1160" s="6"/>
      <c r="C1160" s="9" t="str">
        <f>IFERROR(VLOOKUP(VENTAS4[[#This Row],[Code]],STOCK[],5,FALSE),"-")</f>
        <v>Sandalias prácticas Chunky Negras</v>
      </c>
    </row>
    <row r="1161" s="2" customFormat="1" ht="55" customHeight="1" spans="1:3">
      <c r="A1161" s="15" t="s">
        <v>2456</v>
      </c>
      <c r="B1161" s="6"/>
      <c r="C1161" s="9" t="str">
        <f>IFERROR(VLOOKUP(VENTAS4[[#This Row],[Code]],STOCK[],5,FALSE),"-")</f>
        <v>Sandalias prácticas Chunky Negras</v>
      </c>
    </row>
    <row r="1162" s="2" customFormat="1" ht="55" customHeight="1" spans="1:3">
      <c r="A1162" s="15" t="s">
        <v>3746</v>
      </c>
      <c r="B1162" s="6"/>
      <c r="C1162" s="9" t="str">
        <f>IFERROR(VLOOKUP(VENTAS4[[#This Row],[Code]],STOCK[],5,FALSE),"-")</f>
        <v>-</v>
      </c>
    </row>
    <row r="1163" s="2" customFormat="1" ht="55" customHeight="1" spans="1:3">
      <c r="A1163" s="15" t="s">
        <v>3547</v>
      </c>
      <c r="B1163" s="6"/>
      <c r="C1163" s="9" t="str">
        <f>IFERROR(VLOOKUP(VENTAS4[[#This Row],[Code]],STOCK[],5,FALSE),"-")</f>
        <v>-</v>
      </c>
    </row>
    <row r="1164" s="2" customFormat="1" ht="55" customHeight="1" spans="1:3">
      <c r="A1164" s="15" t="s">
        <v>3747</v>
      </c>
      <c r="B1164" s="6"/>
      <c r="C1164" s="9" t="str">
        <f>IFERROR(VLOOKUP(VENTAS4[[#This Row],[Code]],STOCK[],5,FALSE),"-")</f>
        <v>-</v>
      </c>
    </row>
    <row r="1165" s="2" customFormat="1" ht="55" customHeight="1" spans="1:3">
      <c r="A1165" s="15" t="s">
        <v>2457</v>
      </c>
      <c r="B1165" s="6"/>
      <c r="C1165" s="9" t="str">
        <f>IFERROR(VLOOKUP(VENTAS4[[#This Row],[Code]],STOCK[],5,FALSE),"-")</f>
        <v>Sneakers chunky blancos</v>
      </c>
    </row>
    <row r="1166" s="2" customFormat="1" ht="55" customHeight="1" spans="1:3">
      <c r="A1166" s="15" t="s">
        <v>2459</v>
      </c>
      <c r="B1166" s="6"/>
      <c r="C1166" s="9" t="str">
        <f>IFERROR(VLOOKUP(VENTAS4[[#This Row],[Code]],STOCK[],5,FALSE),"-")</f>
        <v>Sneakers chunky blancos</v>
      </c>
    </row>
    <row r="1167" s="2" customFormat="1" ht="55" customHeight="1" spans="1:3">
      <c r="A1167" s="15" t="s">
        <v>2460</v>
      </c>
      <c r="B1167" s="6"/>
      <c r="C1167" s="9" t="str">
        <f>IFERROR(VLOOKUP(VENTAS4[[#This Row],[Code]],STOCK[],5,FALSE),"-")</f>
        <v>Sandalias de plataforma en bloque de color</v>
      </c>
    </row>
    <row r="1168" s="2" customFormat="1" ht="55" customHeight="1" spans="1:3">
      <c r="A1168" s="15" t="s">
        <v>2462</v>
      </c>
      <c r="B1168" s="6"/>
      <c r="C1168" s="9" t="str">
        <f>IFERROR(VLOOKUP(VENTAS4[[#This Row],[Code]],STOCK[],5,FALSE),"-")</f>
        <v>Sandalias de plataforma en bloque de color</v>
      </c>
    </row>
    <row r="1169" s="2" customFormat="1" ht="55" customHeight="1" spans="1:3">
      <c r="A1169" s="15" t="s">
        <v>2463</v>
      </c>
      <c r="B1169" s="6"/>
      <c r="C1169" s="9" t="str">
        <f>IFERROR(VLOOKUP(VENTAS4[[#This Row],[Code]],STOCK[],5,FALSE),"-")</f>
        <v>Sandalias de plataforma en bloque de color</v>
      </c>
    </row>
    <row r="1170" s="2" customFormat="1" ht="55" customHeight="1" spans="1:3">
      <c r="A1170" s="15" t="s">
        <v>2464</v>
      </c>
      <c r="B1170" s="6"/>
      <c r="C1170" s="9" t="str">
        <f>IFERROR(VLOOKUP(VENTAS4[[#This Row],[Code]],STOCK[],5,FALSE),"-")</f>
        <v>Sandalias de plataforma en bloque de color</v>
      </c>
    </row>
    <row r="1171" s="2" customFormat="1" ht="55" customHeight="1" spans="1:3">
      <c r="A1171" s="15" t="s">
        <v>2465</v>
      </c>
      <c r="B1171" s="6"/>
      <c r="C1171" s="9" t="str">
        <f>IFERROR(VLOOKUP(VENTAS4[[#This Row],[Code]],STOCK[],5,FALSE),"-")</f>
        <v>Sandalias de tacón de punta fina con diseño crochet</v>
      </c>
    </row>
    <row r="1172" s="2" customFormat="1" ht="55" customHeight="1" spans="1:3">
      <c r="A1172" s="15" t="s">
        <v>2467</v>
      </c>
      <c r="B1172" s="6"/>
      <c r="C1172" s="9" t="str">
        <f>IFERROR(VLOOKUP(VENTAS4[[#This Row],[Code]],STOCK[],5,FALSE),"-")</f>
        <v>Sandalias strappy de plataforma color beige</v>
      </c>
    </row>
    <row r="1173" s="2" customFormat="1" ht="55" customHeight="1" spans="1:3">
      <c r="A1173" s="15" t="s">
        <v>2469</v>
      </c>
      <c r="B1173" s="6"/>
      <c r="C1173" s="9" t="str">
        <f>IFERROR(VLOOKUP(VENTAS4[[#This Row],[Code]],STOCK[],5,FALSE),"-")</f>
        <v>Sandalias strappy de plataforma color beige</v>
      </c>
    </row>
    <row r="1174" s="2" customFormat="1" ht="55" customHeight="1" spans="1:3">
      <c r="A1174" s="15" t="s">
        <v>2470</v>
      </c>
      <c r="B1174" s="6"/>
      <c r="C1174" s="9" t="str">
        <f>IFERROR(VLOOKUP(VENTAS4[[#This Row],[Code]],STOCK[],5,FALSE),"-")</f>
        <v>Sandalias de plataforma de tacón grueso</v>
      </c>
    </row>
    <row r="1175" s="2" customFormat="1" ht="55" customHeight="1" spans="1:3">
      <c r="A1175" s="15" t="s">
        <v>2472</v>
      </c>
      <c r="B1175" s="6"/>
      <c r="C1175" s="9" t="str">
        <f>IFERROR(VLOOKUP(VENTAS4[[#This Row],[Code]],STOCK[],5,FALSE),"-")</f>
        <v>Sandalias espadriles nude</v>
      </c>
    </row>
    <row r="1176" s="2" customFormat="1" ht="55" customHeight="1" spans="1:3">
      <c r="A1176" s="15" t="s">
        <v>2474</v>
      </c>
      <c r="B1176" s="6"/>
      <c r="C1176" s="9" t="str">
        <f>IFERROR(VLOOKUP(VENTAS4[[#This Row],[Code]],STOCK[],5,FALSE),"-")</f>
        <v>Sandalias espadriles nude</v>
      </c>
    </row>
    <row r="1177" s="2" customFormat="1" ht="55" customHeight="1" spans="1:3">
      <c r="A1177" s="15" t="s">
        <v>2475</v>
      </c>
      <c r="B1177" s="6"/>
      <c r="C1177" s="9" t="str">
        <f>IFERROR(VLOOKUP(VENTAS4[[#This Row],[Code]],STOCK[],5,FALSE),"-")</f>
        <v>Tacones de punta fina con flor de piedras</v>
      </c>
    </row>
    <row r="1178" s="2" customFormat="1" ht="55" customHeight="1" spans="1:3">
      <c r="A1178" s="15" t="s">
        <v>2477</v>
      </c>
      <c r="B1178" s="6"/>
      <c r="C1178" s="9" t="str">
        <f>IFERROR(VLOOKUP(VENTAS4[[#This Row],[Code]],STOCK[],5,FALSE),"-")</f>
        <v>Sandalias finas strappy rojas de tacón</v>
      </c>
    </row>
    <row r="1179" s="2" customFormat="1" ht="55" customHeight="1" spans="1:3">
      <c r="A1179" s="15" t="s">
        <v>2479</v>
      </c>
      <c r="B1179" s="6"/>
      <c r="C1179" s="9" t="str">
        <f>IFERROR(VLOOKUP(VENTAS4[[#This Row],[Code]],STOCK[],5,FALSE),"-")</f>
        <v>Sandalias finas strappy rojas de tacón</v>
      </c>
    </row>
    <row r="1180" s="2" customFormat="1" ht="55" customHeight="1" spans="1:3">
      <c r="A1180" s="15" t="s">
        <v>2480</v>
      </c>
      <c r="B1180" s="6"/>
      <c r="C1180" s="9" t="str">
        <f>IFERROR(VLOOKUP(VENTAS4[[#This Row],[Code]],STOCK[],5,FALSE),"-")</f>
        <v>Sandalias de tacón de punta fina con correa al tobillo</v>
      </c>
    </row>
    <row r="1181" s="2" customFormat="1" ht="55" customHeight="1" spans="1:3">
      <c r="A1181" s="15" t="s">
        <v>2482</v>
      </c>
      <c r="B1181" s="6"/>
      <c r="C1181" s="9" t="str">
        <f>IFERROR(VLOOKUP(VENTAS4[[#This Row],[Code]],STOCK[],5,FALSE),"-")</f>
        <v>Zapatos elegantes de punta fina negros</v>
      </c>
    </row>
    <row r="1182" s="2" customFormat="1" ht="55" customHeight="1" spans="1:3">
      <c r="A1182" s="15" t="s">
        <v>2484</v>
      </c>
      <c r="B1182" s="6"/>
      <c r="C1182" s="9" t="str">
        <f>IFERROR(VLOOKUP(VENTAS4[[#This Row],[Code]],STOCK[],5,FALSE),"-")</f>
        <v>Sandalias prácticas chunky blanco crema</v>
      </c>
    </row>
    <row r="1183" s="2" customFormat="1" ht="55" customHeight="1" spans="1:3">
      <c r="A1183" s="15" t="s">
        <v>2486</v>
      </c>
      <c r="B1183" s="6"/>
      <c r="C1183" s="9" t="str">
        <f>IFERROR(VLOOKUP(VENTAS4[[#This Row],[Code]],STOCK[],5,FALSE),"-")</f>
        <v>Sandalias prácticas chunky blanco crema</v>
      </c>
    </row>
    <row r="1184" s="2" customFormat="1" ht="55" customHeight="1" spans="1:3">
      <c r="A1184" s="15" t="s">
        <v>2487</v>
      </c>
      <c r="B1184" s="6"/>
      <c r="C1184" s="9" t="str">
        <f>IFERROR(VLOOKUP(VENTAS4[[#This Row],[Code]],STOCK[],5,FALSE),"-")</f>
        <v>Sandalias prácticas chunky blanco crema</v>
      </c>
    </row>
    <row r="1185" s="2" customFormat="1" ht="55" customHeight="1" spans="1:3">
      <c r="A1185" s="15" t="s">
        <v>2488</v>
      </c>
      <c r="B1185" s="6"/>
      <c r="C1185" s="9" t="str">
        <f>IFERROR(VLOOKUP(VENTAS4[[#This Row],[Code]],STOCK[],5,FALSE),"-")</f>
        <v>Sandalias prácticas chunky blanco crema</v>
      </c>
    </row>
    <row r="1186" s="2" customFormat="1" ht="55" customHeight="1" spans="1:3">
      <c r="A1186" s="15" t="s">
        <v>2489</v>
      </c>
      <c r="B1186" s="6"/>
      <c r="C1186" s="9" t="str">
        <f>IFERROR(VLOOKUP(VENTAS4[[#This Row],[Code]],STOCK[],5,FALSE),"-")</f>
        <v>Blusa blanca de lazos y manga abullonada</v>
      </c>
    </row>
    <row r="1187" s="2" customFormat="1" ht="55" customHeight="1" spans="1:3">
      <c r="A1187" s="15" t="s">
        <v>2491</v>
      </c>
      <c r="B1187" s="6"/>
      <c r="C1187" s="9" t="str">
        <f>IFERROR(VLOOKUP(VENTAS4[[#This Row],[Code]],STOCK[],5,FALSE),"-")</f>
        <v>Blusa blanca de lazos y manga abullonada</v>
      </c>
    </row>
    <row r="1188" s="2" customFormat="1" ht="55" customHeight="1" spans="1:3">
      <c r="A1188" s="15" t="s">
        <v>2492</v>
      </c>
      <c r="B1188" s="6"/>
      <c r="C1188" s="9" t="str">
        <f>IFERROR(VLOOKUP(VENTAS4[[#This Row],[Code]],STOCK[],5,FALSE),"-")</f>
        <v>Blusa blanca de lazos y manga abullonada</v>
      </c>
    </row>
    <row r="1189" s="2" customFormat="1" ht="55" customHeight="1" spans="1:3">
      <c r="A1189" s="15" t="s">
        <v>2493</v>
      </c>
      <c r="B1189" s="6"/>
      <c r="C1189" s="9" t="str">
        <f>IFERROR(VLOOKUP(VENTAS4[[#This Row],[Code]],STOCK[],5,FALSE),"-")</f>
        <v>Bolso bandolera de rafia rígido de tamaño pequeño</v>
      </c>
    </row>
    <row r="1190" s="2" customFormat="1" ht="55" customHeight="1" spans="1:3">
      <c r="A1190" s="15" t="s">
        <v>2496</v>
      </c>
      <c r="B1190" s="6"/>
      <c r="C1190" s="9" t="str">
        <f>IFERROR(VLOOKUP(VENTAS4[[#This Row],[Code]],STOCK[],5,FALSE),"-")</f>
        <v>Bolso tejido redondo de gran capidad </v>
      </c>
    </row>
    <row r="1191" s="2" customFormat="1" ht="55" customHeight="1" spans="1:3">
      <c r="A1191" s="15" t="s">
        <v>2498</v>
      </c>
      <c r="B1191" s="6"/>
      <c r="C1191" s="9" t="str">
        <f>IFERROR(VLOOKUP(VENTAS4[[#This Row],[Code]],STOCK[],5,FALSE),"-")</f>
        <v>Bolso de playa con diseño de rayas tamaño mediano</v>
      </c>
    </row>
    <row r="1192" s="2" customFormat="1" ht="55" customHeight="1" spans="1:3">
      <c r="A1192" s="15" t="s">
        <v>2500</v>
      </c>
      <c r="B1192" s="6"/>
      <c r="C1192" s="9" t="str">
        <f>IFERROR(VLOOKUP(VENTAS4[[#This Row],[Code]],STOCK[],5,FALSE),"-")</f>
        <v>Camisa elegante con lazo grande</v>
      </c>
    </row>
    <row r="1193" s="2" customFormat="1" ht="55" customHeight="1" spans="1:3">
      <c r="A1193" s="15" t="s">
        <v>2502</v>
      </c>
      <c r="B1193" s="6"/>
      <c r="C1193" s="9" t="str">
        <f>IFERROR(VLOOKUP(VENTAS4[[#This Row],[Code]],STOCK[],5,FALSE),"-")</f>
        <v>Camisa elegante con lazo grande</v>
      </c>
    </row>
    <row r="1194" s="2" customFormat="1" ht="55" customHeight="1" spans="1:3">
      <c r="A1194" s="15" t="s">
        <v>2503</v>
      </c>
      <c r="B1194" s="6"/>
      <c r="C1194" s="9" t="str">
        <f>IFERROR(VLOOKUP(VENTAS4[[#This Row],[Code]],STOCK[],5,FALSE),"-")</f>
        <v>Camisa elegante con lazo grande</v>
      </c>
    </row>
    <row r="1195" s="2" customFormat="1" ht="55" customHeight="1" spans="1:3">
      <c r="A1195" s="15" t="s">
        <v>2504</v>
      </c>
      <c r="B1195" s="6"/>
      <c r="C1195" s="9" t="str">
        <f>IFERROR(VLOOKUP(VENTAS4[[#This Row],[Code]],STOCK[],5,FALSE),"-")</f>
        <v>Falda Pantalón de mezclilla</v>
      </c>
    </row>
    <row r="1196" s="2" customFormat="1" ht="55" customHeight="1" spans="1:3">
      <c r="A1196" s="15" t="s">
        <v>2506</v>
      </c>
      <c r="B1196" s="6"/>
      <c r="C1196" s="9" t="str">
        <f>IFERROR(VLOOKUP(VENTAS4[[#This Row],[Code]],STOCK[],5,FALSE),"-")</f>
        <v>Falda Pantalón de mezclilla</v>
      </c>
    </row>
    <row r="1197" s="2" customFormat="1" ht="55" customHeight="1" spans="1:3">
      <c r="A1197" s="15" t="s">
        <v>2507</v>
      </c>
      <c r="B1197" s="6"/>
      <c r="C1197" s="9" t="str">
        <f>IFERROR(VLOOKUP(VENTAS4[[#This Row],[Code]],STOCK[],5,FALSE),"-")</f>
        <v>Falda Pantalón de mezclilla</v>
      </c>
    </row>
    <row r="1198" s="2" customFormat="1" ht="55" customHeight="1" spans="1:3">
      <c r="A1198" s="15" t="s">
        <v>2508</v>
      </c>
      <c r="B1198" s="6"/>
      <c r="C1198" s="9" t="str">
        <f>IFERROR(VLOOKUP(VENTAS4[[#This Row],[Code]],STOCK[],5,FALSE),"-")</f>
        <v>Camisa elegante de listas</v>
      </c>
    </row>
    <row r="1199" s="2" customFormat="1" ht="55" customHeight="1" spans="1:3">
      <c r="A1199" s="15" t="s">
        <v>2510</v>
      </c>
      <c r="B1199" s="6"/>
      <c r="C1199" s="9" t="str">
        <f>IFERROR(VLOOKUP(VENTAS4[[#This Row],[Code]],STOCK[],5,FALSE),"-")</f>
        <v>Camisa elegante de listas</v>
      </c>
    </row>
    <row r="1200" s="2" customFormat="1" ht="55" customHeight="1" spans="1:3">
      <c r="A1200" s="15" t="s">
        <v>2511</v>
      </c>
      <c r="B1200" s="6"/>
      <c r="C1200" s="9" t="str">
        <f>IFERROR(VLOOKUP(VENTAS4[[#This Row],[Code]],STOCK[],5,FALSE),"-")</f>
        <v>Camisa elegante de listas</v>
      </c>
    </row>
    <row r="1201" s="2" customFormat="1" ht="55" customHeight="1" spans="1:3">
      <c r="A1201" s="15" t="s">
        <v>2512</v>
      </c>
      <c r="B1201" s="6"/>
      <c r="C1201" s="9" t="str">
        <f>IFERROR(VLOOKUP(VENTAS4[[#This Row],[Code]],STOCK[],5,FALSE),"-")</f>
        <v>Bolso pequeño estilo old money</v>
      </c>
    </row>
    <row r="1202" s="2" customFormat="1" ht="55" customHeight="1" spans="1:3">
      <c r="A1202" s="15" t="s">
        <v>2514</v>
      </c>
      <c r="B1202" s="6"/>
      <c r="C1202" s="9" t="str">
        <f>IFERROR(VLOOKUP(VENTAS4[[#This Row],[Code]],STOCK[],5,FALSE),"-")</f>
        <v>Bolso media luna de rafia de tamaño medio</v>
      </c>
    </row>
    <row r="1203" s="2" customFormat="1" ht="55" customHeight="1" spans="1:3">
      <c r="A1203" s="15" t="s">
        <v>2516</v>
      </c>
      <c r="B1203" s="6"/>
      <c r="C1203" s="9" t="str">
        <f>IFERROR(VLOOKUP(VENTAS4[[#This Row],[Code]],STOCK[],5,FALSE),"-")</f>
        <v>Pantalones cortos de mezclilla de moda</v>
      </c>
    </row>
    <row r="1204" s="2" customFormat="1" ht="55" customHeight="1" spans="1:3">
      <c r="A1204" s="15" t="s">
        <v>2518</v>
      </c>
      <c r="B1204" s="6"/>
      <c r="C1204" s="9" t="str">
        <f>IFERROR(VLOOKUP(VENTAS4[[#This Row],[Code]],STOCK[],5,FALSE),"-")</f>
        <v>Pantalones cortos de mezclilla de moda</v>
      </c>
    </row>
    <row r="1205" s="2" customFormat="1" ht="55" customHeight="1" spans="1:3">
      <c r="A1205" s="15" t="s">
        <v>2519</v>
      </c>
      <c r="B1205" s="6"/>
      <c r="C1205" s="9" t="str">
        <f>IFERROR(VLOOKUP(VENTAS4[[#This Row],[Code]],STOCK[],5,FALSE),"-")</f>
        <v>Pantalones cortos de mezclilla de moda</v>
      </c>
    </row>
    <row r="1206" s="2" customFormat="1" ht="55" customHeight="1" spans="1:3">
      <c r="A1206" s="15" t="s">
        <v>2520</v>
      </c>
      <c r="B1206" s="6"/>
      <c r="C1206" s="9" t="str">
        <f>IFERROR(VLOOKUP(VENTAS4[[#This Row],[Code]],STOCK[],5,FALSE),"-")</f>
        <v>Cinturón fino de hebilla de estilo elegante negro</v>
      </c>
    </row>
    <row r="1207" s="2" customFormat="1" ht="55" customHeight="1" spans="1:3">
      <c r="A1207" s="15" t="s">
        <v>2522</v>
      </c>
      <c r="B1207" s="6"/>
      <c r="C1207" s="9" t="str">
        <f>IFERROR(VLOOKUP(VENTAS4[[#This Row],[Code]],STOCK[],5,FALSE),"-")</f>
        <v>Cinturón fino de hebilla de estilo elegante carmelita</v>
      </c>
    </row>
    <row r="1208" s="2" customFormat="1" ht="55" customHeight="1" spans="1:3">
      <c r="A1208" s="15" t="s">
        <v>2524</v>
      </c>
      <c r="B1208" s="6"/>
      <c r="C1208" s="9" t="str">
        <f>IFERROR(VLOOKUP(VENTAS4[[#This Row],[Code]],STOCK[],5,FALSE),"-")</f>
        <v>Blusa de lazos color negro</v>
      </c>
    </row>
    <row r="1209" s="2" customFormat="1" ht="55" customHeight="1" spans="1:3">
      <c r="A1209" s="15" t="s">
        <v>2526</v>
      </c>
      <c r="B1209" s="6"/>
      <c r="C1209" s="9" t="str">
        <f>IFERROR(VLOOKUP(VENTAS4[[#This Row],[Code]],STOCK[],5,FALSE),"-")</f>
        <v>Blusa de lazos color negro</v>
      </c>
    </row>
    <row r="1210" s="2" customFormat="1" ht="55" customHeight="1" spans="1:3">
      <c r="A1210" s="15" t="s">
        <v>2527</v>
      </c>
      <c r="B1210" s="6"/>
      <c r="C1210" s="9" t="str">
        <f>IFERROR(VLOOKUP(VENTAS4[[#This Row],[Code]],STOCK[],5,FALSE),"-")</f>
        <v>Blusa de lazos color negro</v>
      </c>
    </row>
    <row r="1211" s="2" customFormat="1" ht="55" customHeight="1" spans="1:3">
      <c r="A1211" s="15" t="s">
        <v>2528</v>
      </c>
      <c r="B1211" s="6"/>
      <c r="C1211" s="9" t="str">
        <f>IFERROR(VLOOKUP(VENTAS4[[#This Row],[Code]],STOCK[],5,FALSE),"-")</f>
        <v>Pullover corto unicolor carmelita</v>
      </c>
    </row>
    <row r="1212" s="2" customFormat="1" ht="55" customHeight="1" spans="1:3">
      <c r="A1212" s="15" t="s">
        <v>2530</v>
      </c>
      <c r="B1212" s="6"/>
      <c r="C1212" s="9" t="str">
        <f>IFERROR(VLOOKUP(VENTAS4[[#This Row],[Code]],STOCK[],5,FALSE),"-")</f>
        <v>Pullover corto unicolor carmelita</v>
      </c>
    </row>
    <row r="1213" s="2" customFormat="1" ht="55" customHeight="1" spans="1:3">
      <c r="A1213" s="15" t="s">
        <v>2531</v>
      </c>
      <c r="B1213" s="6"/>
      <c r="C1213" s="9" t="str">
        <f>IFERROR(VLOOKUP(VENTAS4[[#This Row],[Code]],STOCK[],5,FALSE),"-")</f>
        <v>Pullover corto unicolor carmelita</v>
      </c>
    </row>
    <row r="1214" s="2" customFormat="1" ht="55" customHeight="1" spans="1:3">
      <c r="A1214" s="15" t="s">
        <v>2532</v>
      </c>
      <c r="B1214" s="6"/>
      <c r="C1214" s="9" t="str">
        <f>IFERROR(VLOOKUP(VENTAS4[[#This Row],[Code]],STOCK[],5,FALSE),"-")</f>
        <v>Pullover corto unicolor blanco</v>
      </c>
    </row>
    <row r="1215" s="2" customFormat="1" ht="55" customHeight="1" spans="1:3">
      <c r="A1215" s="15" t="s">
        <v>2534</v>
      </c>
      <c r="B1215" s="6"/>
      <c r="C1215" s="9" t="str">
        <f>IFERROR(VLOOKUP(VENTAS4[[#This Row],[Code]],STOCK[],5,FALSE),"-")</f>
        <v>Pullover corto unicolor blanco</v>
      </c>
    </row>
    <row r="1216" s="2" customFormat="1" ht="55" customHeight="1" spans="1:3">
      <c r="A1216" s="15" t="s">
        <v>2535</v>
      </c>
      <c r="B1216" s="6"/>
      <c r="C1216" s="9" t="str">
        <f>IFERROR(VLOOKUP(VENTAS4[[#This Row],[Code]],STOCK[],5,FALSE),"-")</f>
        <v>Pullover corto unicolor blanco</v>
      </c>
    </row>
    <row r="1217" s="2" customFormat="1" ht="55" customHeight="1" spans="1:3">
      <c r="A1217" s="15" t="s">
        <v>2536</v>
      </c>
      <c r="B1217" s="6"/>
      <c r="C1217" s="9" t="str">
        <f>IFERROR(VLOOKUP(VENTAS4[[#This Row],[Code]],STOCK[],5,FALSE),"-")</f>
        <v>Pullover corto unicolor beige</v>
      </c>
    </row>
    <row r="1218" s="2" customFormat="1" ht="55" customHeight="1" spans="1:3">
      <c r="A1218" s="15" t="s">
        <v>2539</v>
      </c>
      <c r="B1218" s="6"/>
      <c r="C1218" s="9" t="str">
        <f>IFERROR(VLOOKUP(VENTAS4[[#This Row],[Code]],STOCK[],5,FALSE),"-")</f>
        <v>Pullover corto unicolor beige</v>
      </c>
    </row>
    <row r="1219" s="2" customFormat="1" ht="55" customHeight="1" spans="1:3">
      <c r="A1219" s="15" t="s">
        <v>2540</v>
      </c>
      <c r="B1219" s="6"/>
      <c r="C1219" s="9" t="str">
        <f>IFERROR(VLOOKUP(VENTAS4[[#This Row],[Code]],STOCK[],5,FALSE),"-")</f>
        <v>Pullover largo unicolor tela traslúcida negro</v>
      </c>
    </row>
    <row r="1220" s="2" customFormat="1" ht="55" customHeight="1" spans="1:3">
      <c r="A1220" s="15" t="s">
        <v>2542</v>
      </c>
      <c r="B1220" s="6"/>
      <c r="C1220" s="9" t="str">
        <f>IFERROR(VLOOKUP(VENTAS4[[#This Row],[Code]],STOCK[],5,FALSE),"-")</f>
        <v>Pullover largo unicolor tela traslúcida negro</v>
      </c>
    </row>
    <row r="1221" s="2" customFormat="1" ht="55" customHeight="1" spans="1:3">
      <c r="A1221" s="15" t="s">
        <v>2543</v>
      </c>
      <c r="B1221" s="6"/>
      <c r="C1221" s="9" t="str">
        <f>IFERROR(VLOOKUP(VENTAS4[[#This Row],[Code]],STOCK[],5,FALSE),"-")</f>
        <v>Pullover largo unicolor tela traslúcida negro</v>
      </c>
    </row>
    <row r="1222" s="2" customFormat="1" ht="55" customHeight="1" spans="1:3">
      <c r="A1222" s="15" t="s">
        <v>2555</v>
      </c>
      <c r="B1222" s="6"/>
      <c r="C1222" s="9" t="str">
        <f>IFERROR(VLOOKUP(VENTAS4[[#This Row],[Code]],STOCK[],5,FALSE),"-")</f>
        <v>Pullover largo unicolor tela traslúcida beige</v>
      </c>
    </row>
    <row r="1223" s="2" customFormat="1" ht="55" customHeight="1" spans="1:3">
      <c r="A1223" s="15" t="s">
        <v>2556</v>
      </c>
      <c r="B1223" s="6"/>
      <c r="C1223" s="9" t="str">
        <f>IFERROR(VLOOKUP(VENTAS4[[#This Row],[Code]],STOCK[],5,FALSE),"-")</f>
        <v>Maxi vestido de algodón cruzado con estampado floral vibrante</v>
      </c>
    </row>
    <row r="1224" s="2" customFormat="1" ht="55" customHeight="1" spans="1:3">
      <c r="A1224" s="15" t="s">
        <v>2558</v>
      </c>
      <c r="B1224" s="6"/>
      <c r="C1224" s="9" t="str">
        <f>IFERROR(VLOOKUP(VENTAS4[[#This Row],[Code]],STOCK[],5,FALSE),"-")</f>
        <v>Sombrero Visera de Verano</v>
      </c>
    </row>
    <row r="1225" s="2" customFormat="1" ht="55" customHeight="1" spans="1:3">
      <c r="A1225" s="15" t="s">
        <v>2561</v>
      </c>
      <c r="B1225" s="6"/>
      <c r="C1225" s="9" t="str">
        <f>IFERROR(VLOOKUP(VENTAS4[[#This Row],[Code]],STOCK[],5,FALSE),"-")</f>
        <v>Top corto de lazo delantero </v>
      </c>
    </row>
    <row r="1226" s="2" customFormat="1" ht="55" customHeight="1" spans="1:3">
      <c r="A1226" s="15" t="s">
        <v>2563</v>
      </c>
      <c r="B1226" s="6"/>
      <c r="C1226" s="9" t="str">
        <f>IFERROR(VLOOKUP(VENTAS4[[#This Row],[Code]],STOCK[],5,FALSE),"-")</f>
        <v>Top corto de lazo delantero </v>
      </c>
    </row>
    <row r="1227" s="2" customFormat="1" ht="55" customHeight="1" spans="1:3">
      <c r="A1227" s="15" t="s">
        <v>2564</v>
      </c>
      <c r="B1227" s="6"/>
      <c r="C1227" s="9" t="str">
        <f>IFERROR(VLOOKUP(VENTAS4[[#This Row],[Code]],STOCK[],5,FALSE),"-")</f>
        <v>Top corto de lazo delantero </v>
      </c>
    </row>
    <row r="1228" s="2" customFormat="1" ht="55" customHeight="1" spans="1:3">
      <c r="A1228" s="15" t="s">
        <v>2565</v>
      </c>
      <c r="B1228" s="6"/>
      <c r="C1228" s="9" t="str">
        <f>IFERROR(VLOOKUP(VENTAS4[[#This Row],[Code]],STOCK[],5,FALSE),"-")</f>
        <v>Vestido de espagueti con frente recortado y abertura</v>
      </c>
    </row>
    <row r="1229" s="2" customFormat="1" ht="55" customHeight="1" spans="1:3">
      <c r="A1229" s="15" t="s">
        <v>2568</v>
      </c>
      <c r="B1229" s="6"/>
      <c r="C1229" s="9" t="str">
        <f>IFERROR(VLOOKUP(VENTAS4[[#This Row],[Code]],STOCK[],5,FALSE),"-")</f>
        <v>Vestido de espagueti con frente recortado y abertura</v>
      </c>
    </row>
    <row r="1230" s="2" customFormat="1" ht="55" customHeight="1" spans="1:3">
      <c r="A1230" s="15" t="s">
        <v>2569</v>
      </c>
      <c r="B1230" s="6"/>
      <c r="C1230" s="9" t="str">
        <f>IFERROR(VLOOKUP(VENTAS4[[#This Row],[Code]],STOCK[],5,FALSE),"-")</f>
        <v>Camisetas sin mangas de diseño crochet</v>
      </c>
    </row>
    <row r="1231" s="2" customFormat="1" ht="55" customHeight="1" spans="1:3">
      <c r="A1231" s="15" t="s">
        <v>2571</v>
      </c>
      <c r="B1231" s="6"/>
      <c r="C1231" s="9" t="str">
        <f>IFERROR(VLOOKUP(VENTAS4[[#This Row],[Code]],STOCK[],5,FALSE),"-")</f>
        <v>Vestido Largo con cinturón fruncido</v>
      </c>
    </row>
    <row r="1232" s="2" customFormat="1" ht="55" customHeight="1" spans="1:3">
      <c r="A1232" s="15" t="s">
        <v>2573</v>
      </c>
      <c r="B1232" s="6"/>
      <c r="C1232" s="9" t="str">
        <f>IFERROR(VLOOKUP(VENTAS4[[#This Row],[Code]],STOCK[],5,FALSE),"-")</f>
        <v>Vestido Largo con cinturón fruncido</v>
      </c>
    </row>
    <row r="1233" s="2" customFormat="1" ht="55" customHeight="1" spans="1:3">
      <c r="A1233" s="15" t="s">
        <v>2574</v>
      </c>
      <c r="B1233" s="6"/>
      <c r="C1233" s="9" t="str">
        <f>IFERROR(VLOOKUP(VENTAS4[[#This Row],[Code]],STOCK[],5,FALSE),"-")</f>
        <v>Vestido Largo con cinturón fruncido</v>
      </c>
    </row>
    <row r="1234" s="2" customFormat="1" ht="55" customHeight="1" spans="1:3">
      <c r="A1234" s="15" t="s">
        <v>2575</v>
      </c>
      <c r="B1234" s="6"/>
      <c r="C1234" s="9" t="str">
        <f>IFERROR(VLOOKUP(VENTAS4[[#This Row],[Code]],STOCK[],5,FALSE),"-")</f>
        <v>Vestido Largo con cinturón fruncido</v>
      </c>
    </row>
    <row r="1235" s="2" customFormat="1" ht="55" customHeight="1" spans="1:3">
      <c r="A1235" s="15" t="s">
        <v>2576</v>
      </c>
      <c r="B1235" s="6"/>
      <c r="C1235" s="9" t="str">
        <f>IFERROR(VLOOKUP(VENTAS4[[#This Row],[Code]],STOCK[],5,FALSE),"-")</f>
        <v>Vestido Camisola con estampado de flores y tirantes cruzados</v>
      </c>
    </row>
    <row r="1236" s="2" customFormat="1" ht="55" customHeight="1" spans="1:3">
      <c r="A1236" s="15" t="s">
        <v>2578</v>
      </c>
      <c r="B1236" s="6"/>
      <c r="C1236" s="9" t="str">
        <f>IFERROR(VLOOKUP(VENTAS4[[#This Row],[Code]],STOCK[],5,FALSE),"-")</f>
        <v>Vestido Camisola con estampado de flores y tirantes cruzados</v>
      </c>
    </row>
    <row r="1237" s="2" customFormat="1" ht="55" customHeight="1" spans="1:3">
      <c r="A1237" s="15" t="s">
        <v>2579</v>
      </c>
      <c r="B1237" s="6"/>
      <c r="C1237" s="9" t="str">
        <f>IFERROR(VLOOKUP(VENTAS4[[#This Row],[Code]],STOCK[],5,FALSE),"-")</f>
        <v>Vestido Camisola con estampado de flores y tirantes cruzados</v>
      </c>
    </row>
    <row r="1238" s="2" customFormat="1" ht="55" customHeight="1" spans="1:3">
      <c r="A1238" s="15" t="s">
        <v>2580</v>
      </c>
      <c r="B1238" s="6"/>
      <c r="C1238" s="9" t="str">
        <f>IFERROR(VLOOKUP(VENTAS4[[#This Row],[Code]],STOCK[],5,FALSE),"-")</f>
        <v>Vestido largo con cuello Healter</v>
      </c>
    </row>
    <row r="1239" s="2" customFormat="1" ht="55" customHeight="1" spans="1:3">
      <c r="A1239" s="15" t="s">
        <v>2582</v>
      </c>
      <c r="B1239" s="6"/>
      <c r="C1239" s="9" t="str">
        <f>IFERROR(VLOOKUP(VENTAS4[[#This Row],[Code]],STOCK[],5,FALSE),"-")</f>
        <v>Vestido negro espalda cruzada</v>
      </c>
    </row>
    <row r="1240" s="2" customFormat="1" ht="55" customHeight="1" spans="1:3">
      <c r="A1240" s="15" t="s">
        <v>2583</v>
      </c>
      <c r="B1240" s="6"/>
      <c r="C1240" s="9" t="str">
        <f>IFERROR(VLOOKUP(VENTAS4[[#This Row],[Code]],STOCK[],5,FALSE),"-")</f>
        <v>Vestido negro espalda cruzada</v>
      </c>
    </row>
    <row r="1241" s="2" customFormat="1" ht="55" customHeight="1" spans="1:3">
      <c r="A1241" s="15" t="s">
        <v>2584</v>
      </c>
      <c r="B1241" s="6"/>
      <c r="C1241" s="9" t="str">
        <f>IFERROR(VLOOKUP(VENTAS4[[#This Row],[Code]],STOCK[],5,FALSE),"-")</f>
        <v>Vestido blanco espalda cruzada</v>
      </c>
    </row>
    <row r="1242" s="2" customFormat="1" ht="55" customHeight="1" spans="1:3">
      <c r="A1242" s="15" t="s">
        <v>2585</v>
      </c>
      <c r="B1242" s="6"/>
      <c r="C1242" s="9" t="str">
        <f>IFERROR(VLOOKUP(VENTAS4[[#This Row],[Code]],STOCK[],5,FALSE),"-")</f>
        <v>Vestido blanco espalda cruzada</v>
      </c>
    </row>
    <row r="1243" s="2" customFormat="1" ht="55" customHeight="1" spans="1:3">
      <c r="A1243" s="15" t="s">
        <v>2586</v>
      </c>
      <c r="B1243" s="6"/>
      <c r="C1243" s="9" t="str">
        <f>IFERROR(VLOOKUP(VENTAS4[[#This Row],[Code]],STOCK[],5,FALSE),"-")</f>
        <v>Vestido crochet Playero espalda descubierta</v>
      </c>
    </row>
    <row r="1244" s="2" customFormat="1" ht="55" customHeight="1" spans="1:3">
      <c r="A1244" s="15" t="s">
        <v>2588</v>
      </c>
      <c r="B1244" s="6"/>
      <c r="C1244" s="9" t="str">
        <f>IFERROR(VLOOKUP(VENTAS4[[#This Row],[Code]],STOCK[],5,FALSE),"-")</f>
        <v>Vestido crochet Playero espalda descubierta</v>
      </c>
    </row>
    <row r="1245" s="2" customFormat="1" ht="55" customHeight="1" spans="1:3">
      <c r="A1245" s="15" t="s">
        <v>2589</v>
      </c>
      <c r="B1245" s="6"/>
      <c r="C1245" s="9" t="str">
        <f>IFERROR(VLOOKUP(VENTAS4[[#This Row],[Code]],STOCK[],5,FALSE),"-")</f>
        <v>Vestido crochet Playero espalda descubierta</v>
      </c>
    </row>
    <row r="1246" s="2" customFormat="1" ht="55" customHeight="1" spans="1:3">
      <c r="A1246" s="15" t="s">
        <v>2590</v>
      </c>
      <c r="B1246" s="6"/>
      <c r="C1246" s="9" t="str">
        <f>IFERROR(VLOOKUP(VENTAS4[[#This Row],[Code]],STOCK[],5,FALSE),"-")</f>
        <v>Vestido crochet playero de tirantes</v>
      </c>
    </row>
    <row r="1247" s="2" customFormat="1" ht="55" customHeight="1" spans="1:3">
      <c r="A1247" s="15" t="s">
        <v>2592</v>
      </c>
      <c r="B1247" s="6"/>
      <c r="C1247" s="9" t="str">
        <f>IFERROR(VLOOKUP(VENTAS4[[#This Row],[Code]],STOCK[],5,FALSE),"-")</f>
        <v>Falda larga de visillo con maxi estampado de flor</v>
      </c>
    </row>
    <row r="1248" s="2" customFormat="1" ht="55" customHeight="1" spans="1:3">
      <c r="A1248" s="15" t="s">
        <v>2594</v>
      </c>
      <c r="B1248" s="6"/>
      <c r="C1248" s="9" t="str">
        <f>IFERROR(VLOOKUP(VENTAS4[[#This Row],[Code]],STOCK[],5,FALSE),"-")</f>
        <v>Falda maxi blanca de moda</v>
      </c>
    </row>
    <row r="1249" s="2" customFormat="1" ht="55" customHeight="1" spans="1:3">
      <c r="A1249" s="15" t="s">
        <v>2596</v>
      </c>
      <c r="B1249" s="6"/>
      <c r="C1249" s="9" t="str">
        <f>IFERROR(VLOOKUP(VENTAS4[[#This Row],[Code]],STOCK[],5,FALSE),"-")</f>
        <v>Vestido corte A de bolsillos</v>
      </c>
    </row>
    <row r="1250" s="2" customFormat="1" ht="55" customHeight="1" spans="1:3">
      <c r="A1250" s="15" t="s">
        <v>2598</v>
      </c>
      <c r="B1250" s="6"/>
      <c r="C1250" s="9" t="str">
        <f>IFERROR(VLOOKUP(VENTAS4[[#This Row],[Code]],STOCK[],5,FALSE),"-")</f>
        <v>Bolso verano de rafia en bloque de color</v>
      </c>
    </row>
    <row r="1251" s="2" customFormat="1" ht="55" customHeight="1" spans="1:3">
      <c r="A1251" s="15" t="s">
        <v>2600</v>
      </c>
      <c r="B1251" s="6"/>
      <c r="C1251" s="9" t="str">
        <f>IFERROR(VLOOKUP(VENTAS4[[#This Row],[Code]],STOCK[],5,FALSE),"-")</f>
        <v>Conjunto falda y top</v>
      </c>
    </row>
    <row r="1252" s="2" customFormat="1" ht="55" customHeight="1" spans="1:3">
      <c r="A1252" s="15" t="s">
        <v>2602</v>
      </c>
      <c r="B1252" s="6"/>
      <c r="C1252" s="9" t="str">
        <f>IFERROR(VLOOKUP(VENTAS4[[#This Row],[Code]],STOCK[],5,FALSE),"-")</f>
        <v>Vestido crema ajustado de hombro torcido</v>
      </c>
    </row>
    <row r="1253" s="2" customFormat="1" ht="55" customHeight="1" spans="1:3">
      <c r="A1253" s="15" t="s">
        <v>2604</v>
      </c>
      <c r="B1253" s="6"/>
      <c r="C1253" s="9" t="str">
        <f>IFERROR(VLOOKUP(VENTAS4[[#This Row],[Code]],STOCK[],5,FALSE),"-")</f>
        <v>Vestido crema ajustado de hombro torcido</v>
      </c>
    </row>
    <row r="1254" s="2" customFormat="1" ht="55" customHeight="1" spans="1:3">
      <c r="A1254" s="15" t="s">
        <v>2605</v>
      </c>
      <c r="B1254" s="6"/>
      <c r="C1254" s="9" t="str">
        <f>IFERROR(VLOOKUP(VENTAS4[[#This Row],[Code]],STOCK[],5,FALSE),"-")</f>
        <v>Vestido crema ajustado de hombro torcido</v>
      </c>
    </row>
    <row r="1255" s="2" customFormat="1" ht="55" customHeight="1" spans="1:3">
      <c r="A1255" s="15" t="s">
        <v>2606</v>
      </c>
      <c r="B1255" s="6"/>
      <c r="C1255" s="9" t="str">
        <f>IFERROR(VLOOKUP(VENTAS4[[#This Row],[Code]],STOCK[],5,FALSE),"-")</f>
        <v>Vestido crema ajustado de hombro torcido</v>
      </c>
    </row>
    <row r="1256" s="2" customFormat="1" ht="55" customHeight="1" spans="1:3">
      <c r="A1256" s="15" t="s">
        <v>2607</v>
      </c>
      <c r="B1256" s="6"/>
      <c r="C1256" s="9" t="str">
        <f>IFERROR(VLOOKUP(VENTAS4[[#This Row],[Code]],STOCK[],5,FALSE),"-")</f>
        <v>Falda Maxi plisada favorecedora</v>
      </c>
    </row>
    <row r="1257" s="2" customFormat="1" ht="55" customHeight="1" spans="1:3">
      <c r="A1257" s="15" t="s">
        <v>2609</v>
      </c>
      <c r="B1257" s="6"/>
      <c r="C1257" s="9" t="str">
        <f>IFERROR(VLOOKUP(VENTAS4[[#This Row],[Code]],STOCK[],5,FALSE),"-")</f>
        <v>Falda Midi Elegante Ajustada</v>
      </c>
    </row>
    <row r="1258" s="2" customFormat="1" ht="55" customHeight="1" spans="1:3">
      <c r="A1258" s="15" t="s">
        <v>2611</v>
      </c>
      <c r="B1258" s="6"/>
      <c r="C1258" s="9" t="str">
        <f>IFERROR(VLOOKUP(VENTAS4[[#This Row],[Code]],STOCK[],5,FALSE),"-")</f>
        <v>Vestido Maxi Negro Ajustado Elegante de hombro atado</v>
      </c>
    </row>
    <row r="1259" s="2" customFormat="1" ht="55" customHeight="1" spans="1:3">
      <c r="A1259" s="15" t="s">
        <v>2613</v>
      </c>
      <c r="B1259" s="6"/>
      <c r="C1259" s="9" t="str">
        <f>IFERROR(VLOOKUP(VENTAS4[[#This Row],[Code]],STOCK[],5,FALSE),"-")</f>
        <v>Vestido Blanco en Bordado Inglés</v>
      </c>
    </row>
    <row r="1260" s="2" customFormat="1" ht="55" customHeight="1" spans="1:3">
      <c r="A1260" s="15" t="s">
        <v>2615</v>
      </c>
      <c r="B1260" s="6"/>
      <c r="C1260" s="9" t="str">
        <f>IFERROR(VLOOKUP(VENTAS4[[#This Row],[Code]],STOCK[],5,FALSE),"-")</f>
        <v>Vestido Blanco en Bordado Inglés</v>
      </c>
    </row>
    <row r="1261" s="2" customFormat="1" ht="55" customHeight="1" spans="1:3">
      <c r="A1261" s="15" t="s">
        <v>2616</v>
      </c>
      <c r="B1261" s="6"/>
      <c r="C1261" s="9" t="str">
        <f>IFERROR(VLOOKUP(VENTAS4[[#This Row],[Code]],STOCK[],5,FALSE),"-")</f>
        <v>Vestido de tirantes atados y espalda corrida</v>
      </c>
    </row>
    <row r="1262" s="2" customFormat="1" ht="55" customHeight="1" spans="1:3">
      <c r="A1262" s="15" t="s">
        <v>2618</v>
      </c>
      <c r="B1262" s="6"/>
      <c r="C1262" s="9" t="str">
        <f>IFERROR(VLOOKUP(VENTAS4[[#This Row],[Code]],STOCK[],5,FALSE),"-")</f>
        <v>Vestido lila cruzado H&amp;M</v>
      </c>
    </row>
    <row r="1263" s="2" customFormat="1" ht="55" customHeight="1" spans="1:3">
      <c r="A1263" s="15" t="s">
        <v>2621</v>
      </c>
      <c r="B1263" s="6"/>
      <c r="C1263" s="9" t="str">
        <f>IFERROR(VLOOKUP(VENTAS4[[#This Row],[Code]],STOCK[],5,FALSE),"-")</f>
        <v>Vestido lila cruzado H&amp;M</v>
      </c>
    </row>
    <row r="1264" s="2" customFormat="1" ht="55" customHeight="1" spans="1:3">
      <c r="A1264" s="15" t="s">
        <v>2623</v>
      </c>
      <c r="B1264" s="6"/>
      <c r="C1264" s="9" t="str">
        <f>IFERROR(VLOOKUP(VENTAS4[[#This Row],[Code]],STOCK[],5,FALSE),"-")</f>
        <v>Vestido verde cruzado H&amp;M</v>
      </c>
    </row>
    <row r="1265" s="2" customFormat="1" ht="55" customHeight="1" spans="1:3">
      <c r="A1265" s="15" t="s">
        <v>2625</v>
      </c>
      <c r="B1265" s="6"/>
      <c r="C1265" s="9" t="str">
        <f>IFERROR(VLOOKUP(VENTAS4[[#This Row],[Code]],STOCK[],5,FALSE),"-")</f>
        <v>Vestido verde cruzado H&amp;M</v>
      </c>
    </row>
    <row r="1266" s="2" customFormat="1" ht="55" customHeight="1" spans="1:3">
      <c r="A1266" s="15" t="s">
        <v>2627</v>
      </c>
      <c r="B1266" s="6"/>
      <c r="C1266" s="9" t="str">
        <f>IFERROR(VLOOKUP(VENTAS4[[#This Row],[Code]],STOCK[],5,FALSE),"-")</f>
        <v>Pantalón fuccia ajustado de tela H&amp;M</v>
      </c>
    </row>
    <row r="1267" s="2" customFormat="1" ht="55" customHeight="1" spans="1:3">
      <c r="A1267" s="15" t="s">
        <v>2630</v>
      </c>
      <c r="B1267" s="6"/>
      <c r="C1267" s="9" t="str">
        <f>IFERROR(VLOOKUP(VENTAS4[[#This Row],[Code]],STOCK[],5,FALSE),"-")</f>
        <v>Pantalón Caqui de Pierna Ancha De Talle Alto y Bolsillos H&amp;M</v>
      </c>
    </row>
    <row r="1268" s="2" customFormat="1" ht="55" customHeight="1" spans="1:3">
      <c r="A1268" s="15" t="s">
        <v>2632</v>
      </c>
      <c r="B1268" s="6"/>
      <c r="C1268" s="9" t="str">
        <f>IFERROR(VLOOKUP(VENTAS4[[#This Row],[Code]],STOCK[],5,FALSE),"-")</f>
        <v>Jean de talle regular de bajo descosido y pierna ancha H&amp;M</v>
      </c>
    </row>
    <row r="1269" s="2" customFormat="1" ht="55" customHeight="1" spans="1:3">
      <c r="A1269" s="15" t="s">
        <v>2635</v>
      </c>
      <c r="B1269" s="6"/>
      <c r="C1269" s="9" t="str">
        <f>IFERROR(VLOOKUP(VENTAS4[[#This Row],[Code]],STOCK[],5,FALSE),"-")</f>
        <v>Top de punto y cuello elegante negro H&amp;M</v>
      </c>
    </row>
    <row r="1270" s="2" customFormat="1" ht="55" customHeight="1" spans="1:3">
      <c r="A1270" s="15" t="s">
        <v>2638</v>
      </c>
      <c r="B1270" s="6"/>
      <c r="C1270" s="9" t="str">
        <f>IFERROR(VLOOKUP(VENTAS4[[#This Row],[Code]],STOCK[],5,FALSE),"-")</f>
        <v>Top de punto y cuello elegante negro H&amp;M</v>
      </c>
    </row>
    <row r="1271" s="2" customFormat="1" ht="55" customHeight="1" spans="1:3">
      <c r="A1271" s="15" t="s">
        <v>2639</v>
      </c>
      <c r="B1271" s="6"/>
      <c r="C1271" s="9" t="str">
        <f>IFERROR(VLOOKUP(VENTAS4[[#This Row],[Code]],STOCK[],5,FALSE),"-")</f>
        <v>Top de punto y cuello elegante negro H&amp;M</v>
      </c>
    </row>
    <row r="1272" s="2" customFormat="1" ht="55" customHeight="1" spans="1:3">
      <c r="A1272" s="15" t="s">
        <v>2640</v>
      </c>
      <c r="B1272" s="6"/>
      <c r="C1272" s="9" t="str">
        <f>IFERROR(VLOOKUP(VENTAS4[[#This Row],[Code]],STOCK[],5,FALSE),"-")</f>
        <v>Top de punto y cuello elegante blanco H&amp;M</v>
      </c>
    </row>
    <row r="1273" s="2" customFormat="1" ht="55" customHeight="1" spans="1:3">
      <c r="A1273" s="15" t="s">
        <v>2642</v>
      </c>
      <c r="B1273" s="6"/>
      <c r="C1273" s="9" t="str">
        <f>IFERROR(VLOOKUP(VENTAS4[[#This Row],[Code]],STOCK[],5,FALSE),"-")</f>
        <v>Top de punto y cuello elegante blanco H&amp;M</v>
      </c>
    </row>
    <row r="1274" s="2" customFormat="1" ht="55" customHeight="1" spans="1:3">
      <c r="A1274" s="15" t="s">
        <v>2643</v>
      </c>
      <c r="B1274" s="6"/>
      <c r="C1274" s="9" t="str">
        <f>IFERROR(VLOOKUP(VENTAS4[[#This Row],[Code]],STOCK[],5,FALSE),"-")</f>
        <v>Camisa Oversize en mezcla de lino H&amp;M</v>
      </c>
    </row>
    <row r="1275" s="2" customFormat="1" ht="55" customHeight="1" spans="1:3">
      <c r="A1275" s="15" t="s">
        <v>2645</v>
      </c>
      <c r="B1275" s="6"/>
      <c r="C1275" s="9" t="str">
        <f>IFERROR(VLOOKUP(VENTAS4[[#This Row],[Code]],STOCK[],5,FALSE),"-")</f>
        <v>Camisa Oversize blanca en mezcla de lino H&amp;M (encargo mónica)</v>
      </c>
    </row>
    <row r="1276" s="2" customFormat="1" ht="55" customHeight="1" spans="1:3">
      <c r="A1276" s="15" t="s">
        <v>2647</v>
      </c>
      <c r="B1276" s="6"/>
      <c r="C1276" s="9" t="str">
        <f>IFERROR(VLOOKUP(VENTAS4[[#This Row],[Code]],STOCK[],5,FALSE),"-")</f>
        <v>Camisa beige en mezcla de lino</v>
      </c>
    </row>
    <row r="1277" s="2" customFormat="1" ht="55" customHeight="1" spans="1:3">
      <c r="A1277" s="15" t="s">
        <v>2649</v>
      </c>
      <c r="B1277" s="6"/>
      <c r="C1277" s="9" t="str">
        <f>IFERROR(VLOOKUP(VENTAS4[[#This Row],[Code]],STOCK[],5,FALSE),"-")</f>
        <v>Cinto de piel (encargo mónica)</v>
      </c>
    </row>
    <row r="1278" s="2" customFormat="1" ht="55" customHeight="1" spans="1:3">
      <c r="A1278" s="15" t="s">
        <v>2651</v>
      </c>
      <c r="B1278" s="6"/>
      <c r="C1278" s="9" t="str">
        <f>IFERROR(VLOOKUP(VENTAS4[[#This Row],[Code]],STOCK[],5,FALSE),"-")</f>
        <v>Pantalón de pierna ancha con estampado de moda H&amp;M</v>
      </c>
    </row>
    <row r="1279" s="2" customFormat="1" ht="55" customHeight="1" spans="1:3">
      <c r="A1279" s="15" t="s">
        <v>2653</v>
      </c>
      <c r="B1279" s="6"/>
      <c r="C1279" s="9" t="str">
        <f>IFERROR(VLOOKUP(VENTAS4[[#This Row],[Code]],STOCK[],5,FALSE),"-")</f>
        <v>Sandalias Pull&amp;Bear (encargo mónica)</v>
      </c>
    </row>
    <row r="1280" s="2" customFormat="1" ht="55" customHeight="1" spans="1:3">
      <c r="A1280" s="15" t="s">
        <v>2655</v>
      </c>
      <c r="B1280" s="6"/>
      <c r="C1280" s="9" t="str">
        <f>IFERROR(VLOOKUP(VENTAS4[[#This Row],[Code]],STOCK[],5,FALSE),"-")</f>
        <v>Sandalias de hebilla Pull&amp;Bear</v>
      </c>
    </row>
    <row r="1281" s="2" customFormat="1" ht="55" customHeight="1" spans="1:3">
      <c r="A1281" s="15" t="s">
        <v>2657</v>
      </c>
      <c r="B1281" s="6"/>
      <c r="C1281" s="9" t="str">
        <f>IFERROR(VLOOKUP(VENTAS4[[#This Row],[Code]],STOCK[],5,FALSE),"-")</f>
        <v>Pullover blanco de algodón PRIMARK</v>
      </c>
    </row>
    <row r="1282" s="2" customFormat="1" ht="55" customHeight="1" spans="1:3">
      <c r="A1282" s="15" t="s">
        <v>2659</v>
      </c>
      <c r="B1282" s="6"/>
      <c r="C1282" s="9" t="str">
        <f>IFERROR(VLOOKUP(VENTAS4[[#This Row],[Code]],STOCK[],5,FALSE),"-")</f>
        <v>Pullover blanco de algodón PRIMARK</v>
      </c>
    </row>
    <row r="1283" s="2" customFormat="1" ht="55" customHeight="1" spans="1:3">
      <c r="A1283" s="15" t="s">
        <v>2660</v>
      </c>
      <c r="B1283" s="6"/>
      <c r="C1283" s="9" t="str">
        <f>IFERROR(VLOOKUP(VENTAS4[[#This Row],[Code]],STOCK[],5,FALSE),"-")</f>
        <v>Pullover negro acanalado de algodón PRIMARK</v>
      </c>
    </row>
    <row r="1284" s="2" customFormat="1" ht="55" customHeight="1" spans="1:3">
      <c r="A1284" s="15" t="s">
        <v>2662</v>
      </c>
      <c r="B1284" s="6"/>
      <c r="C1284" s="9" t="str">
        <f>IFERROR(VLOOKUP(VENTAS4[[#This Row],[Code]],STOCK[],5,FALSE),"-")</f>
        <v>Pullover mariposa multicolor algodón PRIMARK</v>
      </c>
    </row>
    <row r="1285" s="2" customFormat="1" ht="55" customHeight="1" spans="1:3">
      <c r="A1285" s="15" t="s">
        <v>2664</v>
      </c>
      <c r="B1285" s="6"/>
      <c r="C1285" s="9" t="str">
        <f>IFERROR(VLOOKUP(VENTAS4[[#This Row],[Code]],STOCK[],5,FALSE),"-")</f>
        <v>Pullover carmelita letrero de mariposa algodón PRIMARK</v>
      </c>
    </row>
    <row r="1286" s="2" customFormat="1" ht="55" customHeight="1" spans="1:3">
      <c r="A1286" s="15" t="s">
        <v>2666</v>
      </c>
      <c r="B1286" s="6"/>
      <c r="C1286" s="9" t="str">
        <f>IFERROR(VLOOKUP(VENTAS4[[#This Row],[Code]],STOCK[],5,FALSE),"-")</f>
        <v>Pullover morado catrina algodón</v>
      </c>
    </row>
    <row r="1287" s="2" customFormat="1" ht="55" customHeight="1" spans="1:3">
      <c r="A1287" s="15" t="s">
        <v>2668</v>
      </c>
      <c r="B1287" s="6"/>
      <c r="C1287" s="9" t="str">
        <f>IFERROR(VLOOKUP(VENTAS4[[#This Row],[Code]],STOCK[],5,FALSE),"-")</f>
        <v>Pullover Celeste algodón PRIMARK</v>
      </c>
    </row>
    <row r="1288" s="2" customFormat="1" ht="55" customHeight="1" spans="1:3">
      <c r="A1288" s="15" t="s">
        <v>2670</v>
      </c>
      <c r="B1288" s="6"/>
      <c r="C1288" s="9" t="str">
        <f>IFERROR(VLOOKUP(VENTAS4[[#This Row],[Code]],STOCK[],5,FALSE),"-")</f>
        <v>Pullover Love floreado algodón</v>
      </c>
    </row>
    <row r="1289" s="2" customFormat="1" ht="55" customHeight="1" spans="1:3">
      <c r="A1289" s="5" t="s">
        <v>2672</v>
      </c>
      <c r="B1289" s="6"/>
      <c r="C1289" s="9" t="str">
        <f>IFERROR(VLOOKUP(VENTAS4[[#This Row],[Code]],STOCK[],5,FALSE),"-")</f>
        <v>Traje de baño clásico en bloque de color de talle alto</v>
      </c>
    </row>
    <row r="1290" s="2" customFormat="1" ht="55" customHeight="1" spans="1:3">
      <c r="A1290" s="5" t="s">
        <v>2674</v>
      </c>
      <c r="B1290" s="6"/>
      <c r="C1290" s="9" t="str">
        <f>IFERROR(VLOOKUP(VENTAS4[[#This Row],[Code]],STOCK[],5,FALSE),"-")</f>
        <v>Traje de baño clásico en bloque de color de talle alto</v>
      </c>
    </row>
    <row r="1291" s="2" customFormat="1" ht="55" customHeight="1" spans="1:3">
      <c r="A1291" s="5" t="s">
        <v>2675</v>
      </c>
      <c r="B1291" s="6"/>
      <c r="C1291" s="9" t="str">
        <f>IFERROR(VLOOKUP(VENTAS4[[#This Row],[Code]],STOCK[],5,FALSE),"-")</f>
        <v>Traje de baño clásico en bloque de color de talle alto</v>
      </c>
    </row>
    <row r="1292" s="2" customFormat="1" ht="55" customHeight="1" spans="1:3">
      <c r="A1292" s="5" t="s">
        <v>2676</v>
      </c>
      <c r="B1292" s="6"/>
      <c r="C1292" s="9" t="str">
        <f>IFERROR(VLOOKUP(VENTAS4[[#This Row],[Code]],STOCK[],5,FALSE),"-")</f>
        <v>Traje de baño clásico en bloque de color de talle alto</v>
      </c>
    </row>
    <row r="1293" s="2" customFormat="1" ht="55" customHeight="1" spans="1:3">
      <c r="A1293" s="5" t="s">
        <v>2677</v>
      </c>
      <c r="B1293" s="6"/>
      <c r="C1293" s="9" t="str">
        <f>IFERROR(VLOOKUP(VENTAS4[[#This Row],[Code]],STOCK[],5,FALSE),"-")</f>
        <v>Camisa verde oversize (encargo)</v>
      </c>
    </row>
    <row r="1294" s="2" customFormat="1" ht="55" customHeight="1" spans="1:3">
      <c r="A1294" s="5" t="s">
        <v>2679</v>
      </c>
      <c r="B1294" s="6"/>
      <c r="C1294" s="9" t="str">
        <f>IFERROR(VLOOKUP(VENTAS4[[#This Row],[Code]],STOCK[],5,FALSE),"-")</f>
        <v>Top corto verde de tirantes (encargo)</v>
      </c>
    </row>
    <row r="1295" s="2" customFormat="1" ht="55" customHeight="1" spans="1:3">
      <c r="A1295" s="5" t="s">
        <v>2681</v>
      </c>
      <c r="B1295" s="6"/>
      <c r="C1295" s="9" t="str">
        <f>IFERROR(VLOOKUP(VENTAS4[[#This Row],[Code]],STOCK[],5,FALSE),"-")</f>
        <v>Top corto verde sin tirantes</v>
      </c>
    </row>
    <row r="1296" s="2" customFormat="1" ht="55" customHeight="1" spans="1:3">
      <c r="A1296" s="5" t="s">
        <v>2683</v>
      </c>
      <c r="B1296" s="6"/>
      <c r="C1296" s="9" t="str">
        <f>IFERROR(VLOOKUP(VENTAS4[[#This Row],[Code]],STOCK[],5,FALSE),"-")</f>
        <v>Camisa verde oversize</v>
      </c>
    </row>
    <row r="1297" s="2" customFormat="1" ht="55" customHeight="1" spans="1:3">
      <c r="A1297" s="5" t="s">
        <v>2685</v>
      </c>
      <c r="B1297" s="6"/>
      <c r="C1297" s="9" t="str">
        <f>IFERROR(VLOOKUP(VENTAS4[[#This Row],[Code]],STOCK[],5,FALSE),"-")</f>
        <v>Short blanco elegante de talle alto</v>
      </c>
    </row>
    <row r="1298" s="2" customFormat="1" ht="55" customHeight="1" spans="1:3">
      <c r="A1298" s="5" t="s">
        <v>2687</v>
      </c>
      <c r="B1298" s="6"/>
      <c r="C1298" s="9" t="str">
        <f>IFERROR(VLOOKUP(VENTAS4[[#This Row],[Code]],STOCK[],5,FALSE),"-")</f>
        <v>Short blanco de talle alto (encargo)</v>
      </c>
    </row>
    <row r="1299" s="2" customFormat="1" ht="55" customHeight="1" spans="1:3">
      <c r="A1299" s="5" t="s">
        <v>2689</v>
      </c>
      <c r="B1299" s="6"/>
      <c r="C1299" s="9" t="str">
        <f>IFERROR(VLOOKUP(VENTAS4[[#This Row],[Code]],STOCK[],5,FALSE),"-")</f>
        <v>Traje de baño clásico en bloque de color de talle alto (encargo)</v>
      </c>
    </row>
    <row r="1300" s="2" customFormat="1" ht="55" customHeight="1" spans="1:3">
      <c r="A1300" s="5" t="s">
        <v>2691</v>
      </c>
      <c r="B1300" s="6"/>
      <c r="C1300" s="9" t="str">
        <f>IFERROR(VLOOKUP(VENTAS4[[#This Row],[Code]],STOCK[],5,FALSE),"-")</f>
        <v>Set de Splash y crema de Victoria Secret (Original) Bare Vainilla</v>
      </c>
    </row>
    <row r="1301" s="2" customFormat="1" ht="55" customHeight="1" spans="1:3">
      <c r="A1301" s="16" t="s">
        <v>2693</v>
      </c>
      <c r="B1301" s="6"/>
      <c r="C1301" s="17" t="str">
        <f>IFERROR(VLOOKUP(VENTAS4[[#This Row],[Code]],STOCK[],5,FALSE),"-")</f>
        <v>Set de Splash y crema de Victoria Secret (Original) Aqua Kiss</v>
      </c>
    </row>
    <row r="1302" s="2" customFormat="1" ht="55" customHeight="1" spans="1:3">
      <c r="A1302" s="16"/>
      <c r="B1302" s="6"/>
      <c r="C1302" s="17"/>
    </row>
    <row r="1303" s="3" customFormat="1" ht="60" customHeight="1" spans="1:3">
      <c r="A1303" s="18"/>
      <c r="B1303" s="19"/>
      <c r="C1303" s="20" t="s">
        <v>3748</v>
      </c>
    </row>
  </sheetData>
  <dataValidations count="1">
    <dataValidation type="list" allowBlank="1" showInputMessage="1" showErrorMessage="1" sqref="A229:B238 A2:B164 A166:B227">
      <formula1>STOCK!$A$2:$A$1001056</formula1>
    </dataValidation>
  </dataValidations>
  <pageMargins left="0.7" right="0.7" top="0.75" bottom="0.75" header="0.3" footer="0.3"/>
  <headerFooter/>
  <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25" zoomScaleNormal="25" workbookViewId="0">
      <selection activeCell="A1" sqref="A1"/>
    </sheetView>
  </sheetViews>
  <sheetFormatPr defaultColWidth="11" defaultRowHeight="2.4"/>
  <sheetData/>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4</vt:i4>
      </vt:variant>
    </vt:vector>
  </HeadingPairs>
  <TitlesOfParts>
    <vt:vector size="4" baseType="lpstr">
      <vt:lpstr>STOCK</vt:lpstr>
      <vt:lpstr>VENTAS</vt:lpstr>
      <vt:lpstr>FOTOS</vt: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leticiaaragon</cp:lastModifiedBy>
  <dcterms:created xsi:type="dcterms:W3CDTF">2023-10-01T14:59:00Z</dcterms:created>
  <dcterms:modified xsi:type="dcterms:W3CDTF">2024-10-27T18:14:19Z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1033-5.7.3.8096</vt:lpwstr>
  </property>
</Properties>
</file>